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autoCompressPictures="0"/>
  <mc:AlternateContent xmlns:mc="http://schemas.openxmlformats.org/markup-compatibility/2006">
    <mc:Choice Requires="x15">
      <x15ac:absPath xmlns:x15ac="http://schemas.microsoft.com/office/spreadsheetml/2010/11/ac" url="C:\Documents and Settings\oliver.waissbein\My Documents\Dropbox\DREI Website\Website Docs - 2018 05 Update\8-DREI Tunisia (2014,18)\2018\"/>
    </mc:Choice>
  </mc:AlternateContent>
  <bookViews>
    <workbookView xWindow="1395" yWindow="2850" windowWidth="17985" windowHeight="4845" tabRatio="569"/>
  </bookViews>
  <sheets>
    <sheet name="Introduction" sheetId="13" r:id="rId1"/>
    <sheet name="I. Summary Outputs" sheetId="1" r:id="rId2"/>
    <sheet name="II. Inputs, Baseline Energy Mix" sheetId="6" r:id="rId3"/>
    <sheet name="III. Inputs, Renewable Energy" sheetId="8" r:id="rId4"/>
    <sheet name="IV. LCOE, Baseline Energy Mix" sheetId="7" r:id="rId5"/>
    <sheet name="V. LCOE, RE Generation" sheetId="4" r:id="rId6"/>
    <sheet name="VI. LCOE, RE Grid Intercon" sheetId="17" r:id="rId7"/>
    <sheet name="VII. Instrument Costing" sheetId="27" r:id="rId8"/>
    <sheet name="VIII. Sensitivity Outputs" sheetId="23" r:id="rId9"/>
    <sheet name="IX. Charts" sheetId="24" r:id="rId10"/>
    <sheet name="X. Report Summary Table" sheetId="16" r:id="rId11"/>
    <sheet name="XI. Notes" sheetId="19" r:id="rId12"/>
    <sheet name="Backup" sheetId="5" state="hidden" r:id="rId13"/>
  </sheets>
  <definedNames>
    <definedName name="BAUselection">Backup!$F$8:$F$9</definedName>
    <definedName name="EffectivenessDebt">Backup!$J$21:$J$25</definedName>
    <definedName name="EffectivenessEquity">Backup!$J$15:$J$19</definedName>
    <definedName name="fuelcostmb">Backup!$C$17:$C$20</definedName>
    <definedName name="InputMethod">Backup!$J$8:$J$9</definedName>
    <definedName name="InstrumentSelectionMB">Backup!$C$8:$C$9</definedName>
    <definedName name="Multiplier">Backup!$J$37:$J$38</definedName>
    <definedName name="OperationsandMaint">Backup!$F$14:$F$15</definedName>
    <definedName name="POLICYCOSTING">Backup!$J$34:$J$35</definedName>
    <definedName name="Prederiskingselection">Backup!$F$8:$F$9</definedName>
    <definedName name="_xlnm.Print_Area" localSheetId="3">'III. Inputs, Renewable Energy'!$A$1:$AC$293</definedName>
    <definedName name="_xlnm.Print_Area" localSheetId="0">Introduction!$A$1:$R$64</definedName>
    <definedName name="_xlnm.Print_Area" localSheetId="4">'IV. LCOE, Baseline Energy Mix'!$A$1:$AA$841</definedName>
    <definedName name="_xlnm.Print_Area" localSheetId="7">'VII. Instrument Costing'!$A$1:$AC$53</definedName>
    <definedName name="_xlnm.Print_Area" localSheetId="8">'VIII. Sensitivity Outputs'!$C$1:$Q$149</definedName>
    <definedName name="_xlnm.Print_Area" localSheetId="10">'X. Report Summary Table'!$A$1:$P$4</definedName>
    <definedName name="_xlnm.Print_Area" localSheetId="11">'XI. Notes'!$A$1:$AR$4</definedName>
    <definedName name="SELECTION">Backup!$J$11:$J$12</definedName>
    <definedName name="TIME">Backup!$J$27:$J$31</definedName>
  </definedNames>
  <calcPr calcId="171027"/>
</workbook>
</file>

<file path=xl/calcChain.xml><?xml version="1.0" encoding="utf-8"?>
<calcChain xmlns="http://schemas.openxmlformats.org/spreadsheetml/2006/main">
  <c r="U257" i="8" l="1"/>
  <c r="U15" i="8"/>
  <c r="H133" i="6"/>
  <c r="F134" i="6"/>
  <c r="H134" i="6"/>
  <c r="F135" i="6"/>
  <c r="H135" i="6"/>
  <c r="F136" i="6"/>
  <c r="H136" i="6"/>
  <c r="F137" i="6"/>
  <c r="H137" i="6"/>
  <c r="F138" i="6"/>
  <c r="H138" i="6"/>
  <c r="F139" i="6"/>
  <c r="H139" i="6"/>
  <c r="F140" i="6"/>
  <c r="H140" i="6"/>
  <c r="F141" i="6"/>
  <c r="H141" i="6"/>
  <c r="F142" i="6"/>
  <c r="H142" i="6"/>
  <c r="F143" i="6"/>
  <c r="H143" i="6"/>
  <c r="F144" i="6"/>
  <c r="H144" i="6"/>
  <c r="F145" i="6"/>
  <c r="H145" i="6"/>
  <c r="F146" i="6"/>
  <c r="H146" i="6"/>
  <c r="F147" i="6"/>
  <c r="H147" i="6"/>
  <c r="F148" i="6"/>
  <c r="H148" i="6"/>
  <c r="F149" i="6"/>
  <c r="H149" i="6"/>
  <c r="F150" i="6"/>
  <c r="H150" i="6"/>
  <c r="F151" i="6"/>
  <c r="H151" i="6"/>
  <c r="F152" i="6"/>
  <c r="H152" i="6"/>
  <c r="F153" i="6"/>
  <c r="H153" i="6"/>
  <c r="F154" i="6"/>
  <c r="H154" i="6"/>
  <c r="F155" i="6"/>
  <c r="H155" i="6"/>
  <c r="F156" i="6"/>
  <c r="H156" i="6"/>
  <c r="F157" i="6"/>
  <c r="H157" i="6"/>
  <c r="F158" i="6"/>
  <c r="H158" i="6"/>
  <c r="F339" i="4"/>
  <c r="H345" i="4"/>
  <c r="G300" i="4"/>
  <c r="Y316" i="4"/>
  <c r="Y122" i="4"/>
  <c r="AA114" i="4"/>
  <c r="G134" i="4"/>
  <c r="H108" i="4"/>
  <c r="I108" i="4"/>
  <c r="J108" i="4"/>
  <c r="K108" i="4"/>
  <c r="L108" i="4"/>
  <c r="M108" i="4"/>
  <c r="N108" i="4"/>
  <c r="O108" i="4"/>
  <c r="P108" i="4"/>
  <c r="Q108" i="4"/>
  <c r="R108" i="4"/>
  <c r="S108" i="4"/>
  <c r="T108" i="4"/>
  <c r="U108" i="4"/>
  <c r="V108" i="4"/>
  <c r="W108" i="4"/>
  <c r="X108" i="4"/>
  <c r="Y108" i="4"/>
  <c r="Z108" i="4"/>
  <c r="AA108" i="4"/>
  <c r="U291" i="8"/>
  <c r="U292" i="8"/>
  <c r="U293" i="8"/>
  <c r="F339" i="17"/>
  <c r="H345" i="17"/>
  <c r="G134" i="17"/>
  <c r="H108" i="17"/>
  <c r="I108" i="17"/>
  <c r="J108" i="17"/>
  <c r="K108" i="17"/>
  <c r="L108" i="17"/>
  <c r="L110" i="17"/>
  <c r="M108" i="17"/>
  <c r="N108" i="17"/>
  <c r="O108" i="17"/>
  <c r="P108" i="17"/>
  <c r="Q108" i="17"/>
  <c r="R108" i="17"/>
  <c r="S108" i="17"/>
  <c r="T108" i="17"/>
  <c r="U108" i="17"/>
  <c r="V108" i="17"/>
  <c r="W108" i="17"/>
  <c r="X108" i="17"/>
  <c r="Y108" i="17"/>
  <c r="Z108" i="17"/>
  <c r="AA108" i="17"/>
  <c r="L23" i="1"/>
  <c r="L42" i="1"/>
  <c r="V139" i="8"/>
  <c r="V140" i="8"/>
  <c r="N180" i="23"/>
  <c r="M204" i="23"/>
  <c r="O180" i="23"/>
  <c r="V141" i="8"/>
  <c r="V95" i="8"/>
  <c r="V142" i="8"/>
  <c r="V143" i="8"/>
  <c r="V144" i="8"/>
  <c r="N184" i="23"/>
  <c r="O184" i="23"/>
  <c r="V145" i="8"/>
  <c r="N185" i="23"/>
  <c r="O185" i="23"/>
  <c r="V154" i="8"/>
  <c r="V155" i="8"/>
  <c r="V156" i="8"/>
  <c r="N192" i="23"/>
  <c r="O192" i="23"/>
  <c r="V157" i="8"/>
  <c r="N194" i="23"/>
  <c r="O194" i="23"/>
  <c r="S36" i="8"/>
  <c r="V158" i="8"/>
  <c r="S37" i="8"/>
  <c r="V160" i="8"/>
  <c r="N196" i="23"/>
  <c r="O196" i="23"/>
  <c r="V161" i="8"/>
  <c r="V34" i="8"/>
  <c r="V53" i="8"/>
  <c r="V37" i="8"/>
  <c r="G296" i="4"/>
  <c r="F340" i="4"/>
  <c r="V48" i="8"/>
  <c r="G278" i="4"/>
  <c r="V43" i="8"/>
  <c r="G279" i="4"/>
  <c r="U83" i="8"/>
  <c r="U85" i="8"/>
  <c r="U102" i="8"/>
  <c r="U103" i="8"/>
  <c r="Y139" i="8"/>
  <c r="Y93" i="8"/>
  <c r="Y140" i="8"/>
  <c r="Y94" i="8"/>
  <c r="Y141" i="8"/>
  <c r="P181" i="23"/>
  <c r="M209" i="23"/>
  <c r="Q181" i="23"/>
  <c r="Y142" i="8"/>
  <c r="Y96" i="8"/>
  <c r="Y143" i="8"/>
  <c r="P183" i="23"/>
  <c r="Q183" i="23"/>
  <c r="Y154" i="8"/>
  <c r="Y144" i="8"/>
  <c r="Y155" i="8"/>
  <c r="Y156" i="8"/>
  <c r="P192" i="23"/>
  <c r="Q192" i="23"/>
  <c r="Y157" i="8"/>
  <c r="Y145" i="8"/>
  <c r="Y158" i="8"/>
  <c r="Y160" i="8"/>
  <c r="P196" i="23"/>
  <c r="Q196" i="23"/>
  <c r="Y161" i="8"/>
  <c r="Y101" i="8"/>
  <c r="F377" i="4"/>
  <c r="G377" i="4"/>
  <c r="D371" i="4"/>
  <c r="V274" i="8"/>
  <c r="F378" i="17"/>
  <c r="G378" i="17"/>
  <c r="F378" i="4"/>
  <c r="K373" i="4"/>
  <c r="L373" i="4"/>
  <c r="M373" i="4"/>
  <c r="P373" i="4"/>
  <c r="Q373" i="4"/>
  <c r="S373" i="4"/>
  <c r="U373" i="4"/>
  <c r="W373" i="4"/>
  <c r="X373" i="4"/>
  <c r="AA373" i="4"/>
  <c r="G300" i="17"/>
  <c r="F340" i="17"/>
  <c r="F377" i="17"/>
  <c r="G377" i="17"/>
  <c r="D371" i="17"/>
  <c r="J373" i="17"/>
  <c r="Q373" i="17"/>
  <c r="U373" i="17"/>
  <c r="U258" i="8"/>
  <c r="V200" i="8"/>
  <c r="V197" i="8"/>
  <c r="S34" i="8"/>
  <c r="G201" i="4"/>
  <c r="I207" i="4"/>
  <c r="G223" i="4"/>
  <c r="H239" i="4"/>
  <c r="S223" i="8"/>
  <c r="G224" i="4"/>
  <c r="F263" i="4"/>
  <c r="H269" i="4"/>
  <c r="F264" i="4"/>
  <c r="H270" i="4"/>
  <c r="G244" i="4"/>
  <c r="G245" i="4"/>
  <c r="F363" i="4"/>
  <c r="G363" i="4"/>
  <c r="D357" i="4"/>
  <c r="H359" i="4"/>
  <c r="S274" i="8"/>
  <c r="F364" i="17"/>
  <c r="F364" i="4"/>
  <c r="G364" i="4"/>
  <c r="H24" i="4"/>
  <c r="I270" i="4"/>
  <c r="I33" i="4"/>
  <c r="I359" i="4"/>
  <c r="I363" i="4"/>
  <c r="J240" i="4"/>
  <c r="J32" i="4"/>
  <c r="J270" i="4"/>
  <c r="J33" i="4"/>
  <c r="J359" i="4"/>
  <c r="J24" i="4"/>
  <c r="J38" i="4"/>
  <c r="K270" i="4"/>
  <c r="K33" i="4"/>
  <c r="K207" i="4"/>
  <c r="K213" i="4"/>
  <c r="K24" i="4"/>
  <c r="K38" i="4"/>
  <c r="L270" i="4"/>
  <c r="L33" i="4"/>
  <c r="L207" i="4"/>
  <c r="L24" i="4"/>
  <c r="M270" i="4"/>
  <c r="M207" i="4"/>
  <c r="M359" i="4"/>
  <c r="M363" i="4"/>
  <c r="N270" i="4"/>
  <c r="N33" i="4"/>
  <c r="N41" i="4"/>
  <c r="N359" i="4"/>
  <c r="N24" i="4"/>
  <c r="N38" i="4"/>
  <c r="O270" i="4"/>
  <c r="O207" i="4"/>
  <c r="O24" i="4"/>
  <c r="O38" i="4"/>
  <c r="P270" i="4"/>
  <c r="P33" i="4"/>
  <c r="P207" i="4"/>
  <c r="P24" i="4"/>
  <c r="Q270" i="4"/>
  <c r="Q33" i="4"/>
  <c r="Q207" i="4"/>
  <c r="Q359" i="4"/>
  <c r="Q363" i="4"/>
  <c r="R270" i="4"/>
  <c r="R33" i="4"/>
  <c r="R359" i="4"/>
  <c r="R24" i="4"/>
  <c r="R38" i="4"/>
  <c r="S270" i="4"/>
  <c r="S33" i="4"/>
  <c r="S207" i="4"/>
  <c r="S248" i="4"/>
  <c r="S249" i="4"/>
  <c r="S24" i="4"/>
  <c r="S38" i="4"/>
  <c r="T270" i="4"/>
  <c r="T207" i="4"/>
  <c r="T248" i="4"/>
  <c r="T249" i="4"/>
  <c r="T24" i="4"/>
  <c r="U270" i="4"/>
  <c r="U207" i="4"/>
  <c r="U248" i="4"/>
  <c r="U359" i="4"/>
  <c r="U363" i="4"/>
  <c r="V270" i="4"/>
  <c r="V249" i="4"/>
  <c r="V359" i="4"/>
  <c r="V24" i="4"/>
  <c r="V38" i="4"/>
  <c r="W270" i="4"/>
  <c r="W33" i="4"/>
  <c r="W207" i="4"/>
  <c r="W248" i="4"/>
  <c r="W249" i="4"/>
  <c r="W255" i="4"/>
  <c r="W24" i="4"/>
  <c r="W38" i="4"/>
  <c r="X270" i="4"/>
  <c r="X207" i="4"/>
  <c r="X248" i="4"/>
  <c r="X249" i="4"/>
  <c r="X24" i="4"/>
  <c r="Y270" i="4"/>
  <c r="Y33" i="4"/>
  <c r="Y41" i="4"/>
  <c r="Y207" i="4"/>
  <c r="Y248" i="4"/>
  <c r="Y359" i="4"/>
  <c r="Y363" i="4"/>
  <c r="Z270" i="4"/>
  <c r="Z33" i="4"/>
  <c r="Z249" i="4"/>
  <c r="Z359" i="4"/>
  <c r="Z24" i="4"/>
  <c r="Z38" i="4"/>
  <c r="AA270" i="4"/>
  <c r="AA33" i="4"/>
  <c r="AA207" i="4"/>
  <c r="AA248" i="4"/>
  <c r="AA249" i="4"/>
  <c r="AA24" i="4"/>
  <c r="AA38" i="4"/>
  <c r="G44" i="4"/>
  <c r="G46" i="4"/>
  <c r="H18" i="4"/>
  <c r="I18" i="4"/>
  <c r="J18" i="4"/>
  <c r="J20" i="4"/>
  <c r="K18" i="4"/>
  <c r="L18" i="4"/>
  <c r="M18" i="4"/>
  <c r="N18" i="4"/>
  <c r="N20" i="4"/>
  <c r="O18" i="4"/>
  <c r="P18" i="4"/>
  <c r="Q18" i="4"/>
  <c r="R18" i="4"/>
  <c r="S18" i="4"/>
  <c r="T18" i="4"/>
  <c r="T20" i="4"/>
  <c r="U18" i="4"/>
  <c r="V18" i="4"/>
  <c r="V20" i="4"/>
  <c r="W18" i="4"/>
  <c r="X18" i="4"/>
  <c r="Y18" i="4"/>
  <c r="Z18" i="4"/>
  <c r="Z20" i="4"/>
  <c r="AA18" i="4"/>
  <c r="H18" i="17"/>
  <c r="H20" i="17"/>
  <c r="I18" i="17"/>
  <c r="J18" i="17"/>
  <c r="K18" i="17"/>
  <c r="L18" i="17"/>
  <c r="L20" i="17"/>
  <c r="M18" i="17"/>
  <c r="N18" i="17"/>
  <c r="N20" i="17"/>
  <c r="O18" i="17"/>
  <c r="P18" i="17"/>
  <c r="Q18" i="17"/>
  <c r="R18" i="17"/>
  <c r="S18" i="17"/>
  <c r="T18" i="17"/>
  <c r="T20" i="17"/>
  <c r="U18" i="17"/>
  <c r="V18" i="17"/>
  <c r="W18" i="17"/>
  <c r="X18" i="17"/>
  <c r="X20" i="17"/>
  <c r="Y18" i="17"/>
  <c r="Z18" i="17"/>
  <c r="AA18" i="17"/>
  <c r="G46" i="17"/>
  <c r="G201" i="17"/>
  <c r="G220" i="17"/>
  <c r="H238" i="17"/>
  <c r="G223" i="17"/>
  <c r="H239" i="17"/>
  <c r="G224" i="17"/>
  <c r="F263" i="17"/>
  <c r="H269" i="17"/>
  <c r="F264" i="17"/>
  <c r="H270" i="17"/>
  <c r="H33" i="17"/>
  <c r="H41" i="17"/>
  <c r="H206" i="17"/>
  <c r="H227" i="17"/>
  <c r="G244" i="17"/>
  <c r="G245" i="17"/>
  <c r="F363" i="17"/>
  <c r="G363" i="17"/>
  <c r="D357" i="17"/>
  <c r="G364" i="17"/>
  <c r="H364" i="17"/>
  <c r="I270" i="17"/>
  <c r="I33" i="17"/>
  <c r="I41" i="17"/>
  <c r="I207" i="17"/>
  <c r="I227" i="17"/>
  <c r="I29" i="17"/>
  <c r="J270" i="17"/>
  <c r="J33" i="17"/>
  <c r="J41" i="17"/>
  <c r="J206" i="17"/>
  <c r="J207" i="17"/>
  <c r="J228" i="17"/>
  <c r="J364" i="17"/>
  <c r="K270" i="17"/>
  <c r="K33" i="17"/>
  <c r="K41" i="17"/>
  <c r="K207" i="17"/>
  <c r="K227" i="17"/>
  <c r="K29" i="17"/>
  <c r="L270" i="17"/>
  <c r="L33" i="17"/>
  <c r="L41" i="17"/>
  <c r="L206" i="17"/>
  <c r="L207" i="17"/>
  <c r="L228" i="17"/>
  <c r="L364" i="17"/>
  <c r="L28" i="17"/>
  <c r="M240" i="17"/>
  <c r="M32" i="17"/>
  <c r="M40" i="17"/>
  <c r="M270" i="17"/>
  <c r="M33" i="17"/>
  <c r="M41" i="17"/>
  <c r="M206" i="17"/>
  <c r="M207" i="17"/>
  <c r="M208" i="17"/>
  <c r="M364" i="17"/>
  <c r="M28" i="17"/>
  <c r="N270" i="17"/>
  <c r="N33" i="17"/>
  <c r="N41" i="17"/>
  <c r="N206" i="17"/>
  <c r="N28" i="17"/>
  <c r="N207" i="17"/>
  <c r="N208" i="17"/>
  <c r="N364" i="17"/>
  <c r="O270" i="17"/>
  <c r="O33" i="17"/>
  <c r="O41" i="17"/>
  <c r="O206" i="17"/>
  <c r="O207" i="17"/>
  <c r="O208" i="17"/>
  <c r="O228" i="17"/>
  <c r="O364" i="17"/>
  <c r="O28" i="17"/>
  <c r="P270" i="17"/>
  <c r="P33" i="17"/>
  <c r="P41" i="17"/>
  <c r="P206" i="17"/>
  <c r="P28" i="17"/>
  <c r="P207" i="17"/>
  <c r="P364" i="17"/>
  <c r="Q270" i="17"/>
  <c r="Q33" i="17"/>
  <c r="Q41" i="17"/>
  <c r="Q206" i="17"/>
  <c r="Q207" i="17"/>
  <c r="Q227" i="17"/>
  <c r="Q228" i="17"/>
  <c r="Q359" i="17"/>
  <c r="Q363" i="17"/>
  <c r="Q364" i="17"/>
  <c r="Q365" i="17"/>
  <c r="Q26" i="17"/>
  <c r="R240" i="17"/>
  <c r="R32" i="17"/>
  <c r="R40" i="17"/>
  <c r="R270" i="17"/>
  <c r="R33" i="17"/>
  <c r="R41" i="17"/>
  <c r="R206" i="17"/>
  <c r="R207" i="17"/>
  <c r="R228" i="17"/>
  <c r="R359" i="17"/>
  <c r="R363" i="17"/>
  <c r="R364" i="17"/>
  <c r="R365" i="17"/>
  <c r="R26" i="17"/>
  <c r="S270" i="17"/>
  <c r="S33" i="17"/>
  <c r="S41" i="17"/>
  <c r="S206" i="17"/>
  <c r="S207" i="17"/>
  <c r="S208" i="17"/>
  <c r="S227" i="17"/>
  <c r="S248" i="17"/>
  <c r="S30" i="17"/>
  <c r="S249" i="17"/>
  <c r="S364" i="17"/>
  <c r="S28" i="17"/>
  <c r="T270" i="17"/>
  <c r="T33" i="17"/>
  <c r="T41" i="17"/>
  <c r="T206" i="17"/>
  <c r="T28" i="17"/>
  <c r="T207" i="17"/>
  <c r="T208" i="17"/>
  <c r="T228" i="17"/>
  <c r="T248" i="17"/>
  <c r="T30" i="17"/>
  <c r="T364" i="17"/>
  <c r="U240" i="17"/>
  <c r="U32" i="17"/>
  <c r="U40" i="17"/>
  <c r="U270" i="17"/>
  <c r="U33" i="17"/>
  <c r="U41" i="17"/>
  <c r="U206" i="17"/>
  <c r="U207" i="17"/>
  <c r="U208" i="17"/>
  <c r="U248" i="17"/>
  <c r="U30" i="17"/>
  <c r="U249" i="17"/>
  <c r="U364" i="17"/>
  <c r="U28" i="17"/>
  <c r="V270" i="17"/>
  <c r="V33" i="17"/>
  <c r="V41" i="17"/>
  <c r="V206" i="17"/>
  <c r="V28" i="17"/>
  <c r="V207" i="17"/>
  <c r="V208" i="17"/>
  <c r="V248" i="17"/>
  <c r="V30" i="17"/>
  <c r="V364" i="17"/>
  <c r="W270" i="17"/>
  <c r="W33" i="17"/>
  <c r="W41" i="17"/>
  <c r="W206" i="17"/>
  <c r="W207" i="17"/>
  <c r="W208" i="17"/>
  <c r="W228" i="17"/>
  <c r="W248" i="17"/>
  <c r="W364" i="17"/>
  <c r="W28" i="17"/>
  <c r="X270" i="17"/>
  <c r="X33" i="17"/>
  <c r="X41" i="17"/>
  <c r="X206" i="17"/>
  <c r="X28" i="17"/>
  <c r="X207" i="17"/>
  <c r="X248" i="17"/>
  <c r="X364" i="17"/>
  <c r="Y270" i="17"/>
  <c r="Y33" i="17"/>
  <c r="Y41" i="17"/>
  <c r="Y206" i="17"/>
  <c r="Y207" i="17"/>
  <c r="Y208" i="17"/>
  <c r="Y227" i="17"/>
  <c r="Y228" i="17"/>
  <c r="Y249" i="17"/>
  <c r="Y359" i="17"/>
  <c r="Y363" i="17"/>
  <c r="Y364" i="17"/>
  <c r="Y365" i="17"/>
  <c r="Y26" i="17"/>
  <c r="Z240" i="17"/>
  <c r="Z32" i="17"/>
  <c r="Z40" i="17"/>
  <c r="Z270" i="17"/>
  <c r="Z33" i="17"/>
  <c r="Z41" i="17"/>
  <c r="Z206" i="17"/>
  <c r="Z207" i="17"/>
  <c r="Z228" i="17"/>
  <c r="Z359" i="17"/>
  <c r="Z363" i="17"/>
  <c r="Z364" i="17"/>
  <c r="Z365" i="17"/>
  <c r="Z26" i="17"/>
  <c r="AA270" i="17"/>
  <c r="AA33" i="17"/>
  <c r="AA41" i="17"/>
  <c r="AA206" i="17"/>
  <c r="AA207" i="17"/>
  <c r="AA208" i="17"/>
  <c r="AA227" i="17"/>
  <c r="AA248" i="17"/>
  <c r="AA30" i="17"/>
  <c r="AA249" i="17"/>
  <c r="AA364" i="17"/>
  <c r="AA28" i="17"/>
  <c r="G44" i="17"/>
  <c r="J10" i="27"/>
  <c r="I31" i="4"/>
  <c r="I39" i="4"/>
  <c r="J31" i="4"/>
  <c r="J39" i="4"/>
  <c r="K31" i="4"/>
  <c r="K39" i="4"/>
  <c r="L31" i="4"/>
  <c r="L39" i="4"/>
  <c r="M31" i="4"/>
  <c r="M39" i="4"/>
  <c r="N31" i="4"/>
  <c r="N39" i="4"/>
  <c r="O31" i="4"/>
  <c r="O39" i="4"/>
  <c r="P31" i="4"/>
  <c r="P39" i="4"/>
  <c r="Q31" i="4"/>
  <c r="Q39" i="4"/>
  <c r="R31" i="4"/>
  <c r="R39" i="4"/>
  <c r="S31" i="4"/>
  <c r="S39" i="4"/>
  <c r="T64" i="4"/>
  <c r="T31" i="4"/>
  <c r="T39" i="4"/>
  <c r="U31" i="4"/>
  <c r="U39" i="4"/>
  <c r="V31" i="4"/>
  <c r="V39" i="4"/>
  <c r="W31" i="4"/>
  <c r="W39" i="4"/>
  <c r="X31" i="4"/>
  <c r="X39" i="4"/>
  <c r="Y31" i="4"/>
  <c r="Y39" i="4"/>
  <c r="Z31" i="4"/>
  <c r="Z39" i="4"/>
  <c r="AA31" i="4"/>
  <c r="AA39" i="4"/>
  <c r="H38" i="17"/>
  <c r="I38" i="17"/>
  <c r="I31" i="17"/>
  <c r="I39" i="17"/>
  <c r="J38" i="17"/>
  <c r="J31" i="17"/>
  <c r="J39" i="17"/>
  <c r="K38" i="17"/>
  <c r="K31" i="17"/>
  <c r="K39" i="17"/>
  <c r="L38" i="17"/>
  <c r="L31" i="17"/>
  <c r="L39" i="17"/>
  <c r="M38" i="17"/>
  <c r="M31" i="17"/>
  <c r="M39" i="17"/>
  <c r="N38" i="17"/>
  <c r="N31" i="17"/>
  <c r="N39" i="17"/>
  <c r="O38" i="17"/>
  <c r="O31" i="17"/>
  <c r="O39" i="17"/>
  <c r="P38" i="17"/>
  <c r="P31" i="17"/>
  <c r="P39" i="17"/>
  <c r="Q38" i="17"/>
  <c r="Q31" i="17"/>
  <c r="Q39" i="17"/>
  <c r="R38" i="17"/>
  <c r="R31" i="17"/>
  <c r="R39" i="17"/>
  <c r="S38" i="17"/>
  <c r="S31" i="17"/>
  <c r="S39" i="17"/>
  <c r="T38" i="17"/>
  <c r="T31" i="17"/>
  <c r="T39" i="17"/>
  <c r="U38" i="17"/>
  <c r="U31" i="17"/>
  <c r="U39" i="17"/>
  <c r="V38" i="17"/>
  <c r="V31" i="17"/>
  <c r="V39" i="17"/>
  <c r="W38" i="17"/>
  <c r="W31" i="17"/>
  <c r="W39" i="17"/>
  <c r="X38" i="17"/>
  <c r="X31" i="17"/>
  <c r="X39" i="17"/>
  <c r="Y38" i="17"/>
  <c r="Y31" i="17"/>
  <c r="Y39" i="17"/>
  <c r="Z38" i="17"/>
  <c r="Z31" i="17"/>
  <c r="Z39" i="17"/>
  <c r="AA38" i="17"/>
  <c r="AA31" i="17"/>
  <c r="AA39" i="17"/>
  <c r="N101" i="1"/>
  <c r="N102" i="1"/>
  <c r="M180" i="23"/>
  <c r="N103" i="1"/>
  <c r="M181" i="23"/>
  <c r="N105" i="1"/>
  <c r="M183" i="23"/>
  <c r="N106" i="1"/>
  <c r="N77" i="16"/>
  <c r="N107" i="1"/>
  <c r="N78" i="16"/>
  <c r="L101" i="1"/>
  <c r="L102" i="1"/>
  <c r="L103" i="1"/>
  <c r="L104" i="1"/>
  <c r="L105" i="1"/>
  <c r="L106" i="1"/>
  <c r="L107" i="1"/>
  <c r="L108" i="1"/>
  <c r="L29" i="1"/>
  <c r="L117" i="1"/>
  <c r="K271" i="4"/>
  <c r="X213" i="4"/>
  <c r="N105" i="6"/>
  <c r="I133" i="6"/>
  <c r="J133" i="6"/>
  <c r="K133" i="6"/>
  <c r="L133" i="6"/>
  <c r="M133" i="6"/>
  <c r="N133" i="6"/>
  <c r="O133" i="6"/>
  <c r="P133" i="6"/>
  <c r="Q133" i="6"/>
  <c r="R133" i="6"/>
  <c r="S133" i="6"/>
  <c r="I201" i="7"/>
  <c r="I212" i="7"/>
  <c r="I209" i="7"/>
  <c r="L44" i="23"/>
  <c r="BE246" i="7"/>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BD246" i="7"/>
  <c r="BC246" i="7"/>
  <c r="BB246" i="7"/>
  <c r="BA246" i="7"/>
  <c r="AZ246" i="7"/>
  <c r="AY246" i="7"/>
  <c r="AX246" i="7"/>
  <c r="AW246" i="7"/>
  <c r="AV246" i="7"/>
  <c r="AU246" i="7"/>
  <c r="AT246" i="7"/>
  <c r="AS246" i="7"/>
  <c r="AR246" i="7"/>
  <c r="AQ246" i="7"/>
  <c r="AP246" i="7"/>
  <c r="AO246" i="7"/>
  <c r="AN246" i="7"/>
  <c r="AM246" i="7"/>
  <c r="AL246" i="7"/>
  <c r="AK246" i="7"/>
  <c r="AJ246" i="7"/>
  <c r="AI246" i="7"/>
  <c r="AH246" i="7"/>
  <c r="AG246" i="7"/>
  <c r="AF246" i="7"/>
  <c r="AE246" i="7"/>
  <c r="AD246" i="7"/>
  <c r="AC246" i="7"/>
  <c r="AB246" i="7"/>
  <c r="AA246" i="7"/>
  <c r="Z246" i="7"/>
  <c r="Y246" i="7"/>
  <c r="X246" i="7"/>
  <c r="W246" i="7"/>
  <c r="V246" i="7"/>
  <c r="U246" i="7"/>
  <c r="T246" i="7"/>
  <c r="S246" i="7"/>
  <c r="R246" i="7"/>
  <c r="Q246" i="7"/>
  <c r="P246" i="7"/>
  <c r="O246" i="7"/>
  <c r="N246" i="7"/>
  <c r="M246" i="7"/>
  <c r="L246" i="7"/>
  <c r="K246" i="7"/>
  <c r="J246" i="7"/>
  <c r="I246" i="7"/>
  <c r="H246" i="7"/>
  <c r="H256" i="7"/>
  <c r="BE201" i="7"/>
  <c r="BD201" i="7"/>
  <c r="BC201" i="7"/>
  <c r="BB201" i="7"/>
  <c r="BA201" i="7"/>
  <c r="AZ201" i="7"/>
  <c r="AY201" i="7"/>
  <c r="AX201" i="7"/>
  <c r="AW201" i="7"/>
  <c r="AV201" i="7"/>
  <c r="AU201" i="7"/>
  <c r="AT201" i="7"/>
  <c r="AS201" i="7"/>
  <c r="AR201" i="7"/>
  <c r="AQ201" i="7"/>
  <c r="AP201" i="7"/>
  <c r="AO201" i="7"/>
  <c r="AN201" i="7"/>
  <c r="AM201" i="7"/>
  <c r="AL201" i="7"/>
  <c r="AK201" i="7"/>
  <c r="AJ201" i="7"/>
  <c r="AI201" i="7"/>
  <c r="AH201" i="7"/>
  <c r="AG201" i="7"/>
  <c r="AF201" i="7"/>
  <c r="AE201" i="7"/>
  <c r="AD201" i="7"/>
  <c r="AC201" i="7"/>
  <c r="AB201" i="7"/>
  <c r="AA201" i="7"/>
  <c r="Z201" i="7"/>
  <c r="Y201" i="7"/>
  <c r="X201" i="7"/>
  <c r="W201" i="7"/>
  <c r="V201" i="7"/>
  <c r="U201" i="7"/>
  <c r="T201" i="7"/>
  <c r="S201" i="7"/>
  <c r="R201" i="7"/>
  <c r="Q201" i="7"/>
  <c r="P201" i="7"/>
  <c r="O201" i="7"/>
  <c r="N201" i="7"/>
  <c r="M201" i="7"/>
  <c r="L201" i="7"/>
  <c r="K201" i="7"/>
  <c r="J201" i="7"/>
  <c r="H201" i="7"/>
  <c r="BE154" i="7"/>
  <c r="BD154" i="7"/>
  <c r="BC154" i="7"/>
  <c r="BB154" i="7"/>
  <c r="BA154" i="7"/>
  <c r="AZ154" i="7"/>
  <c r="AY154" i="7"/>
  <c r="AX154" i="7"/>
  <c r="AW154" i="7"/>
  <c r="AV154" i="7"/>
  <c r="AU154" i="7"/>
  <c r="AT154" i="7"/>
  <c r="AS154" i="7"/>
  <c r="AR154" i="7"/>
  <c r="AQ154" i="7"/>
  <c r="AP154" i="7"/>
  <c r="AO154" i="7"/>
  <c r="AN154" i="7"/>
  <c r="AM154" i="7"/>
  <c r="AL154" i="7"/>
  <c r="AK154" i="7"/>
  <c r="AJ154" i="7"/>
  <c r="AI154" i="7"/>
  <c r="AH154" i="7"/>
  <c r="AG154" i="7"/>
  <c r="AF154" i="7"/>
  <c r="AE154" i="7"/>
  <c r="AD154" i="7"/>
  <c r="AC154" i="7"/>
  <c r="AB154" i="7"/>
  <c r="AA154" i="7"/>
  <c r="Z154" i="7"/>
  <c r="Y154" i="7"/>
  <c r="X154" i="7"/>
  <c r="W154" i="7"/>
  <c r="V154" i="7"/>
  <c r="U154" i="7"/>
  <c r="T154" i="7"/>
  <c r="S154" i="7"/>
  <c r="R154" i="7"/>
  <c r="Q154" i="7"/>
  <c r="P154" i="7"/>
  <c r="O154" i="7"/>
  <c r="N154" i="7"/>
  <c r="M154" i="7"/>
  <c r="L154" i="7"/>
  <c r="K154" i="7"/>
  <c r="J154" i="7"/>
  <c r="I154" i="7"/>
  <c r="H154" i="7"/>
  <c r="H164" i="7"/>
  <c r="BE109" i="7"/>
  <c r="BD109" i="7"/>
  <c r="BC109" i="7"/>
  <c r="BB109" i="7"/>
  <c r="BA109" i="7"/>
  <c r="AZ109" i="7"/>
  <c r="AY109" i="7"/>
  <c r="AX109" i="7"/>
  <c r="AW109" i="7"/>
  <c r="AV109" i="7"/>
  <c r="AU109" i="7"/>
  <c r="AT109" i="7"/>
  <c r="AS109" i="7"/>
  <c r="AR109" i="7"/>
  <c r="AQ109" i="7"/>
  <c r="AP109" i="7"/>
  <c r="AO109" i="7"/>
  <c r="AN109" i="7"/>
  <c r="AM109" i="7"/>
  <c r="AL109" i="7"/>
  <c r="AK109" i="7"/>
  <c r="AJ109" i="7"/>
  <c r="AI109" i="7"/>
  <c r="AH109" i="7"/>
  <c r="AG109" i="7"/>
  <c r="AF109" i="7"/>
  <c r="AE109" i="7"/>
  <c r="AD109" i="7"/>
  <c r="AC109" i="7"/>
  <c r="AB109" i="7"/>
  <c r="AA109" i="7"/>
  <c r="Z109" i="7"/>
  <c r="Y109" i="7"/>
  <c r="X109" i="7"/>
  <c r="W109" i="7"/>
  <c r="V109" i="7"/>
  <c r="U109" i="7"/>
  <c r="T109" i="7"/>
  <c r="S109" i="7"/>
  <c r="R109" i="7"/>
  <c r="Q109" i="7"/>
  <c r="P109" i="7"/>
  <c r="O109" i="7"/>
  <c r="N109" i="7"/>
  <c r="M109" i="7"/>
  <c r="L109" i="7"/>
  <c r="K109" i="7"/>
  <c r="J109" i="7"/>
  <c r="I109" i="7"/>
  <c r="H109" i="7"/>
  <c r="BE62" i="7"/>
  <c r="BD62" i="7"/>
  <c r="BC62" i="7"/>
  <c r="BB62" i="7"/>
  <c r="BA62" i="7"/>
  <c r="AZ62" i="7"/>
  <c r="AY62" i="7"/>
  <c r="AX62" i="7"/>
  <c r="AW62" i="7"/>
  <c r="AV62" i="7"/>
  <c r="AU62" i="7"/>
  <c r="AT62" i="7"/>
  <c r="AS62" i="7"/>
  <c r="AR62" i="7"/>
  <c r="AQ62" i="7"/>
  <c r="AP62" i="7"/>
  <c r="AO62" i="7"/>
  <c r="AN62" i="7"/>
  <c r="AM62" i="7"/>
  <c r="AL62" i="7"/>
  <c r="AK62" i="7"/>
  <c r="AJ62" i="7"/>
  <c r="AI62" i="7"/>
  <c r="AH62" i="7"/>
  <c r="AG62" i="7"/>
  <c r="AF62" i="7"/>
  <c r="AE62" i="7"/>
  <c r="AD62" i="7"/>
  <c r="AC62" i="7"/>
  <c r="AB62" i="7"/>
  <c r="AA62" i="7"/>
  <c r="Z62" i="7"/>
  <c r="Y62" i="7"/>
  <c r="X62" i="7"/>
  <c r="W62" i="7"/>
  <c r="V62" i="7"/>
  <c r="U62" i="7"/>
  <c r="T62" i="7"/>
  <c r="S62" i="7"/>
  <c r="R62" i="7"/>
  <c r="Q62" i="7"/>
  <c r="P62" i="7"/>
  <c r="O62" i="7"/>
  <c r="N62" i="7"/>
  <c r="M62" i="7"/>
  <c r="L62" i="7"/>
  <c r="K62" i="7"/>
  <c r="J62" i="7"/>
  <c r="I62" i="7"/>
  <c r="H62" i="7"/>
  <c r="Y132" i="6"/>
  <c r="X132" i="6"/>
  <c r="W132" i="6"/>
  <c r="V132" i="6"/>
  <c r="U132" i="6"/>
  <c r="K192" i="23"/>
  <c r="D158" i="8"/>
  <c r="K193" i="23"/>
  <c r="T83" i="8"/>
  <c r="X83" i="8"/>
  <c r="W157" i="8"/>
  <c r="W144" i="8"/>
  <c r="W155" i="8"/>
  <c r="W156" i="8"/>
  <c r="W98" i="8"/>
  <c r="W99" i="8"/>
  <c r="W154" i="8"/>
  <c r="W143" i="8"/>
  <c r="W97" i="8"/>
  <c r="W160" i="8"/>
  <c r="W100" i="8"/>
  <c r="W142" i="8"/>
  <c r="W96" i="8"/>
  <c r="W141" i="8"/>
  <c r="W95" i="8"/>
  <c r="W94" i="8"/>
  <c r="W139" i="8"/>
  <c r="W93" i="8"/>
  <c r="W161" i="8"/>
  <c r="W101" i="8"/>
  <c r="S83" i="8"/>
  <c r="W83" i="8"/>
  <c r="N183" i="23"/>
  <c r="O183" i="23"/>
  <c r="T24" i="6"/>
  <c r="L30" i="16"/>
  <c r="T163" i="8"/>
  <c r="S163" i="8"/>
  <c r="D128" i="8"/>
  <c r="D126" i="8"/>
  <c r="D214" i="8"/>
  <c r="H17" i="7"/>
  <c r="L14" i="1"/>
  <c r="H19" i="7"/>
  <c r="H28" i="7"/>
  <c r="H25" i="7"/>
  <c r="H30" i="7"/>
  <c r="I17" i="7"/>
  <c r="J17" i="7"/>
  <c r="J23" i="7"/>
  <c r="K17" i="7"/>
  <c r="K23" i="7"/>
  <c r="K44" i="7"/>
  <c r="K19" i="7"/>
  <c r="L17" i="7"/>
  <c r="M17" i="7"/>
  <c r="N17" i="7"/>
  <c r="N23" i="7"/>
  <c r="O17" i="7"/>
  <c r="P17" i="7"/>
  <c r="P23" i="7"/>
  <c r="P44" i="7"/>
  <c r="Q17" i="7"/>
  <c r="R17" i="7"/>
  <c r="R23" i="7"/>
  <c r="R44" i="7"/>
  <c r="S17" i="7"/>
  <c r="T17" i="7"/>
  <c r="U17" i="7"/>
  <c r="V17" i="7"/>
  <c r="V23" i="7"/>
  <c r="W17" i="7"/>
  <c r="X17" i="7"/>
  <c r="Y17" i="7"/>
  <c r="Z17" i="7"/>
  <c r="Z23" i="7"/>
  <c r="AA17" i="7"/>
  <c r="AB17" i="7"/>
  <c r="AC17" i="7"/>
  <c r="AD17" i="7"/>
  <c r="AE17" i="7"/>
  <c r="AF17" i="7"/>
  <c r="AF19" i="7"/>
  <c r="AG17" i="7"/>
  <c r="AH17" i="7"/>
  <c r="AI17" i="7"/>
  <c r="AI23" i="7"/>
  <c r="AI44" i="7"/>
  <c r="AJ17" i="7"/>
  <c r="AK17" i="7"/>
  <c r="AL17" i="7"/>
  <c r="AM17" i="7"/>
  <c r="AN17" i="7"/>
  <c r="AO17" i="7"/>
  <c r="AP17" i="7"/>
  <c r="AP23" i="7"/>
  <c r="AQ17" i="7"/>
  <c r="AR17" i="7"/>
  <c r="AS17" i="7"/>
  <c r="AT17" i="7"/>
  <c r="AU17" i="7"/>
  <c r="AV17" i="7"/>
  <c r="AW17" i="7"/>
  <c r="AX17" i="7"/>
  <c r="AX23" i="7"/>
  <c r="AX44" i="7"/>
  <c r="AY17" i="7"/>
  <c r="AZ17" i="7"/>
  <c r="BA17" i="7"/>
  <c r="BB17" i="7"/>
  <c r="BC17" i="7"/>
  <c r="BD17" i="7"/>
  <c r="BD19" i="7"/>
  <c r="BE17" i="7"/>
  <c r="G53" i="7"/>
  <c r="H23" i="7"/>
  <c r="H44" i="7"/>
  <c r="H26" i="7"/>
  <c r="G297" i="7"/>
  <c r="H313" i="7"/>
  <c r="G316" i="7"/>
  <c r="H334" i="7"/>
  <c r="G339" i="7"/>
  <c r="G319" i="7"/>
  <c r="H335" i="7"/>
  <c r="N84" i="6"/>
  <c r="G320" i="7"/>
  <c r="H336" i="7"/>
  <c r="G359" i="7"/>
  <c r="H365" i="7"/>
  <c r="G360" i="7"/>
  <c r="N366" i="7"/>
  <c r="N39" i="7"/>
  <c r="N48" i="7"/>
  <c r="G298" i="7"/>
  <c r="H303" i="7"/>
  <c r="G317" i="7"/>
  <c r="G341" i="7"/>
  <c r="G340" i="7"/>
  <c r="F767" i="7"/>
  <c r="G767" i="7"/>
  <c r="D761" i="7"/>
  <c r="N763" i="7"/>
  <c r="N123" i="6"/>
  <c r="F768" i="7"/>
  <c r="G768" i="7"/>
  <c r="I366" i="7"/>
  <c r="I39" i="7"/>
  <c r="I48" i="7"/>
  <c r="I302" i="7"/>
  <c r="I303" i="7"/>
  <c r="I37" i="7"/>
  <c r="I46" i="7"/>
  <c r="J44" i="7"/>
  <c r="J366" i="7"/>
  <c r="J39" i="7"/>
  <c r="J48" i="7"/>
  <c r="J302" i="7"/>
  <c r="J303" i="7"/>
  <c r="J304" i="7"/>
  <c r="J324" i="7"/>
  <c r="J37" i="7"/>
  <c r="J46" i="7"/>
  <c r="K336" i="7"/>
  <c r="K38" i="7"/>
  <c r="K47" i="7"/>
  <c r="K303" i="7"/>
  <c r="K763" i="7"/>
  <c r="K37" i="7"/>
  <c r="K46" i="7"/>
  <c r="L336" i="7"/>
  <c r="L38" i="7"/>
  <c r="L47" i="7"/>
  <c r="L302" i="7"/>
  <c r="L34" i="7"/>
  <c r="L323" i="7"/>
  <c r="L37" i="7"/>
  <c r="L46" i="7"/>
  <c r="M23" i="7"/>
  <c r="M44" i="7"/>
  <c r="M302" i="7"/>
  <c r="M303" i="7"/>
  <c r="M304" i="7"/>
  <c r="M324" i="7"/>
  <c r="M34" i="7"/>
  <c r="M37" i="7"/>
  <c r="M46" i="7"/>
  <c r="N44" i="7"/>
  <c r="N336" i="7"/>
  <c r="N38" i="7"/>
  <c r="N47" i="7"/>
  <c r="N302" i="7"/>
  <c r="N303" i="7"/>
  <c r="N37" i="7"/>
  <c r="N46" i="7"/>
  <c r="O23" i="7"/>
  <c r="O44" i="7"/>
  <c r="O366" i="7"/>
  <c r="O39" i="7"/>
  <c r="O48" i="7"/>
  <c r="O303" i="7"/>
  <c r="O37" i="7"/>
  <c r="O46" i="7"/>
  <c r="P336" i="7"/>
  <c r="P38" i="7"/>
  <c r="P47" i="7"/>
  <c r="P302" i="7"/>
  <c r="P34" i="7"/>
  <c r="P324" i="7"/>
  <c r="P763" i="7"/>
  <c r="P37" i="7"/>
  <c r="P46" i="7"/>
  <c r="Q366" i="7"/>
  <c r="Q39" i="7"/>
  <c r="Q48" i="7"/>
  <c r="Q302" i="7"/>
  <c r="Q303" i="7"/>
  <c r="Q37" i="7"/>
  <c r="Q46" i="7"/>
  <c r="R366" i="7"/>
  <c r="R39" i="7"/>
  <c r="R48" i="7"/>
  <c r="R302" i="7"/>
  <c r="R303" i="7"/>
  <c r="R304" i="7"/>
  <c r="R763" i="7"/>
  <c r="R37" i="7"/>
  <c r="R46" i="7"/>
  <c r="S23" i="7"/>
  <c r="S44" i="7"/>
  <c r="S303" i="7"/>
  <c r="S763" i="7"/>
  <c r="S37" i="7"/>
  <c r="S46" i="7"/>
  <c r="T336" i="7"/>
  <c r="T38" i="7"/>
  <c r="T47" i="7"/>
  <c r="T302" i="7"/>
  <c r="T34" i="7"/>
  <c r="T344" i="7"/>
  <c r="T36" i="7"/>
  <c r="T345" i="7"/>
  <c r="T346" i="7"/>
  <c r="T37" i="7"/>
  <c r="T46" i="7"/>
  <c r="U23" i="7"/>
  <c r="U44" i="7"/>
  <c r="U302" i="7"/>
  <c r="U303" i="7"/>
  <c r="U304" i="7"/>
  <c r="U344" i="7"/>
  <c r="U345" i="7"/>
  <c r="U346" i="7"/>
  <c r="U34" i="7"/>
  <c r="U36" i="7"/>
  <c r="U37" i="7"/>
  <c r="U46" i="7"/>
  <c r="V44" i="7"/>
  <c r="V366" i="7"/>
  <c r="V39" i="7"/>
  <c r="V48" i="7"/>
  <c r="V302" i="7"/>
  <c r="V34" i="7"/>
  <c r="V303" i="7"/>
  <c r="V344" i="7"/>
  <c r="V345" i="7"/>
  <c r="V346" i="7"/>
  <c r="V36" i="7"/>
  <c r="V37" i="7"/>
  <c r="V46" i="7"/>
  <c r="W303" i="7"/>
  <c r="W344" i="7"/>
  <c r="W345" i="7"/>
  <c r="W346" i="7"/>
  <c r="W763" i="7"/>
  <c r="W36" i="7"/>
  <c r="W37" i="7"/>
  <c r="W46" i="7"/>
  <c r="X23" i="7"/>
  <c r="X44" i="7"/>
  <c r="X302" i="7"/>
  <c r="X34" i="7"/>
  <c r="X323" i="7"/>
  <c r="X344" i="7"/>
  <c r="X36" i="7"/>
  <c r="X345" i="7"/>
  <c r="X346" i="7"/>
  <c r="X763" i="7"/>
  <c r="X37" i="7"/>
  <c r="X46" i="7"/>
  <c r="Y366" i="7"/>
  <c r="Y39" i="7"/>
  <c r="Y48" i="7"/>
  <c r="Y302" i="7"/>
  <c r="Y34" i="7"/>
  <c r="Y303" i="7"/>
  <c r="Y344" i="7"/>
  <c r="Y345" i="7"/>
  <c r="Y37" i="7"/>
  <c r="Y46" i="7"/>
  <c r="Z44" i="7"/>
  <c r="Z336" i="7"/>
  <c r="Z38" i="7"/>
  <c r="Z47" i="7"/>
  <c r="Z302" i="7"/>
  <c r="Z34" i="7"/>
  <c r="Z303" i="7"/>
  <c r="Z344" i="7"/>
  <c r="Z345" i="7"/>
  <c r="Z346" i="7"/>
  <c r="Z763" i="7"/>
  <c r="Z36" i="7"/>
  <c r="Z37" i="7"/>
  <c r="Z46" i="7"/>
  <c r="AA23" i="7"/>
  <c r="AA44" i="7"/>
  <c r="AA303" i="7"/>
  <c r="AA344" i="7"/>
  <c r="AA345" i="7"/>
  <c r="AA346" i="7"/>
  <c r="AA763" i="7"/>
  <c r="AA36" i="7"/>
  <c r="AA37" i="7"/>
  <c r="AA46" i="7"/>
  <c r="AB336" i="7"/>
  <c r="AB38" i="7"/>
  <c r="AB47" i="7"/>
  <c r="AB302" i="7"/>
  <c r="AB34" i="7"/>
  <c r="AB344" i="7"/>
  <c r="AB36" i="7"/>
  <c r="AB345" i="7"/>
  <c r="AB37" i="7"/>
  <c r="AB46" i="7"/>
  <c r="AC23" i="7"/>
  <c r="AC44" i="7"/>
  <c r="AC336" i="7"/>
  <c r="AC38" i="7"/>
  <c r="AC47" i="7"/>
  <c r="AC302" i="7"/>
  <c r="AC34" i="7"/>
  <c r="AC303" i="7"/>
  <c r="AC304" i="7"/>
  <c r="AC344" i="7"/>
  <c r="AC345" i="7"/>
  <c r="AC346" i="7"/>
  <c r="AC763" i="7"/>
  <c r="AC36" i="7"/>
  <c r="AC37" i="7"/>
  <c r="AC46" i="7"/>
  <c r="AD23" i="7"/>
  <c r="AD44" i="7"/>
  <c r="AD302" i="7"/>
  <c r="AD303" i="7"/>
  <c r="AD304" i="7"/>
  <c r="AD323" i="7"/>
  <c r="AD344" i="7"/>
  <c r="AD345" i="7"/>
  <c r="AD34" i="7"/>
  <c r="AD37" i="7"/>
  <c r="AD46" i="7"/>
  <c r="AE23" i="7"/>
  <c r="AE44" i="7"/>
  <c r="AE366" i="7"/>
  <c r="AE39" i="7"/>
  <c r="AE48" i="7"/>
  <c r="AE302" i="7"/>
  <c r="AE34" i="7"/>
  <c r="AE303" i="7"/>
  <c r="AE304" i="7"/>
  <c r="AE344" i="7"/>
  <c r="AE36" i="7"/>
  <c r="AE345" i="7"/>
  <c r="AE346" i="7"/>
  <c r="AE768" i="7"/>
  <c r="AE37" i="7"/>
  <c r="AE46" i="7"/>
  <c r="AF23" i="7"/>
  <c r="AF44" i="7"/>
  <c r="AF366" i="7"/>
  <c r="AF39" i="7"/>
  <c r="AF48" i="7"/>
  <c r="AF302" i="7"/>
  <c r="AF303" i="7"/>
  <c r="AF344" i="7"/>
  <c r="AF345" i="7"/>
  <c r="AF346" i="7"/>
  <c r="AF36" i="7"/>
  <c r="AF37" i="7"/>
  <c r="AF46" i="7"/>
  <c r="AG302" i="7"/>
  <c r="AG34" i="7"/>
  <c r="AG303" i="7"/>
  <c r="AG304" i="7"/>
  <c r="AG344" i="7"/>
  <c r="AG345" i="7"/>
  <c r="AG346" i="7"/>
  <c r="AG763" i="7"/>
  <c r="AG37" i="7"/>
  <c r="AG46" i="7"/>
  <c r="AH23" i="7"/>
  <c r="AH44" i="7"/>
  <c r="AH336" i="7"/>
  <c r="AH38" i="7"/>
  <c r="AH47" i="7"/>
  <c r="AH366" i="7"/>
  <c r="AH39" i="7"/>
  <c r="AH48" i="7"/>
  <c r="AH302" i="7"/>
  <c r="AH303" i="7"/>
  <c r="AH304" i="7"/>
  <c r="AH344" i="7"/>
  <c r="AH345" i="7"/>
  <c r="AH763" i="7"/>
  <c r="AH34" i="7"/>
  <c r="AH37" i="7"/>
  <c r="AH46" i="7"/>
  <c r="AI336" i="7"/>
  <c r="AI38" i="7"/>
  <c r="AI47" i="7"/>
  <c r="AI302" i="7"/>
  <c r="AI303" i="7"/>
  <c r="AI344" i="7"/>
  <c r="AI36" i="7"/>
  <c r="AI345" i="7"/>
  <c r="AI346" i="7"/>
  <c r="AI37" i="7"/>
  <c r="AI46" i="7"/>
  <c r="AJ302" i="7"/>
  <c r="AJ303" i="7"/>
  <c r="AJ344" i="7"/>
  <c r="AJ345" i="7"/>
  <c r="AJ768" i="7"/>
  <c r="AJ37" i="7"/>
  <c r="AJ46" i="7"/>
  <c r="AK23" i="7"/>
  <c r="AK44" i="7"/>
  <c r="AK366" i="7"/>
  <c r="AK39" i="7"/>
  <c r="AK48" i="7"/>
  <c r="AK302" i="7"/>
  <c r="AK303" i="7"/>
  <c r="AK304" i="7"/>
  <c r="AK344" i="7"/>
  <c r="AK36" i="7"/>
  <c r="AK345" i="7"/>
  <c r="AK346" i="7"/>
  <c r="AK37" i="7"/>
  <c r="AK46" i="7"/>
  <c r="AL23" i="7"/>
  <c r="AL336" i="7"/>
  <c r="AL38" i="7"/>
  <c r="AL47" i="7"/>
  <c r="AL302" i="7"/>
  <c r="AL303" i="7"/>
  <c r="AL304" i="7"/>
  <c r="AL323" i="7"/>
  <c r="AL344" i="7"/>
  <c r="AL345" i="7"/>
  <c r="AL763" i="7"/>
  <c r="AL767" i="7"/>
  <c r="AL34" i="7"/>
  <c r="AL37" i="7"/>
  <c r="AL46" i="7"/>
  <c r="AM23" i="7"/>
  <c r="AM44" i="7"/>
  <c r="AM302" i="7"/>
  <c r="AM303" i="7"/>
  <c r="AM344" i="7"/>
  <c r="AM345" i="7"/>
  <c r="AM346" i="7"/>
  <c r="AM763" i="7"/>
  <c r="AM36" i="7"/>
  <c r="AM37" i="7"/>
  <c r="AM46" i="7"/>
  <c r="AN23" i="7"/>
  <c r="AN44" i="7"/>
  <c r="AN336" i="7"/>
  <c r="AN38" i="7"/>
  <c r="AN47" i="7"/>
  <c r="AN366" i="7"/>
  <c r="AN39" i="7"/>
  <c r="AN48" i="7"/>
  <c r="AN302" i="7"/>
  <c r="AN303" i="7"/>
  <c r="AN344" i="7"/>
  <c r="AN345" i="7"/>
  <c r="AN346" i="7"/>
  <c r="AN763" i="7"/>
  <c r="AN36" i="7"/>
  <c r="AN37" i="7"/>
  <c r="AN46" i="7"/>
  <c r="AO366" i="7"/>
  <c r="AO39" i="7"/>
  <c r="AO48" i="7"/>
  <c r="AO302" i="7"/>
  <c r="AO303" i="7"/>
  <c r="AO344" i="7"/>
  <c r="AO345" i="7"/>
  <c r="AO346" i="7"/>
  <c r="AO36" i="7"/>
  <c r="AO37" i="7"/>
  <c r="AO46" i="7"/>
  <c r="AP44" i="7"/>
  <c r="AP336" i="7"/>
  <c r="AP38" i="7"/>
  <c r="AP47" i="7"/>
  <c r="AP366" i="7"/>
  <c r="AP39" i="7"/>
  <c r="AP48" i="7"/>
  <c r="AP302" i="7"/>
  <c r="AP303" i="7"/>
  <c r="AP304" i="7"/>
  <c r="AP344" i="7"/>
  <c r="AP345" i="7"/>
  <c r="AP763" i="7"/>
  <c r="AP34" i="7"/>
  <c r="AP37" i="7"/>
  <c r="AP46" i="7"/>
  <c r="AQ23" i="7"/>
  <c r="AQ44" i="7"/>
  <c r="AQ336" i="7"/>
  <c r="AQ38" i="7"/>
  <c r="AQ47" i="7"/>
  <c r="AQ302" i="7"/>
  <c r="AQ303" i="7"/>
  <c r="AQ304" i="7"/>
  <c r="AQ344" i="7"/>
  <c r="AQ345" i="7"/>
  <c r="AQ346" i="7"/>
  <c r="AQ36" i="7"/>
  <c r="AQ37" i="7"/>
  <c r="AQ46" i="7"/>
  <c r="AR336" i="7"/>
  <c r="AR38" i="7"/>
  <c r="AR47" i="7"/>
  <c r="AR302" i="7"/>
  <c r="AR303" i="7"/>
  <c r="AR344" i="7"/>
  <c r="AR345" i="7"/>
  <c r="AR346" i="7"/>
  <c r="AR36" i="7"/>
  <c r="AR37" i="7"/>
  <c r="AR46" i="7"/>
  <c r="AS23" i="7"/>
  <c r="AS44" i="7"/>
  <c r="AS336" i="7"/>
  <c r="AS38" i="7"/>
  <c r="AS47" i="7"/>
  <c r="AS366" i="7"/>
  <c r="AS39" i="7"/>
  <c r="AS48" i="7"/>
  <c r="AS302" i="7"/>
  <c r="AS34" i="7"/>
  <c r="AS303" i="7"/>
  <c r="AS304" i="7"/>
  <c r="AS324" i="7"/>
  <c r="AS344" i="7"/>
  <c r="AS345" i="7"/>
  <c r="AS346" i="7"/>
  <c r="AS763" i="7"/>
  <c r="AS36" i="7"/>
  <c r="AS37" i="7"/>
  <c r="AS46" i="7"/>
  <c r="AT23" i="7"/>
  <c r="AT44" i="7"/>
  <c r="AT336" i="7"/>
  <c r="AT38" i="7"/>
  <c r="AT47" i="7"/>
  <c r="AT366" i="7"/>
  <c r="AT39" i="7"/>
  <c r="AT48" i="7"/>
  <c r="AT302" i="7"/>
  <c r="AT303" i="7"/>
  <c r="AT304" i="7"/>
  <c r="AT344" i="7"/>
  <c r="AT345" i="7"/>
  <c r="AT34" i="7"/>
  <c r="AT37" i="7"/>
  <c r="AT46" i="7"/>
  <c r="AU23" i="7"/>
  <c r="AU44" i="7"/>
  <c r="AU336" i="7"/>
  <c r="AU38" i="7"/>
  <c r="AU47" i="7"/>
  <c r="AU366" i="7"/>
  <c r="AU39" i="7"/>
  <c r="AU48" i="7"/>
  <c r="AU302" i="7"/>
  <c r="AU303" i="7"/>
  <c r="AU304" i="7"/>
  <c r="AU344" i="7"/>
  <c r="AU345" i="7"/>
  <c r="AU346" i="7"/>
  <c r="AU36" i="7"/>
  <c r="AU763" i="7"/>
  <c r="AU767" i="7"/>
  <c r="AU37" i="7"/>
  <c r="AU46" i="7"/>
  <c r="AV23" i="7"/>
  <c r="AV44" i="7"/>
  <c r="AV302" i="7"/>
  <c r="AV303" i="7"/>
  <c r="AV324" i="7"/>
  <c r="AV344" i="7"/>
  <c r="AV345" i="7"/>
  <c r="AV346" i="7"/>
  <c r="AV763" i="7"/>
  <c r="AV36" i="7"/>
  <c r="AV37" i="7"/>
  <c r="AV46" i="7"/>
  <c r="AW366" i="7"/>
  <c r="AW39" i="7"/>
  <c r="AW48" i="7"/>
  <c r="AW302" i="7"/>
  <c r="AW303" i="7"/>
  <c r="AW344" i="7"/>
  <c r="AW345" i="7"/>
  <c r="AW346" i="7"/>
  <c r="AW36" i="7"/>
  <c r="AW37" i="7"/>
  <c r="AW46" i="7"/>
  <c r="AX366" i="7"/>
  <c r="AX39" i="7"/>
  <c r="AX48" i="7"/>
  <c r="AX302" i="7"/>
  <c r="AX303" i="7"/>
  <c r="AX324" i="7"/>
  <c r="AX344" i="7"/>
  <c r="AX345" i="7"/>
  <c r="AX34" i="7"/>
  <c r="AX37" i="7"/>
  <c r="AX46" i="7"/>
  <c r="AY23" i="7"/>
  <c r="AY44" i="7"/>
  <c r="AY366" i="7"/>
  <c r="AY39" i="7"/>
  <c r="AY48" i="7"/>
  <c r="AY302" i="7"/>
  <c r="AY303" i="7"/>
  <c r="AY344" i="7"/>
  <c r="AY345" i="7"/>
  <c r="AY763" i="7"/>
  <c r="AY37" i="7"/>
  <c r="AY46" i="7"/>
  <c r="AZ366" i="7"/>
  <c r="AZ39" i="7"/>
  <c r="AZ48" i="7"/>
  <c r="AZ302" i="7"/>
  <c r="AZ303" i="7"/>
  <c r="AZ344" i="7"/>
  <c r="AZ345" i="7"/>
  <c r="AZ763" i="7"/>
  <c r="AZ37" i="7"/>
  <c r="AZ46" i="7"/>
  <c r="BA23" i="7"/>
  <c r="BA44" i="7"/>
  <c r="BA302" i="7"/>
  <c r="BA303" i="7"/>
  <c r="BA304" i="7"/>
  <c r="BA344" i="7"/>
  <c r="BA36" i="7"/>
  <c r="BA345" i="7"/>
  <c r="BA346" i="7"/>
  <c r="BA37" i="7"/>
  <c r="BA46" i="7"/>
  <c r="BB23" i="7"/>
  <c r="BB44" i="7"/>
  <c r="BB302" i="7"/>
  <c r="BB303" i="7"/>
  <c r="BB323" i="7"/>
  <c r="BB344" i="7"/>
  <c r="BB345" i="7"/>
  <c r="BB763" i="7"/>
  <c r="BB37" i="7"/>
  <c r="BB46" i="7"/>
  <c r="BC23" i="7"/>
  <c r="BC44" i="7"/>
  <c r="BC302" i="7"/>
  <c r="BC303" i="7"/>
  <c r="BC304" i="7"/>
  <c r="BC324" i="7"/>
  <c r="BC344" i="7"/>
  <c r="BC345" i="7"/>
  <c r="BC346" i="7"/>
  <c r="BC763" i="7"/>
  <c r="BC36" i="7"/>
  <c r="BC37" i="7"/>
  <c r="BC46" i="7"/>
  <c r="BD23" i="7"/>
  <c r="BD44" i="7"/>
  <c r="BD336" i="7"/>
  <c r="BD38" i="7"/>
  <c r="BD47" i="7"/>
  <c r="BD366" i="7"/>
  <c r="BD39" i="7"/>
  <c r="BD48" i="7"/>
  <c r="BD302" i="7"/>
  <c r="BD303" i="7"/>
  <c r="BD344" i="7"/>
  <c r="BD345" i="7"/>
  <c r="BD768" i="7"/>
  <c r="BD37" i="7"/>
  <c r="BD46" i="7"/>
  <c r="BE336" i="7"/>
  <c r="BE38" i="7"/>
  <c r="BE47" i="7"/>
  <c r="BE366" i="7"/>
  <c r="BE39" i="7"/>
  <c r="BE48" i="7"/>
  <c r="BE302" i="7"/>
  <c r="BE34" i="7"/>
  <c r="BE303" i="7"/>
  <c r="BE304" i="7"/>
  <c r="BE344" i="7"/>
  <c r="BE345" i="7"/>
  <c r="BE346" i="7"/>
  <c r="BE763" i="7"/>
  <c r="BE36" i="7"/>
  <c r="BE37" i="7"/>
  <c r="BE46" i="7"/>
  <c r="G51" i="7"/>
  <c r="M14" i="1"/>
  <c r="H64" i="7"/>
  <c r="I64" i="7"/>
  <c r="J64" i="7"/>
  <c r="K64" i="7"/>
  <c r="L64" i="7"/>
  <c r="M64" i="7"/>
  <c r="N64" i="7"/>
  <c r="O64" i="7"/>
  <c r="P64" i="7"/>
  <c r="Q64" i="7"/>
  <c r="R64" i="7"/>
  <c r="S64" i="7"/>
  <c r="T64" i="7"/>
  <c r="U64" i="7"/>
  <c r="V64" i="7"/>
  <c r="W64" i="7"/>
  <c r="X64" i="7"/>
  <c r="Y64" i="7"/>
  <c r="Z64" i="7"/>
  <c r="AA64" i="7"/>
  <c r="AB64" i="7"/>
  <c r="AC64" i="7"/>
  <c r="AD64" i="7"/>
  <c r="AE64" i="7"/>
  <c r="AF64" i="7"/>
  <c r="AG64" i="7"/>
  <c r="AH64" i="7"/>
  <c r="AI64" i="7"/>
  <c r="AJ64" i="7"/>
  <c r="AK64" i="7"/>
  <c r="AL64" i="7"/>
  <c r="AM64" i="7"/>
  <c r="AN64" i="7"/>
  <c r="AO64" i="7"/>
  <c r="AP64" i="7"/>
  <c r="AQ64" i="7"/>
  <c r="AR64" i="7"/>
  <c r="AS64" i="7"/>
  <c r="AT64" i="7"/>
  <c r="AU64" i="7"/>
  <c r="AV64" i="7"/>
  <c r="AW64" i="7"/>
  <c r="AX64" i="7"/>
  <c r="AY64" i="7"/>
  <c r="AZ64" i="7"/>
  <c r="BA64" i="7"/>
  <c r="BB64" i="7"/>
  <c r="BC64" i="7"/>
  <c r="BD64" i="7"/>
  <c r="BE64" i="7"/>
  <c r="G98" i="7"/>
  <c r="H68" i="7"/>
  <c r="H89" i="7"/>
  <c r="O36" i="6"/>
  <c r="G373" i="7"/>
  <c r="H389" i="7"/>
  <c r="G392" i="7"/>
  <c r="H410" i="7"/>
  <c r="G415" i="7"/>
  <c r="H431" i="7"/>
  <c r="H82" i="7"/>
  <c r="H91" i="7"/>
  <c r="O38" i="6"/>
  <c r="O39" i="6"/>
  <c r="H411" i="7"/>
  <c r="O84" i="6"/>
  <c r="G396" i="7"/>
  <c r="G435" i="7"/>
  <c r="H441" i="7"/>
  <c r="G436" i="7"/>
  <c r="H442" i="7"/>
  <c r="G374" i="7"/>
  <c r="G393" i="7"/>
  <c r="G417" i="7"/>
  <c r="G416" i="7"/>
  <c r="I420" i="7"/>
  <c r="G781" i="7"/>
  <c r="D775" i="7"/>
  <c r="Z777" i="7"/>
  <c r="H777" i="7"/>
  <c r="H781" i="7"/>
  <c r="G782" i="7"/>
  <c r="H782" i="7"/>
  <c r="H783" i="7"/>
  <c r="H77" i="7"/>
  <c r="I68" i="7"/>
  <c r="I89" i="7"/>
  <c r="I777" i="7"/>
  <c r="I781" i="7"/>
  <c r="I782" i="7"/>
  <c r="I783" i="7"/>
  <c r="I77" i="7"/>
  <c r="I82" i="7"/>
  <c r="I91" i="7"/>
  <c r="J68" i="7"/>
  <c r="J89" i="7"/>
  <c r="J442" i="7"/>
  <c r="J84" i="7"/>
  <c r="J93" i="7"/>
  <c r="J777" i="7"/>
  <c r="J781" i="7"/>
  <c r="J782" i="7"/>
  <c r="J783" i="7"/>
  <c r="J77" i="7"/>
  <c r="J82" i="7"/>
  <c r="J91" i="7"/>
  <c r="K68" i="7"/>
  <c r="K442" i="7"/>
  <c r="K84" i="7"/>
  <c r="K93" i="7"/>
  <c r="K777" i="7"/>
  <c r="K781" i="7"/>
  <c r="K782" i="7"/>
  <c r="K82" i="7"/>
  <c r="K91" i="7"/>
  <c r="L68" i="7"/>
  <c r="L89" i="7"/>
  <c r="L399" i="7"/>
  <c r="L777" i="7"/>
  <c r="L781" i="7"/>
  <c r="L782" i="7"/>
  <c r="L783" i="7"/>
  <c r="L77" i="7"/>
  <c r="L80" i="7"/>
  <c r="L82" i="7"/>
  <c r="L91" i="7"/>
  <c r="M68" i="7"/>
  <c r="M89" i="7"/>
  <c r="M777" i="7"/>
  <c r="M781" i="7"/>
  <c r="M782" i="7"/>
  <c r="M783" i="7"/>
  <c r="M77" i="7"/>
  <c r="M82" i="7"/>
  <c r="M91" i="7"/>
  <c r="N68" i="7"/>
  <c r="N89" i="7"/>
  <c r="N442" i="7"/>
  <c r="N84" i="7"/>
  <c r="N93" i="7"/>
  <c r="N777" i="7"/>
  <c r="N781" i="7"/>
  <c r="N782" i="7"/>
  <c r="N783" i="7"/>
  <c r="N77" i="7"/>
  <c r="N82" i="7"/>
  <c r="N91" i="7"/>
  <c r="O68" i="7"/>
  <c r="O442" i="7"/>
  <c r="O84" i="7"/>
  <c r="O93" i="7"/>
  <c r="O400" i="7"/>
  <c r="O777" i="7"/>
  <c r="O781" i="7"/>
  <c r="O782" i="7"/>
  <c r="O783" i="7"/>
  <c r="O77" i="7"/>
  <c r="O82" i="7"/>
  <c r="O91" i="7"/>
  <c r="P68" i="7"/>
  <c r="P89" i="7"/>
  <c r="P399" i="7"/>
  <c r="P400" i="7"/>
  <c r="P401" i="7"/>
  <c r="P777" i="7"/>
  <c r="P781" i="7"/>
  <c r="P782" i="7"/>
  <c r="P80" i="7"/>
  <c r="P82" i="7"/>
  <c r="P91" i="7"/>
  <c r="Q68" i="7"/>
  <c r="Q89" i="7"/>
  <c r="Q412" i="7"/>
  <c r="Q83" i="7"/>
  <c r="Q92" i="7"/>
  <c r="Q399" i="7"/>
  <c r="Q80" i="7"/>
  <c r="Q421" i="7"/>
  <c r="Q777" i="7"/>
  <c r="Q781" i="7"/>
  <c r="Q782" i="7"/>
  <c r="Q783" i="7"/>
  <c r="Q77" i="7"/>
  <c r="Q82" i="7"/>
  <c r="Q91" i="7"/>
  <c r="R68" i="7"/>
  <c r="R89" i="7"/>
  <c r="R412" i="7"/>
  <c r="R83" i="7"/>
  <c r="R92" i="7"/>
  <c r="R399" i="7"/>
  <c r="R421" i="7"/>
  <c r="R777" i="7"/>
  <c r="R781" i="7"/>
  <c r="R782" i="7"/>
  <c r="R783" i="7"/>
  <c r="R77" i="7"/>
  <c r="R82" i="7"/>
  <c r="R91" i="7"/>
  <c r="S68" i="7"/>
  <c r="S89" i="7"/>
  <c r="S412" i="7"/>
  <c r="S83" i="7"/>
  <c r="S92" i="7"/>
  <c r="S442" i="7"/>
  <c r="S84" i="7"/>
  <c r="S93" i="7"/>
  <c r="S400" i="7"/>
  <c r="S420" i="7"/>
  <c r="S777" i="7"/>
  <c r="S781" i="7"/>
  <c r="S782" i="7"/>
  <c r="S783" i="7"/>
  <c r="S77" i="7"/>
  <c r="S82" i="7"/>
  <c r="S91" i="7"/>
  <c r="T68" i="7"/>
  <c r="T412" i="7"/>
  <c r="T83" i="7"/>
  <c r="T92" i="7"/>
  <c r="T379" i="7"/>
  <c r="T400" i="7"/>
  <c r="T420" i="7"/>
  <c r="T421" i="7"/>
  <c r="T777" i="7"/>
  <c r="T781" i="7"/>
  <c r="T782" i="7"/>
  <c r="T82" i="7"/>
  <c r="T91" i="7"/>
  <c r="U68" i="7"/>
  <c r="U89" i="7"/>
  <c r="U412" i="7"/>
  <c r="U83" i="7"/>
  <c r="U92" i="7"/>
  <c r="U400" i="7"/>
  <c r="U777" i="7"/>
  <c r="U781" i="7"/>
  <c r="U782" i="7"/>
  <c r="U783" i="7"/>
  <c r="U77" i="7"/>
  <c r="U82" i="7"/>
  <c r="U91" i="7"/>
  <c r="V68" i="7"/>
  <c r="V89" i="7"/>
  <c r="V412" i="7"/>
  <c r="V83" i="7"/>
  <c r="V92" i="7"/>
  <c r="V399" i="7"/>
  <c r="V421" i="7"/>
  <c r="V777" i="7"/>
  <c r="V781" i="7"/>
  <c r="V782" i="7"/>
  <c r="V783" i="7"/>
  <c r="V77" i="7"/>
  <c r="V82" i="7"/>
  <c r="V91" i="7"/>
  <c r="W68" i="7"/>
  <c r="W89" i="7"/>
  <c r="W412" i="7"/>
  <c r="W83" i="7"/>
  <c r="W92" i="7"/>
  <c r="W442" i="7"/>
  <c r="W84" i="7"/>
  <c r="W93" i="7"/>
  <c r="W400" i="7"/>
  <c r="W420" i="7"/>
  <c r="W777" i="7"/>
  <c r="W781" i="7"/>
  <c r="W782" i="7"/>
  <c r="W783" i="7"/>
  <c r="W77" i="7"/>
  <c r="W82" i="7"/>
  <c r="W91" i="7"/>
  <c r="X68" i="7"/>
  <c r="X412" i="7"/>
  <c r="X83" i="7"/>
  <c r="X92" i="7"/>
  <c r="X400" i="7"/>
  <c r="X777" i="7"/>
  <c r="X781" i="7"/>
  <c r="X782" i="7"/>
  <c r="X783" i="7"/>
  <c r="X77" i="7"/>
  <c r="X82" i="7"/>
  <c r="X91" i="7"/>
  <c r="Y68" i="7"/>
  <c r="Y89" i="7"/>
  <c r="Y412" i="7"/>
  <c r="Y83" i="7"/>
  <c r="Y92" i="7"/>
  <c r="Y400" i="7"/>
  <c r="Y420" i="7"/>
  <c r="Y81" i="7"/>
  <c r="Y777" i="7"/>
  <c r="Y781" i="7"/>
  <c r="Y782" i="7"/>
  <c r="Y783" i="7"/>
  <c r="Y77" i="7"/>
  <c r="Y82" i="7"/>
  <c r="Y91" i="7"/>
  <c r="Z68" i="7"/>
  <c r="Z89" i="7"/>
  <c r="Z412" i="7"/>
  <c r="Z83" i="7"/>
  <c r="Z92" i="7"/>
  <c r="Z399" i="7"/>
  <c r="Z420" i="7"/>
  <c r="Z781" i="7"/>
  <c r="Z782" i="7"/>
  <c r="Z783" i="7"/>
  <c r="Z77" i="7"/>
  <c r="Z82" i="7"/>
  <c r="Z91" i="7"/>
  <c r="AA68" i="7"/>
  <c r="AA89" i="7"/>
  <c r="AA412" i="7"/>
  <c r="AA83" i="7"/>
  <c r="AA92" i="7"/>
  <c r="AA442" i="7"/>
  <c r="AA84" i="7"/>
  <c r="AA93" i="7"/>
  <c r="AA400" i="7"/>
  <c r="AA420" i="7"/>
  <c r="AA777" i="7"/>
  <c r="AA781" i="7"/>
  <c r="AA782" i="7"/>
  <c r="AA783" i="7"/>
  <c r="AA77" i="7"/>
  <c r="AA82" i="7"/>
  <c r="AA91" i="7"/>
  <c r="AB68" i="7"/>
  <c r="AB412" i="7"/>
  <c r="AB83" i="7"/>
  <c r="AB92" i="7"/>
  <c r="AB442" i="7"/>
  <c r="AB84" i="7"/>
  <c r="AB93" i="7"/>
  <c r="AB399" i="7"/>
  <c r="AB80" i="7"/>
  <c r="AB400" i="7"/>
  <c r="AB420" i="7"/>
  <c r="AB782" i="7"/>
  <c r="AB82" i="7"/>
  <c r="AB91" i="7"/>
  <c r="AC68" i="7"/>
  <c r="AC89" i="7"/>
  <c r="AC412" i="7"/>
  <c r="AC83" i="7"/>
  <c r="AC92" i="7"/>
  <c r="AC442" i="7"/>
  <c r="AC84" i="7"/>
  <c r="AC93" i="7"/>
  <c r="AC399" i="7"/>
  <c r="AC400" i="7"/>
  <c r="AC401" i="7"/>
  <c r="AC421" i="7"/>
  <c r="AC782" i="7"/>
  <c r="AC80" i="7"/>
  <c r="AC82" i="7"/>
  <c r="AC91" i="7"/>
  <c r="AD68" i="7"/>
  <c r="AD89" i="7"/>
  <c r="AD442" i="7"/>
  <c r="AD84" i="7"/>
  <c r="AD93" i="7"/>
  <c r="AD399" i="7"/>
  <c r="AD400" i="7"/>
  <c r="AD421" i="7"/>
  <c r="AD427" i="7"/>
  <c r="AD777" i="7"/>
  <c r="AD781" i="7"/>
  <c r="AD782" i="7"/>
  <c r="AD783" i="7"/>
  <c r="AD77" i="7"/>
  <c r="AD82" i="7"/>
  <c r="AD91" i="7"/>
  <c r="AE68" i="7"/>
  <c r="AE89" i="7"/>
  <c r="AE412" i="7"/>
  <c r="AE83" i="7"/>
  <c r="AE92" i="7"/>
  <c r="AE399" i="7"/>
  <c r="AE400" i="7"/>
  <c r="AE401" i="7"/>
  <c r="AE420" i="7"/>
  <c r="AE421" i="7"/>
  <c r="AE782" i="7"/>
  <c r="AE80" i="7"/>
  <c r="AE82" i="7"/>
  <c r="AE91" i="7"/>
  <c r="AF68" i="7"/>
  <c r="AF412" i="7"/>
  <c r="AF83" i="7"/>
  <c r="AF92" i="7"/>
  <c r="AF400" i="7"/>
  <c r="AF421" i="7"/>
  <c r="AF777" i="7"/>
  <c r="AF781" i="7"/>
  <c r="AF782" i="7"/>
  <c r="AF783" i="7"/>
  <c r="AF77" i="7"/>
  <c r="AF82" i="7"/>
  <c r="AF91" i="7"/>
  <c r="AG68" i="7"/>
  <c r="AG89" i="7"/>
  <c r="AG412" i="7"/>
  <c r="AG83" i="7"/>
  <c r="AG92" i="7"/>
  <c r="AG378" i="7"/>
  <c r="AG400" i="7"/>
  <c r="AG420" i="7"/>
  <c r="AG81" i="7"/>
  <c r="AG421" i="7"/>
  <c r="AG777" i="7"/>
  <c r="AG781" i="7"/>
  <c r="AG782" i="7"/>
  <c r="AG82" i="7"/>
  <c r="AG91" i="7"/>
  <c r="AH68" i="7"/>
  <c r="AH89" i="7"/>
  <c r="AH412" i="7"/>
  <c r="AH83" i="7"/>
  <c r="AH92" i="7"/>
  <c r="AH442" i="7"/>
  <c r="AH84" i="7"/>
  <c r="AH93" i="7"/>
  <c r="AH399" i="7"/>
  <c r="AH400" i="7"/>
  <c r="AH777" i="7"/>
  <c r="AH781" i="7"/>
  <c r="AH782" i="7"/>
  <c r="AH783" i="7"/>
  <c r="AH77" i="7"/>
  <c r="AH82" i="7"/>
  <c r="AH91" i="7"/>
  <c r="AI68" i="7"/>
  <c r="AI89" i="7"/>
  <c r="AI442" i="7"/>
  <c r="AI84" i="7"/>
  <c r="AI93" i="7"/>
  <c r="AI399" i="7"/>
  <c r="AI80" i="7"/>
  <c r="AI420" i="7"/>
  <c r="AI421" i="7"/>
  <c r="AI777" i="7"/>
  <c r="AI781" i="7"/>
  <c r="AI782" i="7"/>
  <c r="AI783" i="7"/>
  <c r="AI77" i="7"/>
  <c r="AI82" i="7"/>
  <c r="AI91" i="7"/>
  <c r="AJ68" i="7"/>
  <c r="AJ442" i="7"/>
  <c r="AJ84" i="7"/>
  <c r="AJ93" i="7"/>
  <c r="AJ379" i="7"/>
  <c r="AJ399" i="7"/>
  <c r="AJ80" i="7"/>
  <c r="AJ400" i="7"/>
  <c r="AJ401" i="7"/>
  <c r="AJ420" i="7"/>
  <c r="AJ777" i="7"/>
  <c r="AJ781" i="7"/>
  <c r="AJ782" i="7"/>
  <c r="AJ783" i="7"/>
  <c r="AJ77" i="7"/>
  <c r="AJ82" i="7"/>
  <c r="AJ91" i="7"/>
  <c r="AK68" i="7"/>
  <c r="AK89" i="7"/>
  <c r="AK442" i="7"/>
  <c r="AK84" i="7"/>
  <c r="AK93" i="7"/>
  <c r="AK378" i="7"/>
  <c r="AK399" i="7"/>
  <c r="AK420" i="7"/>
  <c r="AK81" i="7"/>
  <c r="AK777" i="7"/>
  <c r="AK781" i="7"/>
  <c r="AK782" i="7"/>
  <c r="AK80" i="7"/>
  <c r="AK82" i="7"/>
  <c r="AK91" i="7"/>
  <c r="AL68" i="7"/>
  <c r="AL89" i="7"/>
  <c r="AL412" i="7"/>
  <c r="AL83" i="7"/>
  <c r="AL92" i="7"/>
  <c r="AL442" i="7"/>
  <c r="AL84" i="7"/>
  <c r="AL93" i="7"/>
  <c r="AL400" i="7"/>
  <c r="AL420" i="7"/>
  <c r="AL777" i="7"/>
  <c r="AL781" i="7"/>
  <c r="AL782" i="7"/>
  <c r="AL783" i="7"/>
  <c r="AL77" i="7"/>
  <c r="AL82" i="7"/>
  <c r="AL91" i="7"/>
  <c r="AM68" i="7"/>
  <c r="AM89" i="7"/>
  <c r="AM412" i="7"/>
  <c r="AM83" i="7"/>
  <c r="AM92" i="7"/>
  <c r="AM442" i="7"/>
  <c r="AM84" i="7"/>
  <c r="AM93" i="7"/>
  <c r="AM399" i="7"/>
  <c r="AM400" i="7"/>
  <c r="AM401" i="7"/>
  <c r="AM777" i="7"/>
  <c r="AM781" i="7"/>
  <c r="AM782" i="7"/>
  <c r="AM783" i="7"/>
  <c r="AM77" i="7"/>
  <c r="AM80" i="7"/>
  <c r="AM82" i="7"/>
  <c r="AM91" i="7"/>
  <c r="AN68" i="7"/>
  <c r="AN412" i="7"/>
  <c r="AN83" i="7"/>
  <c r="AN92" i="7"/>
  <c r="AN442" i="7"/>
  <c r="AN84" i="7"/>
  <c r="AN93" i="7"/>
  <c r="AN399" i="7"/>
  <c r="AN80" i="7"/>
  <c r="AN777" i="7"/>
  <c r="AN781" i="7"/>
  <c r="AN782" i="7"/>
  <c r="AN783" i="7"/>
  <c r="AN77" i="7"/>
  <c r="AN82" i="7"/>
  <c r="AN91" i="7"/>
  <c r="AO68" i="7"/>
  <c r="AO89" i="7"/>
  <c r="AO412" i="7"/>
  <c r="AO83" i="7"/>
  <c r="AO92" i="7"/>
  <c r="AO442" i="7"/>
  <c r="AO84" i="7"/>
  <c r="AO93" i="7"/>
  <c r="AO378" i="7"/>
  <c r="AO399" i="7"/>
  <c r="AO400" i="7"/>
  <c r="AO420" i="7"/>
  <c r="AO81" i="7"/>
  <c r="AO777" i="7"/>
  <c r="AO781" i="7"/>
  <c r="AO782" i="7"/>
  <c r="AO82" i="7"/>
  <c r="AO91" i="7"/>
  <c r="AP68" i="7"/>
  <c r="AP89" i="7"/>
  <c r="AP412" i="7"/>
  <c r="AP83" i="7"/>
  <c r="AP92" i="7"/>
  <c r="AP399" i="7"/>
  <c r="AP421" i="7"/>
  <c r="AP782" i="7"/>
  <c r="AP82" i="7"/>
  <c r="AP91" i="7"/>
  <c r="AQ68" i="7"/>
  <c r="AQ89" i="7"/>
  <c r="AQ412" i="7"/>
  <c r="AQ83" i="7"/>
  <c r="AQ92" i="7"/>
  <c r="AQ442" i="7"/>
  <c r="AQ84" i="7"/>
  <c r="AQ93" i="7"/>
  <c r="AQ400" i="7"/>
  <c r="AQ777" i="7"/>
  <c r="AQ781" i="7"/>
  <c r="AQ782" i="7"/>
  <c r="AQ783" i="7"/>
  <c r="AQ77" i="7"/>
  <c r="AQ82" i="7"/>
  <c r="AQ91" i="7"/>
  <c r="AR68" i="7"/>
  <c r="AR412" i="7"/>
  <c r="AR83" i="7"/>
  <c r="AR92" i="7"/>
  <c r="AR442" i="7"/>
  <c r="AR84" i="7"/>
  <c r="AR93" i="7"/>
  <c r="AR399" i="7"/>
  <c r="AR400" i="7"/>
  <c r="AR401" i="7"/>
  <c r="AR80" i="7"/>
  <c r="AR421" i="7"/>
  <c r="AR782" i="7"/>
  <c r="AR82" i="7"/>
  <c r="AR91" i="7"/>
  <c r="AS68" i="7"/>
  <c r="AS89" i="7"/>
  <c r="AS412" i="7"/>
  <c r="AS83" i="7"/>
  <c r="AS92" i="7"/>
  <c r="AS442" i="7"/>
  <c r="AS84" i="7"/>
  <c r="AS93" i="7"/>
  <c r="AS399" i="7"/>
  <c r="AS400" i="7"/>
  <c r="AS401" i="7"/>
  <c r="AS782" i="7"/>
  <c r="AS80" i="7"/>
  <c r="AS82" i="7"/>
  <c r="AS91" i="7"/>
  <c r="AT68" i="7"/>
  <c r="AT89" i="7"/>
  <c r="AT442" i="7"/>
  <c r="AT84" i="7"/>
  <c r="AT93" i="7"/>
  <c r="AT399" i="7"/>
  <c r="AT400" i="7"/>
  <c r="AT777" i="7"/>
  <c r="AT781" i="7"/>
  <c r="AT782" i="7"/>
  <c r="AT783" i="7"/>
  <c r="AT77" i="7"/>
  <c r="AT82" i="7"/>
  <c r="AT91" i="7"/>
  <c r="AU68" i="7"/>
  <c r="AU89" i="7"/>
  <c r="AU412" i="7"/>
  <c r="AU83" i="7"/>
  <c r="AU92" i="7"/>
  <c r="AU399" i="7"/>
  <c r="AU400" i="7"/>
  <c r="AU782" i="7"/>
  <c r="AU80" i="7"/>
  <c r="AU82" i="7"/>
  <c r="AU91" i="7"/>
  <c r="AV68" i="7"/>
  <c r="AV412" i="7"/>
  <c r="AV83" i="7"/>
  <c r="AV92" i="7"/>
  <c r="AV379" i="7"/>
  <c r="AV400" i="7"/>
  <c r="AV777" i="7"/>
  <c r="AV781" i="7"/>
  <c r="AV782" i="7"/>
  <c r="AV783" i="7"/>
  <c r="AV77" i="7"/>
  <c r="AV82" i="7"/>
  <c r="AV91" i="7"/>
  <c r="AW68" i="7"/>
  <c r="AW89" i="7"/>
  <c r="AW412" i="7"/>
  <c r="AW83" i="7"/>
  <c r="AW92" i="7"/>
  <c r="AW400" i="7"/>
  <c r="AW777" i="7"/>
  <c r="AW781" i="7"/>
  <c r="AW782" i="7"/>
  <c r="AW783" i="7"/>
  <c r="AW77" i="7"/>
  <c r="AW82" i="7"/>
  <c r="AW91" i="7"/>
  <c r="AX68" i="7"/>
  <c r="AX89" i="7"/>
  <c r="AX412" i="7"/>
  <c r="AX83" i="7"/>
  <c r="AX92" i="7"/>
  <c r="AX399" i="7"/>
  <c r="AX782" i="7"/>
  <c r="AX82" i="7"/>
  <c r="AX91" i="7"/>
  <c r="AY68" i="7"/>
  <c r="AY89" i="7"/>
  <c r="AY412" i="7"/>
  <c r="AY83" i="7"/>
  <c r="AY92" i="7"/>
  <c r="AY442" i="7"/>
  <c r="AY84" i="7"/>
  <c r="AY93" i="7"/>
  <c r="AY400" i="7"/>
  <c r="AY420" i="7"/>
  <c r="AY777" i="7"/>
  <c r="AY781" i="7"/>
  <c r="AY782" i="7"/>
  <c r="AY783" i="7"/>
  <c r="AY77" i="7"/>
  <c r="AY82" i="7"/>
  <c r="AY91" i="7"/>
  <c r="AZ68" i="7"/>
  <c r="AZ412" i="7"/>
  <c r="AZ83" i="7"/>
  <c r="AZ92" i="7"/>
  <c r="AZ442" i="7"/>
  <c r="AZ84" i="7"/>
  <c r="AZ93" i="7"/>
  <c r="AZ399" i="7"/>
  <c r="AZ80" i="7"/>
  <c r="AZ400" i="7"/>
  <c r="AZ401" i="7"/>
  <c r="AZ777" i="7"/>
  <c r="AZ781" i="7"/>
  <c r="AZ782" i="7"/>
  <c r="AZ783" i="7"/>
  <c r="AZ77" i="7"/>
  <c r="AZ82" i="7"/>
  <c r="AZ91" i="7"/>
  <c r="BA68" i="7"/>
  <c r="BA89" i="7"/>
  <c r="BA412" i="7"/>
  <c r="BA83" i="7"/>
  <c r="BA92" i="7"/>
  <c r="BA442" i="7"/>
  <c r="BA84" i="7"/>
  <c r="BA93" i="7"/>
  <c r="BA399" i="7"/>
  <c r="BA80" i="7"/>
  <c r="BA400" i="7"/>
  <c r="BA421" i="7"/>
  <c r="BA777" i="7"/>
  <c r="BA781" i="7"/>
  <c r="BA782" i="7"/>
  <c r="BA783" i="7"/>
  <c r="BA77" i="7"/>
  <c r="BA82" i="7"/>
  <c r="BA91" i="7"/>
  <c r="BB68" i="7"/>
  <c r="BB89" i="7"/>
  <c r="BB412" i="7"/>
  <c r="BB83" i="7"/>
  <c r="BB92" i="7"/>
  <c r="BB442" i="7"/>
  <c r="BB84" i="7"/>
  <c r="BB93" i="7"/>
  <c r="BB400" i="7"/>
  <c r="BB420" i="7"/>
  <c r="BB777" i="7"/>
  <c r="BB781" i="7"/>
  <c r="BB782" i="7"/>
  <c r="BB783" i="7"/>
  <c r="BB77" i="7"/>
  <c r="BB82" i="7"/>
  <c r="BB91" i="7"/>
  <c r="BC68" i="7"/>
  <c r="BC89" i="7"/>
  <c r="BC412" i="7"/>
  <c r="BC83" i="7"/>
  <c r="BC92" i="7"/>
  <c r="BC442" i="7"/>
  <c r="BC84" i="7"/>
  <c r="BC93" i="7"/>
  <c r="BC399" i="7"/>
  <c r="BC80" i="7"/>
  <c r="BC400" i="7"/>
  <c r="BC777" i="7"/>
  <c r="BC781" i="7"/>
  <c r="BC782" i="7"/>
  <c r="BC82" i="7"/>
  <c r="BC91" i="7"/>
  <c r="BD68" i="7"/>
  <c r="BD412" i="7"/>
  <c r="BD83" i="7"/>
  <c r="BD92" i="7"/>
  <c r="BD442" i="7"/>
  <c r="BD84" i="7"/>
  <c r="BD93" i="7"/>
  <c r="BD399" i="7"/>
  <c r="BD80" i="7"/>
  <c r="BD400" i="7"/>
  <c r="BD401" i="7"/>
  <c r="BD777" i="7"/>
  <c r="BD781" i="7"/>
  <c r="BD782" i="7"/>
  <c r="BD783" i="7"/>
  <c r="BD77" i="7"/>
  <c r="BD82" i="7"/>
  <c r="BD91" i="7"/>
  <c r="BE68" i="7"/>
  <c r="BE89" i="7"/>
  <c r="BE412" i="7"/>
  <c r="BE83" i="7"/>
  <c r="BE92" i="7"/>
  <c r="BE442" i="7"/>
  <c r="BE84" i="7"/>
  <c r="BE93" i="7"/>
  <c r="BE399" i="7"/>
  <c r="BE80" i="7"/>
  <c r="BE400" i="7"/>
  <c r="BE421" i="7"/>
  <c r="BE777" i="7"/>
  <c r="BE781" i="7"/>
  <c r="BE782" i="7"/>
  <c r="BE783" i="7"/>
  <c r="BE77" i="7"/>
  <c r="BE82" i="7"/>
  <c r="BE91" i="7"/>
  <c r="G96" i="7"/>
  <c r="N14" i="1"/>
  <c r="H111" i="7"/>
  <c r="I111" i="7"/>
  <c r="J111" i="7"/>
  <c r="K111" i="7"/>
  <c r="L111" i="7"/>
  <c r="M111" i="7"/>
  <c r="N111" i="7"/>
  <c r="O111" i="7"/>
  <c r="P111" i="7"/>
  <c r="Q111" i="7"/>
  <c r="R111" i="7"/>
  <c r="S111" i="7"/>
  <c r="T111" i="7"/>
  <c r="U111" i="7"/>
  <c r="V111" i="7"/>
  <c r="W111" i="7"/>
  <c r="X111" i="7"/>
  <c r="Y111" i="7"/>
  <c r="Z111" i="7"/>
  <c r="AA111" i="7"/>
  <c r="AB111" i="7"/>
  <c r="AC111" i="7"/>
  <c r="AD111" i="7"/>
  <c r="AE111" i="7"/>
  <c r="AF111" i="7"/>
  <c r="AG111" i="7"/>
  <c r="AH111" i="7"/>
  <c r="AI111" i="7"/>
  <c r="AJ111" i="7"/>
  <c r="AK111" i="7"/>
  <c r="AL111" i="7"/>
  <c r="AM111" i="7"/>
  <c r="AN111" i="7"/>
  <c r="AO111" i="7"/>
  <c r="AP111" i="7"/>
  <c r="AQ111" i="7"/>
  <c r="AR111" i="7"/>
  <c r="AS111" i="7"/>
  <c r="AT111" i="7"/>
  <c r="AU111" i="7"/>
  <c r="AV111" i="7"/>
  <c r="AW111" i="7"/>
  <c r="AX111" i="7"/>
  <c r="AY111" i="7"/>
  <c r="AZ111" i="7"/>
  <c r="BA111" i="7"/>
  <c r="BB111" i="7"/>
  <c r="BC111" i="7"/>
  <c r="BD111" i="7"/>
  <c r="BE111" i="7"/>
  <c r="G145" i="7"/>
  <c r="O14" i="1"/>
  <c r="H156" i="7"/>
  <c r="I156" i="7"/>
  <c r="J156" i="7"/>
  <c r="K156" i="7"/>
  <c r="L156" i="7"/>
  <c r="M156" i="7"/>
  <c r="N156" i="7"/>
  <c r="O156" i="7"/>
  <c r="P156" i="7"/>
  <c r="Q156" i="7"/>
  <c r="R156" i="7"/>
  <c r="S156" i="7"/>
  <c r="T156" i="7"/>
  <c r="U156" i="7"/>
  <c r="V156" i="7"/>
  <c r="W156" i="7"/>
  <c r="X156" i="7"/>
  <c r="Y156" i="7"/>
  <c r="Z156" i="7"/>
  <c r="AA156" i="7"/>
  <c r="AB156" i="7"/>
  <c r="AC156" i="7"/>
  <c r="AD156" i="7"/>
  <c r="AE156" i="7"/>
  <c r="AF156" i="7"/>
  <c r="AG156" i="7"/>
  <c r="AH156" i="7"/>
  <c r="AI156" i="7"/>
  <c r="AJ156" i="7"/>
  <c r="AK156" i="7"/>
  <c r="AL156" i="7"/>
  <c r="AM156" i="7"/>
  <c r="AN156" i="7"/>
  <c r="AO156" i="7"/>
  <c r="AP156" i="7"/>
  <c r="AQ156" i="7"/>
  <c r="AR156" i="7"/>
  <c r="AS156" i="7"/>
  <c r="AT156" i="7"/>
  <c r="AU156" i="7"/>
  <c r="AV156" i="7"/>
  <c r="AW156" i="7"/>
  <c r="AX156" i="7"/>
  <c r="AY156" i="7"/>
  <c r="AZ156" i="7"/>
  <c r="BA156" i="7"/>
  <c r="BB156" i="7"/>
  <c r="BC156" i="7"/>
  <c r="BD156" i="7"/>
  <c r="BE156" i="7"/>
  <c r="G190" i="7"/>
  <c r="H203" i="7"/>
  <c r="I203" i="7"/>
  <c r="J203" i="7"/>
  <c r="K203" i="7"/>
  <c r="L203" i="7"/>
  <c r="M203" i="7"/>
  <c r="N203" i="7"/>
  <c r="O203" i="7"/>
  <c r="P203" i="7"/>
  <c r="Q203" i="7"/>
  <c r="R203" i="7"/>
  <c r="S203" i="7"/>
  <c r="T203" i="7"/>
  <c r="U203" i="7"/>
  <c r="V203" i="7"/>
  <c r="W203" i="7"/>
  <c r="X203" i="7"/>
  <c r="Y203" i="7"/>
  <c r="Z203" i="7"/>
  <c r="AA203" i="7"/>
  <c r="AB203" i="7"/>
  <c r="AC203" i="7"/>
  <c r="AD203" i="7"/>
  <c r="AE203" i="7"/>
  <c r="AF203" i="7"/>
  <c r="AG203" i="7"/>
  <c r="AH203" i="7"/>
  <c r="AI203" i="7"/>
  <c r="AJ203" i="7"/>
  <c r="AK203" i="7"/>
  <c r="AL203" i="7"/>
  <c r="AM203" i="7"/>
  <c r="AN203" i="7"/>
  <c r="AO203" i="7"/>
  <c r="AP203" i="7"/>
  <c r="AQ203" i="7"/>
  <c r="AR203" i="7"/>
  <c r="AS203" i="7"/>
  <c r="AT203" i="7"/>
  <c r="AU203" i="7"/>
  <c r="AV203" i="7"/>
  <c r="AW203" i="7"/>
  <c r="AX203" i="7"/>
  <c r="AY203" i="7"/>
  <c r="AZ203" i="7"/>
  <c r="BA203" i="7"/>
  <c r="BB203" i="7"/>
  <c r="BC203" i="7"/>
  <c r="BD203" i="7"/>
  <c r="BE203" i="7"/>
  <c r="G237" i="7"/>
  <c r="H248" i="7"/>
  <c r="I248" i="7"/>
  <c r="J248" i="7"/>
  <c r="K248" i="7"/>
  <c r="L248" i="7"/>
  <c r="M248" i="7"/>
  <c r="N248" i="7"/>
  <c r="O248" i="7"/>
  <c r="P248" i="7"/>
  <c r="Q248" i="7"/>
  <c r="R248" i="7"/>
  <c r="S248" i="7"/>
  <c r="T248" i="7"/>
  <c r="U248" i="7"/>
  <c r="V248" i="7"/>
  <c r="W248" i="7"/>
  <c r="X248" i="7"/>
  <c r="Y248" i="7"/>
  <c r="Z248" i="7"/>
  <c r="AA248" i="7"/>
  <c r="AB248" i="7"/>
  <c r="AC248" i="7"/>
  <c r="AD248" i="7"/>
  <c r="AE248" i="7"/>
  <c r="AF248" i="7"/>
  <c r="AG248" i="7"/>
  <c r="AH248" i="7"/>
  <c r="AI248" i="7"/>
  <c r="AJ248" i="7"/>
  <c r="AK248" i="7"/>
  <c r="AL248" i="7"/>
  <c r="AM248" i="7"/>
  <c r="AN248" i="7"/>
  <c r="AO248" i="7"/>
  <c r="AP248" i="7"/>
  <c r="AQ248" i="7"/>
  <c r="AR248" i="7"/>
  <c r="AS248" i="7"/>
  <c r="AT248" i="7"/>
  <c r="AU248" i="7"/>
  <c r="AV248" i="7"/>
  <c r="AW248" i="7"/>
  <c r="AX248" i="7"/>
  <c r="AY248" i="7"/>
  <c r="AZ248" i="7"/>
  <c r="BA248" i="7"/>
  <c r="BB248" i="7"/>
  <c r="BC248" i="7"/>
  <c r="BD248" i="7"/>
  <c r="BE248" i="7"/>
  <c r="G282" i="7"/>
  <c r="G284" i="7"/>
  <c r="G285" i="7"/>
  <c r="G286" i="7"/>
  <c r="Q15" i="1"/>
  <c r="P14" i="1"/>
  <c r="Q14" i="1"/>
  <c r="K194" i="23"/>
  <c r="X99" i="8"/>
  <c r="M160" i="8"/>
  <c r="M159" i="8"/>
  <c r="M158" i="8"/>
  <c r="L193" i="23"/>
  <c r="M157" i="8"/>
  <c r="L194" i="23"/>
  <c r="M156" i="8"/>
  <c r="X157" i="8"/>
  <c r="P194" i="23"/>
  <c r="Q147" i="23"/>
  <c r="Q146" i="23"/>
  <c r="Q149" i="23"/>
  <c r="Q148" i="23"/>
  <c r="Q145" i="23"/>
  <c r="Q144" i="23"/>
  <c r="M28" i="16"/>
  <c r="M27" i="16"/>
  <c r="M26" i="16"/>
  <c r="M25" i="16"/>
  <c r="M24" i="16"/>
  <c r="M23" i="16"/>
  <c r="F28" i="16"/>
  <c r="F27" i="16"/>
  <c r="F26" i="16"/>
  <c r="F25" i="16"/>
  <c r="F24" i="16"/>
  <c r="F23" i="16"/>
  <c r="J135" i="23"/>
  <c r="J134" i="23"/>
  <c r="J133" i="23"/>
  <c r="J132" i="23"/>
  <c r="J131" i="23"/>
  <c r="J128" i="23"/>
  <c r="J127" i="23"/>
  <c r="J126" i="23"/>
  <c r="J125" i="23"/>
  <c r="J124" i="23"/>
  <c r="J51" i="23"/>
  <c r="O51" i="23"/>
  <c r="J52" i="23"/>
  <c r="L192" i="23"/>
  <c r="L169" i="23"/>
  <c r="L195" i="23"/>
  <c r="L170" i="23"/>
  <c r="L196" i="23"/>
  <c r="L171" i="23"/>
  <c r="M214" i="23"/>
  <c r="K210" i="23"/>
  <c r="K208" i="23"/>
  <c r="K205" i="23"/>
  <c r="K203" i="23"/>
  <c r="L148" i="17"/>
  <c r="X58" i="17"/>
  <c r="N58" i="17"/>
  <c r="L58" i="17"/>
  <c r="T58" i="4"/>
  <c r="N58" i="4"/>
  <c r="J58" i="4"/>
  <c r="B244" i="7"/>
  <c r="B199" i="7"/>
  <c r="B152" i="7"/>
  <c r="B107" i="7"/>
  <c r="B60" i="7"/>
  <c r="D48" i="27"/>
  <c r="J11" i="27"/>
  <c r="V223" i="8"/>
  <c r="X94" i="8"/>
  <c r="V54" i="8"/>
  <c r="S54" i="8"/>
  <c r="V49" i="8"/>
  <c r="T132" i="6"/>
  <c r="S132" i="6"/>
  <c r="R132" i="6"/>
  <c r="Q132" i="6"/>
  <c r="P132" i="6"/>
  <c r="O132" i="6"/>
  <c r="N132" i="6"/>
  <c r="M132" i="6"/>
  <c r="L132" i="6"/>
  <c r="K132" i="6"/>
  <c r="J132" i="6"/>
  <c r="I132" i="6"/>
  <c r="H132" i="6"/>
  <c r="S123" i="6"/>
  <c r="R123" i="6"/>
  <c r="F824" i="7"/>
  <c r="Q123" i="6"/>
  <c r="P123" i="6"/>
  <c r="O123" i="6"/>
  <c r="S70" i="6"/>
  <c r="R70" i="6"/>
  <c r="Q70" i="6"/>
  <c r="P70" i="6"/>
  <c r="O70" i="6"/>
  <c r="N70" i="6"/>
  <c r="S68" i="6"/>
  <c r="R68" i="6"/>
  <c r="Q68" i="6"/>
  <c r="P68" i="6"/>
  <c r="O68" i="6"/>
  <c r="N68" i="6"/>
  <c r="S36" i="6"/>
  <c r="R36" i="6"/>
  <c r="Q36" i="6"/>
  <c r="P36" i="6"/>
  <c r="T19" i="6"/>
  <c r="N148" i="23"/>
  <c r="N114" i="23"/>
  <c r="N112" i="23"/>
  <c r="N113" i="23"/>
  <c r="L121" i="23"/>
  <c r="N144" i="23"/>
  <c r="L115" i="23"/>
  <c r="N117" i="1"/>
  <c r="N87" i="16"/>
  <c r="X156" i="8"/>
  <c r="W64" i="4"/>
  <c r="R64" i="4"/>
  <c r="O64" i="4"/>
  <c r="K64" i="4"/>
  <c r="J64" i="4"/>
  <c r="L28" i="1"/>
  <c r="V44" i="8"/>
  <c r="P184" i="23"/>
  <c r="Q184" i="23"/>
  <c r="P191" i="23"/>
  <c r="Q191" i="23"/>
  <c r="P197" i="23"/>
  <c r="Q197" i="23"/>
  <c r="I121" i="4"/>
  <c r="I129" i="4"/>
  <c r="J121" i="4"/>
  <c r="K121" i="4"/>
  <c r="K129" i="4"/>
  <c r="L121" i="4"/>
  <c r="L129" i="4"/>
  <c r="M121" i="4"/>
  <c r="M129" i="4"/>
  <c r="N121" i="4"/>
  <c r="N129" i="4"/>
  <c r="O121" i="4"/>
  <c r="O129" i="4"/>
  <c r="P121" i="4"/>
  <c r="Q121" i="4"/>
  <c r="Q129" i="4"/>
  <c r="R121" i="4"/>
  <c r="S121" i="4"/>
  <c r="S129" i="4"/>
  <c r="T121" i="4"/>
  <c r="U121" i="4"/>
  <c r="U129" i="4"/>
  <c r="V121" i="4"/>
  <c r="V129" i="4"/>
  <c r="W121" i="4"/>
  <c r="W129" i="4"/>
  <c r="X121" i="4"/>
  <c r="X129" i="4"/>
  <c r="Y121" i="4"/>
  <c r="Y129" i="4"/>
  <c r="Z121" i="4"/>
  <c r="AA121" i="4"/>
  <c r="AA129" i="4"/>
  <c r="H128" i="17"/>
  <c r="I128" i="17"/>
  <c r="I121" i="17"/>
  <c r="I165" i="17"/>
  <c r="I129" i="17"/>
  <c r="J128" i="17"/>
  <c r="J121" i="17"/>
  <c r="K128" i="17"/>
  <c r="K121" i="17"/>
  <c r="K129" i="17"/>
  <c r="L128" i="17"/>
  <c r="L121" i="17"/>
  <c r="L129" i="17"/>
  <c r="M128" i="17"/>
  <c r="M121" i="17"/>
  <c r="M129" i="17"/>
  <c r="N128" i="17"/>
  <c r="N121" i="17"/>
  <c r="N129" i="17"/>
  <c r="O128" i="17"/>
  <c r="O121" i="17"/>
  <c r="O129" i="17"/>
  <c r="P128" i="17"/>
  <c r="P121" i="17"/>
  <c r="P129" i="17"/>
  <c r="Q128" i="17"/>
  <c r="Q121" i="17"/>
  <c r="Q129" i="17"/>
  <c r="R128" i="17"/>
  <c r="R121" i="17"/>
  <c r="S128" i="17"/>
  <c r="S121" i="17"/>
  <c r="S129" i="17"/>
  <c r="T128" i="17"/>
  <c r="T121" i="17"/>
  <c r="T129" i="17"/>
  <c r="U128" i="17"/>
  <c r="U121" i="17"/>
  <c r="U129" i="17"/>
  <c r="V128" i="17"/>
  <c r="V121" i="17"/>
  <c r="W128" i="17"/>
  <c r="W121" i="17"/>
  <c r="W129" i="17"/>
  <c r="X128" i="17"/>
  <c r="X121" i="17"/>
  <c r="X129" i="17"/>
  <c r="Y128" i="17"/>
  <c r="Y121" i="17"/>
  <c r="Y129" i="17"/>
  <c r="Z128" i="17"/>
  <c r="Z121" i="17"/>
  <c r="AA128" i="17"/>
  <c r="AA121" i="17"/>
  <c r="AA129" i="17"/>
  <c r="G495" i="7"/>
  <c r="G494" i="7"/>
  <c r="AG498" i="7"/>
  <c r="F781" i="7"/>
  <c r="F782" i="7"/>
  <c r="P38" i="6"/>
  <c r="G451" i="7"/>
  <c r="H467" i="7"/>
  <c r="P39" i="6"/>
  <c r="P84" i="6"/>
  <c r="G474" i="7"/>
  <c r="AC490" i="7"/>
  <c r="AC130" i="7"/>
  <c r="AC139" i="7"/>
  <c r="G513" i="7"/>
  <c r="H519" i="7"/>
  <c r="G514" i="7"/>
  <c r="S520" i="7"/>
  <c r="S131" i="7"/>
  <c r="S140" i="7"/>
  <c r="G452" i="7"/>
  <c r="W456" i="7"/>
  <c r="G471" i="7"/>
  <c r="Z477" i="7"/>
  <c r="F795" i="7"/>
  <c r="G795" i="7"/>
  <c r="D789" i="7"/>
  <c r="S791" i="7"/>
  <c r="F796" i="7"/>
  <c r="G796" i="7"/>
  <c r="I129" i="7"/>
  <c r="I138" i="7"/>
  <c r="J129" i="7"/>
  <c r="J138" i="7"/>
  <c r="K129" i="7"/>
  <c r="K138" i="7"/>
  <c r="L129" i="7"/>
  <c r="L138" i="7"/>
  <c r="M129" i="7"/>
  <c r="M138" i="7"/>
  <c r="N129" i="7"/>
  <c r="N138" i="7"/>
  <c r="O129" i="7"/>
  <c r="O138" i="7"/>
  <c r="P129" i="7"/>
  <c r="P138" i="7"/>
  <c r="Q129" i="7"/>
  <c r="Q138" i="7"/>
  <c r="R129" i="7"/>
  <c r="R138" i="7"/>
  <c r="S129" i="7"/>
  <c r="S138" i="7"/>
  <c r="T129" i="7"/>
  <c r="T138" i="7"/>
  <c r="U129" i="7"/>
  <c r="U138" i="7"/>
  <c r="V129" i="7"/>
  <c r="V138" i="7"/>
  <c r="W129" i="7"/>
  <c r="W138" i="7"/>
  <c r="X129" i="7"/>
  <c r="X138" i="7"/>
  <c r="Y129" i="7"/>
  <c r="Y138" i="7"/>
  <c r="Z129" i="7"/>
  <c r="Z138" i="7"/>
  <c r="AA129" i="7"/>
  <c r="AA138" i="7"/>
  <c r="AB129" i="7"/>
  <c r="AB138" i="7"/>
  <c r="AC129" i="7"/>
  <c r="AC138" i="7"/>
  <c r="AD129" i="7"/>
  <c r="AD138" i="7"/>
  <c r="AE129" i="7"/>
  <c r="AE138" i="7"/>
  <c r="AF129" i="7"/>
  <c r="AF138" i="7"/>
  <c r="AG129" i="7"/>
  <c r="AG138" i="7"/>
  <c r="AH129" i="7"/>
  <c r="AH138" i="7"/>
  <c r="AI129" i="7"/>
  <c r="AI138" i="7"/>
  <c r="AJ129" i="7"/>
  <c r="AJ138" i="7"/>
  <c r="AK129" i="7"/>
  <c r="AK138" i="7"/>
  <c r="AL129" i="7"/>
  <c r="AL138" i="7"/>
  <c r="AM129" i="7"/>
  <c r="AM138" i="7"/>
  <c r="AN129" i="7"/>
  <c r="AN138" i="7"/>
  <c r="AO129" i="7"/>
  <c r="AO138" i="7"/>
  <c r="AP129" i="7"/>
  <c r="AP138" i="7"/>
  <c r="AQ129" i="7"/>
  <c r="AQ138" i="7"/>
  <c r="AR129" i="7"/>
  <c r="AR138" i="7"/>
  <c r="AS129" i="7"/>
  <c r="AS138" i="7"/>
  <c r="AT129" i="7"/>
  <c r="AT138" i="7"/>
  <c r="AU791" i="7"/>
  <c r="AU129" i="7"/>
  <c r="AU138" i="7"/>
  <c r="AV129" i="7"/>
  <c r="AV138" i="7"/>
  <c r="AW129" i="7"/>
  <c r="AW138" i="7"/>
  <c r="AX129" i="7"/>
  <c r="AX138" i="7"/>
  <c r="AY129" i="7"/>
  <c r="AY138" i="7"/>
  <c r="AZ129" i="7"/>
  <c r="AZ138" i="7"/>
  <c r="BA129" i="7"/>
  <c r="BA138" i="7"/>
  <c r="BB129" i="7"/>
  <c r="BB138" i="7"/>
  <c r="BC129" i="7"/>
  <c r="BC138" i="7"/>
  <c r="BD129" i="7"/>
  <c r="BD138" i="7"/>
  <c r="BE129" i="7"/>
  <c r="BE138" i="7"/>
  <c r="G143" i="7"/>
  <c r="R38" i="6"/>
  <c r="R39" i="6"/>
  <c r="R40" i="6"/>
  <c r="G605" i="7"/>
  <c r="G624" i="7"/>
  <c r="H642" i="7"/>
  <c r="G647" i="7"/>
  <c r="H663" i="7"/>
  <c r="R84" i="6"/>
  <c r="G628" i="7"/>
  <c r="AO644" i="7"/>
  <c r="AO222" i="7"/>
  <c r="AO231" i="7"/>
  <c r="G667" i="7"/>
  <c r="H673" i="7"/>
  <c r="G668" i="7"/>
  <c r="H674" i="7"/>
  <c r="H675" i="7"/>
  <c r="G606" i="7"/>
  <c r="G625" i="7"/>
  <c r="H631" i="7"/>
  <c r="H219" i="7"/>
  <c r="G648" i="7"/>
  <c r="W652" i="7"/>
  <c r="W220" i="7"/>
  <c r="G649" i="7"/>
  <c r="F823" i="7"/>
  <c r="G823" i="7"/>
  <c r="D817" i="7"/>
  <c r="G824" i="7"/>
  <c r="BC824" i="7"/>
  <c r="H207" i="7"/>
  <c r="H228" i="7"/>
  <c r="I207" i="7"/>
  <c r="I228" i="7"/>
  <c r="I221" i="7"/>
  <c r="I230" i="7"/>
  <c r="J207" i="7"/>
  <c r="J228" i="7"/>
  <c r="J221" i="7"/>
  <c r="J230" i="7"/>
  <c r="K207" i="7"/>
  <c r="K228" i="7"/>
  <c r="K221" i="7"/>
  <c r="K230" i="7"/>
  <c r="L207" i="7"/>
  <c r="L228" i="7"/>
  <c r="L221" i="7"/>
  <c r="L230" i="7"/>
  <c r="M207" i="7"/>
  <c r="M228" i="7"/>
  <c r="M221" i="7"/>
  <c r="M230" i="7"/>
  <c r="N207" i="7"/>
  <c r="N228" i="7"/>
  <c r="N221" i="7"/>
  <c r="N230" i="7"/>
  <c r="O207" i="7"/>
  <c r="O228" i="7"/>
  <c r="O221" i="7"/>
  <c r="O230" i="7"/>
  <c r="P207" i="7"/>
  <c r="P228" i="7"/>
  <c r="P221" i="7"/>
  <c r="P230" i="7"/>
  <c r="Q207" i="7"/>
  <c r="Q228" i="7"/>
  <c r="Q221" i="7"/>
  <c r="Q230" i="7"/>
  <c r="R207" i="7"/>
  <c r="R228" i="7"/>
  <c r="R221" i="7"/>
  <c r="R230" i="7"/>
  <c r="S207" i="7"/>
  <c r="S228" i="7"/>
  <c r="S221" i="7"/>
  <c r="S230" i="7"/>
  <c r="T207" i="7"/>
  <c r="T228" i="7"/>
  <c r="T221" i="7"/>
  <c r="T230" i="7"/>
  <c r="U207" i="7"/>
  <c r="U228" i="7"/>
  <c r="U221" i="7"/>
  <c r="U230" i="7"/>
  <c r="V207" i="7"/>
  <c r="V228" i="7"/>
  <c r="V221" i="7"/>
  <c r="V230" i="7"/>
  <c r="W207" i="7"/>
  <c r="W228" i="7"/>
  <c r="W221" i="7"/>
  <c r="W230" i="7"/>
  <c r="X207" i="7"/>
  <c r="X228" i="7"/>
  <c r="X221" i="7"/>
  <c r="X230" i="7"/>
  <c r="Y207" i="7"/>
  <c r="Y228" i="7"/>
  <c r="Y221" i="7"/>
  <c r="Y230" i="7"/>
  <c r="Z207" i="7"/>
  <c r="Z228" i="7"/>
  <c r="Z221" i="7"/>
  <c r="Z230" i="7"/>
  <c r="AA207" i="7"/>
  <c r="AA228" i="7"/>
  <c r="AA221" i="7"/>
  <c r="AA230" i="7"/>
  <c r="AB207" i="7"/>
  <c r="AB228" i="7"/>
  <c r="AB221" i="7"/>
  <c r="AB230" i="7"/>
  <c r="AC207" i="7"/>
  <c r="AC228" i="7"/>
  <c r="AC221" i="7"/>
  <c r="AC230" i="7"/>
  <c r="AD207" i="7"/>
  <c r="AD228" i="7"/>
  <c r="AD221" i="7"/>
  <c r="AD230" i="7"/>
  <c r="AE207" i="7"/>
  <c r="AE228" i="7"/>
  <c r="AE221" i="7"/>
  <c r="AE230" i="7"/>
  <c r="AF207" i="7"/>
  <c r="AF228" i="7"/>
  <c r="AF221" i="7"/>
  <c r="AF230" i="7"/>
  <c r="AG207" i="7"/>
  <c r="AG228" i="7"/>
  <c r="AG221" i="7"/>
  <c r="AG230" i="7"/>
  <c r="AH207" i="7"/>
  <c r="AH228" i="7"/>
  <c r="AH221" i="7"/>
  <c r="AH230" i="7"/>
  <c r="AI207" i="7"/>
  <c r="AI228" i="7"/>
  <c r="AI221" i="7"/>
  <c r="AI230" i="7"/>
  <c r="AJ207" i="7"/>
  <c r="AJ228" i="7"/>
  <c r="AJ221" i="7"/>
  <c r="AJ230" i="7"/>
  <c r="AK207" i="7"/>
  <c r="AK228" i="7"/>
  <c r="AK221" i="7"/>
  <c r="AK230" i="7"/>
  <c r="AL207" i="7"/>
  <c r="AL228" i="7"/>
  <c r="AL221" i="7"/>
  <c r="AL230" i="7"/>
  <c r="AM207" i="7"/>
  <c r="AM228" i="7"/>
  <c r="AM221" i="7"/>
  <c r="AM230" i="7"/>
  <c r="AN207" i="7"/>
  <c r="AN228" i="7"/>
  <c r="AN221" i="7"/>
  <c r="AN230" i="7"/>
  <c r="AO207" i="7"/>
  <c r="AO228" i="7"/>
  <c r="AO221" i="7"/>
  <c r="AO230" i="7"/>
  <c r="AP207" i="7"/>
  <c r="AP228" i="7"/>
  <c r="AP221" i="7"/>
  <c r="AP230" i="7"/>
  <c r="AQ207" i="7"/>
  <c r="AQ228" i="7"/>
  <c r="AQ221" i="7"/>
  <c r="AQ230" i="7"/>
  <c r="AR207" i="7"/>
  <c r="AR228" i="7"/>
  <c r="AR221" i="7"/>
  <c r="AR230" i="7"/>
  <c r="AS207" i="7"/>
  <c r="AS228" i="7"/>
  <c r="AS221" i="7"/>
  <c r="AS230" i="7"/>
  <c r="AT207" i="7"/>
  <c r="AT228" i="7"/>
  <c r="AT221" i="7"/>
  <c r="AT230" i="7"/>
  <c r="AU207" i="7"/>
  <c r="AU228" i="7"/>
  <c r="AU221" i="7"/>
  <c r="AU230" i="7"/>
  <c r="AV207" i="7"/>
  <c r="AV228" i="7"/>
  <c r="AV221" i="7"/>
  <c r="AV230" i="7"/>
  <c r="AW207" i="7"/>
  <c r="AW228" i="7"/>
  <c r="AW221" i="7"/>
  <c r="AW230" i="7"/>
  <c r="AX207" i="7"/>
  <c r="AX228" i="7"/>
  <c r="AX221" i="7"/>
  <c r="AX230" i="7"/>
  <c r="AY207" i="7"/>
  <c r="AY228" i="7"/>
  <c r="AY221" i="7"/>
  <c r="AY230" i="7"/>
  <c r="AZ207" i="7"/>
  <c r="AZ228" i="7"/>
  <c r="AZ221" i="7"/>
  <c r="AZ230" i="7"/>
  <c r="BA207" i="7"/>
  <c r="BA228" i="7"/>
  <c r="BA221" i="7"/>
  <c r="BA230" i="7"/>
  <c r="BB207" i="7"/>
  <c r="BB228" i="7"/>
  <c r="BB221" i="7"/>
  <c r="BB230" i="7"/>
  <c r="BC207" i="7"/>
  <c r="BC228" i="7"/>
  <c r="BC221" i="7"/>
  <c r="BC230" i="7"/>
  <c r="BD207" i="7"/>
  <c r="BD228" i="7"/>
  <c r="BD221" i="7"/>
  <c r="BD230" i="7"/>
  <c r="BE207" i="7"/>
  <c r="BE228" i="7"/>
  <c r="BE221" i="7"/>
  <c r="BE230" i="7"/>
  <c r="G235" i="7"/>
  <c r="G278" i="17"/>
  <c r="S53" i="8"/>
  <c r="S48" i="8"/>
  <c r="G202" i="4"/>
  <c r="S43" i="8"/>
  <c r="G203" i="4"/>
  <c r="Y75" i="17"/>
  <c r="L112" i="1"/>
  <c r="L82" i="16"/>
  <c r="L113" i="1"/>
  <c r="L83" i="16"/>
  <c r="L87" i="16"/>
  <c r="L118" i="1"/>
  <c r="L88" i="16"/>
  <c r="L73" i="16"/>
  <c r="L74" i="16"/>
  <c r="L75" i="16"/>
  <c r="L76" i="16"/>
  <c r="L77" i="16"/>
  <c r="L78" i="16"/>
  <c r="X139" i="8"/>
  <c r="X93" i="8"/>
  <c r="X141" i="8"/>
  <c r="X95" i="8"/>
  <c r="X142" i="8"/>
  <c r="X96" i="8"/>
  <c r="X143" i="8"/>
  <c r="X154" i="8"/>
  <c r="X144" i="8"/>
  <c r="X155" i="8"/>
  <c r="X160" i="8"/>
  <c r="X100" i="8"/>
  <c r="X161" i="8"/>
  <c r="S85" i="8"/>
  <c r="R83" i="8"/>
  <c r="R85" i="8"/>
  <c r="R102" i="8"/>
  <c r="R103" i="8"/>
  <c r="V84" i="8"/>
  <c r="W84" i="8"/>
  <c r="X84" i="8"/>
  <c r="Y84" i="8"/>
  <c r="M154" i="8"/>
  <c r="P180" i="23"/>
  <c r="Q180" i="23"/>
  <c r="P185" i="23"/>
  <c r="S44" i="8"/>
  <c r="L46" i="1"/>
  <c r="L46" i="16"/>
  <c r="L54" i="16"/>
  <c r="G361" i="7"/>
  <c r="N84" i="16"/>
  <c r="L84" i="16"/>
  <c r="H86" i="16"/>
  <c r="H85" i="16"/>
  <c r="D113" i="1"/>
  <c r="G83" i="16"/>
  <c r="D114" i="1"/>
  <c r="G84" i="16"/>
  <c r="D117" i="1"/>
  <c r="G87" i="16"/>
  <c r="D118" i="1"/>
  <c r="G88" i="16"/>
  <c r="D112" i="1"/>
  <c r="G82" i="16"/>
  <c r="D107" i="1"/>
  <c r="G78" i="16"/>
  <c r="D102" i="1"/>
  <c r="G73" i="16"/>
  <c r="D103" i="1"/>
  <c r="G74" i="16"/>
  <c r="D104" i="1"/>
  <c r="G75" i="16"/>
  <c r="D105" i="1"/>
  <c r="G76" i="16"/>
  <c r="D106" i="1"/>
  <c r="G77" i="16"/>
  <c r="D101" i="1"/>
  <c r="G72" i="16"/>
  <c r="N52" i="1"/>
  <c r="N50" i="16"/>
  <c r="N53" i="1"/>
  <c r="N51" i="16"/>
  <c r="N54" i="1"/>
  <c r="N52" i="16"/>
  <c r="S49" i="8"/>
  <c r="L53" i="1"/>
  <c r="L51" i="16"/>
  <c r="N40" i="1"/>
  <c r="L40" i="1"/>
  <c r="W140" i="8"/>
  <c r="W145" i="8"/>
  <c r="W146" i="8"/>
  <c r="C346" i="17"/>
  <c r="C345" i="17"/>
  <c r="F342" i="17"/>
  <c r="C342" i="17"/>
  <c r="F341" i="17"/>
  <c r="C341" i="17"/>
  <c r="C340" i="17"/>
  <c r="C316" i="17"/>
  <c r="C315" i="17"/>
  <c r="C314" i="17"/>
  <c r="G299" i="17"/>
  <c r="C270" i="17"/>
  <c r="C269" i="17"/>
  <c r="F266" i="17"/>
  <c r="C266" i="17"/>
  <c r="F265" i="17"/>
  <c r="C265" i="17"/>
  <c r="C264" i="17"/>
  <c r="C240" i="17"/>
  <c r="C239" i="17"/>
  <c r="C217" i="17"/>
  <c r="B167" i="17"/>
  <c r="B166" i="17"/>
  <c r="U165" i="17"/>
  <c r="B165" i="17"/>
  <c r="B164" i="17"/>
  <c r="B163" i="17"/>
  <c r="B162" i="17"/>
  <c r="Y154" i="17"/>
  <c r="U154" i="17"/>
  <c r="Q154" i="17"/>
  <c r="P154" i="17"/>
  <c r="O154" i="17"/>
  <c r="M154" i="17"/>
  <c r="I154" i="17"/>
  <c r="AA146" i="17"/>
  <c r="Z146" i="17"/>
  <c r="Y146" i="17"/>
  <c r="X146" i="17"/>
  <c r="W146" i="17"/>
  <c r="V146" i="17"/>
  <c r="U146" i="17"/>
  <c r="T146" i="17"/>
  <c r="S146" i="17"/>
  <c r="R146" i="17"/>
  <c r="Q146" i="17"/>
  <c r="P146" i="17"/>
  <c r="O146" i="17"/>
  <c r="N146" i="17"/>
  <c r="M146" i="17"/>
  <c r="L146" i="17"/>
  <c r="K146" i="17"/>
  <c r="J146" i="17"/>
  <c r="I146" i="17"/>
  <c r="H146" i="17"/>
  <c r="G146" i="17"/>
  <c r="B131" i="17"/>
  <c r="B130" i="17"/>
  <c r="B129" i="17"/>
  <c r="B128" i="17"/>
  <c r="T165" i="17"/>
  <c r="N165" i="17"/>
  <c r="Z154" i="17"/>
  <c r="V154" i="17"/>
  <c r="R154" i="17"/>
  <c r="N154" i="17"/>
  <c r="J154" i="17"/>
  <c r="B77" i="17"/>
  <c r="B76" i="17"/>
  <c r="B75" i="17"/>
  <c r="B74" i="17"/>
  <c r="B73" i="17"/>
  <c r="B72" i="17"/>
  <c r="Z64" i="17"/>
  <c r="X64" i="17"/>
  <c r="V64" i="17"/>
  <c r="T64" i="17"/>
  <c r="P64" i="17"/>
  <c r="N64" i="17"/>
  <c r="L64" i="17"/>
  <c r="J64" i="17"/>
  <c r="H64" i="17"/>
  <c r="AA56" i="17"/>
  <c r="Z56" i="17"/>
  <c r="Y56" i="17"/>
  <c r="X56" i="17"/>
  <c r="W56" i="17"/>
  <c r="V56" i="17"/>
  <c r="U56" i="17"/>
  <c r="T56" i="17"/>
  <c r="S56" i="17"/>
  <c r="R56" i="17"/>
  <c r="Q56" i="17"/>
  <c r="P56" i="17"/>
  <c r="O56" i="17"/>
  <c r="N56" i="17"/>
  <c r="M56" i="17"/>
  <c r="L56" i="17"/>
  <c r="K56" i="17"/>
  <c r="J56" i="17"/>
  <c r="I56" i="17"/>
  <c r="H56" i="17"/>
  <c r="G56" i="17"/>
  <c r="B41" i="17"/>
  <c r="B40" i="17"/>
  <c r="B39" i="17"/>
  <c r="B38" i="17"/>
  <c r="Y64" i="17"/>
  <c r="U64" i="17"/>
  <c r="R64" i="17"/>
  <c r="Q64" i="17"/>
  <c r="M64" i="17"/>
  <c r="I64" i="17"/>
  <c r="S64" i="17"/>
  <c r="L165" i="17"/>
  <c r="P165" i="17"/>
  <c r="O64" i="17"/>
  <c r="S154" i="17"/>
  <c r="W154" i="17"/>
  <c r="X165" i="17"/>
  <c r="K64" i="17"/>
  <c r="AA64" i="17"/>
  <c r="H154" i="17"/>
  <c r="L154" i="17"/>
  <c r="X154" i="17"/>
  <c r="K154" i="17"/>
  <c r="AA154" i="17"/>
  <c r="W64" i="17"/>
  <c r="K165" i="17"/>
  <c r="T154" i="17"/>
  <c r="Y192" i="8"/>
  <c r="U192" i="8"/>
  <c r="Y191" i="8"/>
  <c r="U191" i="8"/>
  <c r="Y190" i="8"/>
  <c r="U190" i="8"/>
  <c r="M161" i="8"/>
  <c r="M155" i="8"/>
  <c r="D131" i="8"/>
  <c r="D161" i="8"/>
  <c r="K197" i="23"/>
  <c r="J172" i="23"/>
  <c r="D125" i="8"/>
  <c r="D155" i="8"/>
  <c r="K191" i="23"/>
  <c r="J168" i="23"/>
  <c r="D124" i="8"/>
  <c r="D190" i="8"/>
  <c r="D195" i="8"/>
  <c r="M140" i="8"/>
  <c r="V35" i="8"/>
  <c r="S35" i="8"/>
  <c r="S124" i="6"/>
  <c r="R124" i="6"/>
  <c r="Q124" i="6"/>
  <c r="P124" i="6"/>
  <c r="O124" i="6"/>
  <c r="N124" i="6"/>
  <c r="G726" i="7"/>
  <c r="G725" i="7"/>
  <c r="Y729" i="7"/>
  <c r="G704" i="7"/>
  <c r="G703" i="7"/>
  <c r="G702" i="7"/>
  <c r="AJ708" i="7"/>
  <c r="AT709" i="7"/>
  <c r="AT715" i="7"/>
  <c r="G684" i="7"/>
  <c r="G683" i="7"/>
  <c r="V688" i="7"/>
  <c r="L687" i="7"/>
  <c r="G627" i="7"/>
  <c r="G626" i="7"/>
  <c r="G607" i="7"/>
  <c r="G571" i="7"/>
  <c r="G570" i="7"/>
  <c r="AG574" i="7"/>
  <c r="AG173" i="7"/>
  <c r="G549" i="7"/>
  <c r="G548" i="7"/>
  <c r="G547" i="7"/>
  <c r="G529" i="7"/>
  <c r="G528" i="7"/>
  <c r="G473" i="7"/>
  <c r="G472" i="7"/>
  <c r="G395" i="7"/>
  <c r="G394" i="7"/>
  <c r="G375" i="7"/>
  <c r="G318" i="7"/>
  <c r="G299" i="7"/>
  <c r="G453" i="7"/>
  <c r="R46" i="6"/>
  <c r="R45" i="6"/>
  <c r="P46" i="6"/>
  <c r="P45" i="6"/>
  <c r="M226" i="8"/>
  <c r="D160" i="8"/>
  <c r="K196" i="23"/>
  <c r="J171" i="23"/>
  <c r="D159" i="8"/>
  <c r="K195" i="23"/>
  <c r="J170" i="23"/>
  <c r="D145" i="8"/>
  <c r="K185" i="23"/>
  <c r="J165" i="23"/>
  <c r="D144" i="8"/>
  <c r="K184" i="23"/>
  <c r="J164" i="23"/>
  <c r="D143" i="8"/>
  <c r="K183" i="23"/>
  <c r="J163" i="23"/>
  <c r="D142" i="8"/>
  <c r="K182" i="23"/>
  <c r="J162" i="23"/>
  <c r="D141" i="8"/>
  <c r="K181" i="23"/>
  <c r="J161" i="23"/>
  <c r="D140" i="8"/>
  <c r="K180" i="23"/>
  <c r="J160" i="23"/>
  <c r="D139" i="8"/>
  <c r="K179" i="23"/>
  <c r="J159" i="23"/>
  <c r="D130" i="8"/>
  <c r="D226" i="8"/>
  <c r="Y153" i="8"/>
  <c r="X153" i="8"/>
  <c r="W153" i="8"/>
  <c r="V153" i="8"/>
  <c r="Y92" i="8"/>
  <c r="X92" i="8"/>
  <c r="W92" i="8"/>
  <c r="V92" i="8"/>
  <c r="Y138" i="8"/>
  <c r="X138" i="8"/>
  <c r="W138" i="8"/>
  <c r="V138" i="8"/>
  <c r="X145" i="8"/>
  <c r="X140" i="8"/>
  <c r="X146" i="8"/>
  <c r="C239" i="4"/>
  <c r="M218" i="8"/>
  <c r="M214" i="8"/>
  <c r="M182" i="8"/>
  <c r="M181" i="8"/>
  <c r="M180" i="8"/>
  <c r="M179" i="8"/>
  <c r="M178" i="8"/>
  <c r="M177" i="8"/>
  <c r="M176" i="8"/>
  <c r="M145" i="8"/>
  <c r="M144" i="8"/>
  <c r="M143" i="8"/>
  <c r="M142" i="8"/>
  <c r="M141" i="8"/>
  <c r="M139" i="8"/>
  <c r="D118" i="8"/>
  <c r="D182" i="8"/>
  <c r="D218" i="8"/>
  <c r="D75" i="6"/>
  <c r="S46" i="6"/>
  <c r="S45" i="6"/>
  <c r="Q46" i="6"/>
  <c r="Q45" i="6"/>
  <c r="O46" i="6"/>
  <c r="O45" i="6"/>
  <c r="Q38" i="6"/>
  <c r="G527" i="7"/>
  <c r="H543" i="7"/>
  <c r="S38" i="6"/>
  <c r="S39" i="6"/>
  <c r="S40" i="6"/>
  <c r="Q39" i="6"/>
  <c r="G546" i="7"/>
  <c r="H565" i="7"/>
  <c r="D117" i="8"/>
  <c r="D181" i="8"/>
  <c r="D116" i="8"/>
  <c r="D180" i="8"/>
  <c r="D115" i="8"/>
  <c r="D179" i="8"/>
  <c r="D114" i="8"/>
  <c r="D178" i="8"/>
  <c r="D113" i="8"/>
  <c r="D177" i="8"/>
  <c r="D112" i="8"/>
  <c r="D176" i="8"/>
  <c r="Y179" i="8"/>
  <c r="R183" i="8"/>
  <c r="U179" i="8"/>
  <c r="L13" i="1"/>
  <c r="M13" i="1"/>
  <c r="N13" i="1"/>
  <c r="O13" i="1"/>
  <c r="P13" i="1"/>
  <c r="Q13" i="1"/>
  <c r="C787" i="7"/>
  <c r="C773" i="7"/>
  <c r="C759" i="7"/>
  <c r="B679" i="7"/>
  <c r="B602" i="7"/>
  <c r="B524" i="7"/>
  <c r="B448" i="7"/>
  <c r="B370" i="7"/>
  <c r="Y182" i="8"/>
  <c r="Y181" i="8"/>
  <c r="Y180" i="8"/>
  <c r="Y178" i="8"/>
  <c r="Y177" i="8"/>
  <c r="Y176" i="8"/>
  <c r="C346" i="4"/>
  <c r="C345" i="4"/>
  <c r="C342" i="4"/>
  <c r="C341" i="4"/>
  <c r="C340" i="4"/>
  <c r="C314" i="4"/>
  <c r="C315" i="4"/>
  <c r="C316" i="4"/>
  <c r="G175" i="4"/>
  <c r="BE266" i="7"/>
  <c r="BE275" i="7"/>
  <c r="BD266" i="7"/>
  <c r="BD275" i="7"/>
  <c r="BC266" i="7"/>
  <c r="BC275" i="7"/>
  <c r="BB266" i="7"/>
  <c r="BB275" i="7"/>
  <c r="BA266" i="7"/>
  <c r="BA275" i="7"/>
  <c r="AZ266" i="7"/>
  <c r="AZ275" i="7"/>
  <c r="AY266" i="7"/>
  <c r="AY275" i="7"/>
  <c r="AX266" i="7"/>
  <c r="AX275" i="7"/>
  <c r="AW266" i="7"/>
  <c r="AW275" i="7"/>
  <c r="AV266" i="7"/>
  <c r="AV275" i="7"/>
  <c r="AU266" i="7"/>
  <c r="AU275" i="7"/>
  <c r="AT266" i="7"/>
  <c r="AT275" i="7"/>
  <c r="AS266" i="7"/>
  <c r="AS275" i="7"/>
  <c r="AR266" i="7"/>
  <c r="AR275" i="7"/>
  <c r="AQ266" i="7"/>
  <c r="AQ275" i="7"/>
  <c r="AP266" i="7"/>
  <c r="AP275" i="7"/>
  <c r="AO266" i="7"/>
  <c r="AO275" i="7"/>
  <c r="AN266" i="7"/>
  <c r="AN275" i="7"/>
  <c r="AM266" i="7"/>
  <c r="AM275" i="7"/>
  <c r="AL266" i="7"/>
  <c r="AL275" i="7"/>
  <c r="AK266" i="7"/>
  <c r="AK275" i="7"/>
  <c r="AJ266" i="7"/>
  <c r="AJ275" i="7"/>
  <c r="AI266" i="7"/>
  <c r="AI275" i="7"/>
  <c r="AH266" i="7"/>
  <c r="AH275" i="7"/>
  <c r="AG266" i="7"/>
  <c r="AG275" i="7"/>
  <c r="AF266" i="7"/>
  <c r="AF275" i="7"/>
  <c r="AE266" i="7"/>
  <c r="AE275" i="7"/>
  <c r="AD266" i="7"/>
  <c r="AD275" i="7"/>
  <c r="AC266" i="7"/>
  <c r="AC275" i="7"/>
  <c r="AB266" i="7"/>
  <c r="AB275" i="7"/>
  <c r="AA266" i="7"/>
  <c r="AA275" i="7"/>
  <c r="Z266" i="7"/>
  <c r="Z275" i="7"/>
  <c r="Y266" i="7"/>
  <c r="Y275" i="7"/>
  <c r="X266" i="7"/>
  <c r="X275" i="7"/>
  <c r="W266" i="7"/>
  <c r="W275" i="7"/>
  <c r="V266" i="7"/>
  <c r="V275" i="7"/>
  <c r="U266" i="7"/>
  <c r="U275" i="7"/>
  <c r="T266" i="7"/>
  <c r="T275" i="7"/>
  <c r="S266" i="7"/>
  <c r="S275" i="7"/>
  <c r="R266" i="7"/>
  <c r="R275" i="7"/>
  <c r="Q266" i="7"/>
  <c r="Q275" i="7"/>
  <c r="P266" i="7"/>
  <c r="P275" i="7"/>
  <c r="O266" i="7"/>
  <c r="O275" i="7"/>
  <c r="N266" i="7"/>
  <c r="N275" i="7"/>
  <c r="M266" i="7"/>
  <c r="M275" i="7"/>
  <c r="L266" i="7"/>
  <c r="L275" i="7"/>
  <c r="K266" i="7"/>
  <c r="K275" i="7"/>
  <c r="J266" i="7"/>
  <c r="J275" i="7"/>
  <c r="I266" i="7"/>
  <c r="I275" i="7"/>
  <c r="G280" i="7"/>
  <c r="B277" i="7"/>
  <c r="B276" i="7"/>
  <c r="B275" i="7"/>
  <c r="B273" i="7"/>
  <c r="B232" i="7"/>
  <c r="B231" i="7"/>
  <c r="B230" i="7"/>
  <c r="B228" i="7"/>
  <c r="G188" i="7"/>
  <c r="BE174" i="7"/>
  <c r="BE183" i="7"/>
  <c r="BD174" i="7"/>
  <c r="BD183" i="7"/>
  <c r="BC174" i="7"/>
  <c r="BC183" i="7"/>
  <c r="BB174" i="7"/>
  <c r="BB183" i="7"/>
  <c r="BA174" i="7"/>
  <c r="BA183" i="7"/>
  <c r="AZ174" i="7"/>
  <c r="AZ183" i="7"/>
  <c r="AY174" i="7"/>
  <c r="AY183" i="7"/>
  <c r="AX174" i="7"/>
  <c r="AX183" i="7"/>
  <c r="AW174" i="7"/>
  <c r="AW183" i="7"/>
  <c r="AV174" i="7"/>
  <c r="AV183" i="7"/>
  <c r="AU174" i="7"/>
  <c r="AU183" i="7"/>
  <c r="AT174" i="7"/>
  <c r="AT183" i="7"/>
  <c r="AS174" i="7"/>
  <c r="AS183" i="7"/>
  <c r="AR174" i="7"/>
  <c r="AR183" i="7"/>
  <c r="AQ174" i="7"/>
  <c r="AQ183" i="7"/>
  <c r="AP174" i="7"/>
  <c r="AP183" i="7"/>
  <c r="AO174" i="7"/>
  <c r="AO183" i="7"/>
  <c r="AN174" i="7"/>
  <c r="AN183" i="7"/>
  <c r="AM174" i="7"/>
  <c r="AM183" i="7"/>
  <c r="AL174" i="7"/>
  <c r="AL183" i="7"/>
  <c r="AK174" i="7"/>
  <c r="AK183" i="7"/>
  <c r="AJ174" i="7"/>
  <c r="AJ183" i="7"/>
  <c r="AI174" i="7"/>
  <c r="AI183" i="7"/>
  <c r="AH174" i="7"/>
  <c r="AH183" i="7"/>
  <c r="AG174" i="7"/>
  <c r="AG183" i="7"/>
  <c r="AF174" i="7"/>
  <c r="AF183" i="7"/>
  <c r="AE174" i="7"/>
  <c r="AE183" i="7"/>
  <c r="AD174" i="7"/>
  <c r="AD183" i="7"/>
  <c r="AC174" i="7"/>
  <c r="AC183" i="7"/>
  <c r="AB174" i="7"/>
  <c r="AB183" i="7"/>
  <c r="AA174" i="7"/>
  <c r="AA183" i="7"/>
  <c r="Z174" i="7"/>
  <c r="Z183" i="7"/>
  <c r="Y174" i="7"/>
  <c r="Y183" i="7"/>
  <c r="X174" i="7"/>
  <c r="X183" i="7"/>
  <c r="W174" i="7"/>
  <c r="W183" i="7"/>
  <c r="V174" i="7"/>
  <c r="V183" i="7"/>
  <c r="U174" i="7"/>
  <c r="U183" i="7"/>
  <c r="T174" i="7"/>
  <c r="T183" i="7"/>
  <c r="S174" i="7"/>
  <c r="S183" i="7"/>
  <c r="R174" i="7"/>
  <c r="R183" i="7"/>
  <c r="Q174" i="7"/>
  <c r="Q183" i="7"/>
  <c r="P174" i="7"/>
  <c r="P183" i="7"/>
  <c r="O174" i="7"/>
  <c r="O183" i="7"/>
  <c r="N174" i="7"/>
  <c r="N183" i="7"/>
  <c r="M174" i="7"/>
  <c r="M183" i="7"/>
  <c r="L174" i="7"/>
  <c r="L183" i="7"/>
  <c r="K174" i="7"/>
  <c r="K183" i="7"/>
  <c r="J174" i="7"/>
  <c r="J183" i="7"/>
  <c r="I174" i="7"/>
  <c r="I183" i="7"/>
  <c r="G516" i="7"/>
  <c r="G515" i="7"/>
  <c r="B185" i="7"/>
  <c r="B184" i="7"/>
  <c r="B183" i="7"/>
  <c r="B181" i="7"/>
  <c r="B140" i="7"/>
  <c r="B139" i="7"/>
  <c r="B138" i="7"/>
  <c r="B136" i="7"/>
  <c r="B93" i="7"/>
  <c r="B92" i="7"/>
  <c r="B91" i="7"/>
  <c r="B89" i="7"/>
  <c r="B48" i="7"/>
  <c r="B47" i="7"/>
  <c r="B46" i="7"/>
  <c r="B44" i="7"/>
  <c r="G747" i="7"/>
  <c r="G746" i="7"/>
  <c r="G745" i="7"/>
  <c r="L751" i="7"/>
  <c r="L268" i="7"/>
  <c r="L277" i="7"/>
  <c r="G744" i="7"/>
  <c r="H750" i="7"/>
  <c r="C751" i="7"/>
  <c r="C750" i="7"/>
  <c r="C747" i="7"/>
  <c r="C746" i="7"/>
  <c r="C745" i="7"/>
  <c r="C721" i="7"/>
  <c r="C720" i="7"/>
  <c r="C705" i="7"/>
  <c r="C704" i="7"/>
  <c r="C698" i="7"/>
  <c r="G670" i="7"/>
  <c r="G669" i="7"/>
  <c r="C674" i="7"/>
  <c r="C673" i="7"/>
  <c r="C670" i="7"/>
  <c r="C669" i="7"/>
  <c r="C668" i="7"/>
  <c r="C644" i="7"/>
  <c r="C643" i="7"/>
  <c r="C628" i="7"/>
  <c r="C627" i="7"/>
  <c r="C621" i="7"/>
  <c r="G592" i="7"/>
  <c r="G591" i="7"/>
  <c r="G590" i="7"/>
  <c r="AT596" i="7"/>
  <c r="AT597" i="7"/>
  <c r="G589" i="7"/>
  <c r="H595" i="7"/>
  <c r="C596" i="7"/>
  <c r="C595" i="7"/>
  <c r="C592" i="7"/>
  <c r="C591" i="7"/>
  <c r="C590" i="7"/>
  <c r="C566" i="7"/>
  <c r="C565" i="7"/>
  <c r="C550" i="7"/>
  <c r="C549" i="7"/>
  <c r="C543" i="7"/>
  <c r="G438" i="7"/>
  <c r="G437" i="7"/>
  <c r="C520" i="7"/>
  <c r="C519" i="7"/>
  <c r="C516" i="7"/>
  <c r="C515" i="7"/>
  <c r="C514" i="7"/>
  <c r="C490" i="7"/>
  <c r="C489" i="7"/>
  <c r="C474" i="7"/>
  <c r="C473" i="7"/>
  <c r="C467" i="7"/>
  <c r="C442" i="7"/>
  <c r="C441" i="7"/>
  <c r="C438" i="7"/>
  <c r="C437" i="7"/>
  <c r="C436" i="7"/>
  <c r="C366" i="7"/>
  <c r="C365" i="7"/>
  <c r="C362" i="7"/>
  <c r="C361" i="7"/>
  <c r="C360" i="7"/>
  <c r="C412" i="7"/>
  <c r="C411" i="7"/>
  <c r="C396" i="7"/>
  <c r="C395" i="7"/>
  <c r="C389" i="7"/>
  <c r="C336" i="7"/>
  <c r="C335" i="7"/>
  <c r="C320" i="7"/>
  <c r="C319" i="7"/>
  <c r="C313" i="7"/>
  <c r="B167" i="4"/>
  <c r="B166" i="4"/>
  <c r="B165" i="4"/>
  <c r="B164" i="4"/>
  <c r="B163" i="4"/>
  <c r="B162" i="4"/>
  <c r="AA146" i="4"/>
  <c r="Z146" i="4"/>
  <c r="Y146" i="4"/>
  <c r="X146" i="4"/>
  <c r="W146" i="4"/>
  <c r="V146" i="4"/>
  <c r="U146" i="4"/>
  <c r="T146" i="4"/>
  <c r="S146" i="4"/>
  <c r="R146" i="4"/>
  <c r="Q146" i="4"/>
  <c r="P146" i="4"/>
  <c r="O146" i="4"/>
  <c r="N146" i="4"/>
  <c r="M146" i="4"/>
  <c r="L146" i="4"/>
  <c r="K146" i="4"/>
  <c r="J146" i="4"/>
  <c r="I146" i="4"/>
  <c r="H146" i="4"/>
  <c r="G146" i="4"/>
  <c r="B131" i="4"/>
  <c r="B130" i="4"/>
  <c r="B129" i="4"/>
  <c r="B128" i="4"/>
  <c r="G86" i="4"/>
  <c r="G85" i="4"/>
  <c r="B77" i="4"/>
  <c r="B76" i="4"/>
  <c r="B75" i="4"/>
  <c r="B74" i="4"/>
  <c r="B73" i="4"/>
  <c r="B72" i="4"/>
  <c r="AA56" i="4"/>
  <c r="Z56" i="4"/>
  <c r="Y56" i="4"/>
  <c r="X56" i="4"/>
  <c r="W56" i="4"/>
  <c r="V56" i="4"/>
  <c r="U56" i="4"/>
  <c r="T56" i="4"/>
  <c r="S56" i="4"/>
  <c r="R56" i="4"/>
  <c r="Q56" i="4"/>
  <c r="P56" i="4"/>
  <c r="O56" i="4"/>
  <c r="N56" i="4"/>
  <c r="M56" i="4"/>
  <c r="L56" i="4"/>
  <c r="K56" i="4"/>
  <c r="J56" i="4"/>
  <c r="I56" i="4"/>
  <c r="H56" i="4"/>
  <c r="G56" i="4"/>
  <c r="B41" i="4"/>
  <c r="B40" i="4"/>
  <c r="B39" i="4"/>
  <c r="B38" i="4"/>
  <c r="C217" i="4"/>
  <c r="C240" i="4"/>
  <c r="U182" i="8"/>
  <c r="U181" i="8"/>
  <c r="U180" i="8"/>
  <c r="U178" i="8"/>
  <c r="U177" i="8"/>
  <c r="U176" i="8"/>
  <c r="F342" i="4"/>
  <c r="F341" i="4"/>
  <c r="C270" i="4"/>
  <c r="C269" i="4"/>
  <c r="F266" i="4"/>
  <c r="F265" i="4"/>
  <c r="C266" i="4"/>
  <c r="C265" i="4"/>
  <c r="C264" i="4"/>
  <c r="S75" i="4"/>
  <c r="O75" i="4"/>
  <c r="Z252" i="7"/>
  <c r="Z273" i="7"/>
  <c r="AD252" i="7"/>
  <c r="AD273" i="7"/>
  <c r="AH252" i="7"/>
  <c r="AH273" i="7"/>
  <c r="AL252" i="7"/>
  <c r="AL273" i="7"/>
  <c r="O252" i="7"/>
  <c r="O273" i="7"/>
  <c r="AM252" i="7"/>
  <c r="AM273" i="7"/>
  <c r="AU252" i="7"/>
  <c r="AU273" i="7"/>
  <c r="AE252" i="7"/>
  <c r="AE273" i="7"/>
  <c r="W252" i="7"/>
  <c r="W273" i="7"/>
  <c r="BC252" i="7"/>
  <c r="BC273" i="7"/>
  <c r="H252" i="7"/>
  <c r="H273" i="7"/>
  <c r="P252" i="7"/>
  <c r="P273" i="7"/>
  <c r="X252" i="7"/>
  <c r="X273" i="7"/>
  <c r="AF252" i="7"/>
  <c r="AF273" i="7"/>
  <c r="AN252" i="7"/>
  <c r="AN273" i="7"/>
  <c r="AV252" i="7"/>
  <c r="AV273" i="7"/>
  <c r="BD252" i="7"/>
  <c r="BD273" i="7"/>
  <c r="K252" i="7"/>
  <c r="K273" i="7"/>
  <c r="S252" i="7"/>
  <c r="S273" i="7"/>
  <c r="AA252" i="7"/>
  <c r="AA273" i="7"/>
  <c r="AI252" i="7"/>
  <c r="AI273" i="7"/>
  <c r="AQ252" i="7"/>
  <c r="AQ273" i="7"/>
  <c r="AY252" i="7"/>
  <c r="AY273" i="7"/>
  <c r="L252" i="7"/>
  <c r="L273" i="7"/>
  <c r="T252" i="7"/>
  <c r="T273" i="7"/>
  <c r="AB252" i="7"/>
  <c r="AB273" i="7"/>
  <c r="AJ252" i="7"/>
  <c r="AJ273" i="7"/>
  <c r="AR252" i="7"/>
  <c r="AR273" i="7"/>
  <c r="AZ252" i="7"/>
  <c r="AZ273" i="7"/>
  <c r="I252" i="7"/>
  <c r="I273" i="7"/>
  <c r="M252" i="7"/>
  <c r="M273" i="7"/>
  <c r="Q252" i="7"/>
  <c r="Q273" i="7"/>
  <c r="U252" i="7"/>
  <c r="U273" i="7"/>
  <c r="Y252" i="7"/>
  <c r="Y273" i="7"/>
  <c r="AC252" i="7"/>
  <c r="AC273" i="7"/>
  <c r="AG252" i="7"/>
  <c r="AG273" i="7"/>
  <c r="AK252" i="7"/>
  <c r="AK273" i="7"/>
  <c r="AO252" i="7"/>
  <c r="AO273" i="7"/>
  <c r="AS252" i="7"/>
  <c r="AS273" i="7"/>
  <c r="AW252" i="7"/>
  <c r="AW273" i="7"/>
  <c r="BA252" i="7"/>
  <c r="BA273" i="7"/>
  <c r="BE252" i="7"/>
  <c r="BE273" i="7"/>
  <c r="J252" i="7"/>
  <c r="J273" i="7"/>
  <c r="N252" i="7"/>
  <c r="N273" i="7"/>
  <c r="R252" i="7"/>
  <c r="R273" i="7"/>
  <c r="V252" i="7"/>
  <c r="V273" i="7"/>
  <c r="AP252" i="7"/>
  <c r="AP273" i="7"/>
  <c r="AT252" i="7"/>
  <c r="AT273" i="7"/>
  <c r="AX252" i="7"/>
  <c r="AX273" i="7"/>
  <c r="BB252" i="7"/>
  <c r="BB273" i="7"/>
  <c r="N160" i="7"/>
  <c r="N181" i="7"/>
  <c r="AC160" i="7"/>
  <c r="AC181" i="7"/>
  <c r="BB554" i="7"/>
  <c r="BB560" i="7"/>
  <c r="W75" i="4"/>
  <c r="K75" i="4"/>
  <c r="AA75" i="4"/>
  <c r="L75" i="4"/>
  <c r="P75" i="4"/>
  <c r="T75" i="4"/>
  <c r="X75" i="4"/>
  <c r="I75" i="4"/>
  <c r="M75" i="4"/>
  <c r="Q75" i="4"/>
  <c r="U75" i="4"/>
  <c r="Y75" i="4"/>
  <c r="J75" i="4"/>
  <c r="N75" i="4"/>
  <c r="R75" i="4"/>
  <c r="V75" i="4"/>
  <c r="Z75" i="4"/>
  <c r="O86" i="1"/>
  <c r="G362" i="7"/>
  <c r="S56" i="6"/>
  <c r="R56" i="6"/>
  <c r="Q56" i="6"/>
  <c r="P56" i="6"/>
  <c r="O56" i="6"/>
  <c r="S55" i="6"/>
  <c r="R55" i="6"/>
  <c r="Q55" i="6"/>
  <c r="P55" i="6"/>
  <c r="O55" i="6"/>
  <c r="S51" i="6"/>
  <c r="R51" i="6"/>
  <c r="Q51" i="6"/>
  <c r="P51" i="6"/>
  <c r="O51" i="6"/>
  <c r="S50" i="6"/>
  <c r="R50" i="6"/>
  <c r="Q50" i="6"/>
  <c r="P50" i="6"/>
  <c r="O50" i="6"/>
  <c r="G701" i="7"/>
  <c r="H719" i="7"/>
  <c r="G682" i="7"/>
  <c r="G724" i="7"/>
  <c r="H740" i="7"/>
  <c r="M688" i="7"/>
  <c r="G299" i="4"/>
  <c r="F838" i="7"/>
  <c r="F837" i="7"/>
  <c r="G837" i="7"/>
  <c r="D831" i="7"/>
  <c r="C829" i="7"/>
  <c r="C815" i="7"/>
  <c r="F810" i="7"/>
  <c r="G810" i="7"/>
  <c r="F809" i="7"/>
  <c r="G809" i="7"/>
  <c r="D803" i="7"/>
  <c r="C801" i="7"/>
  <c r="S103" i="6"/>
  <c r="R103" i="6"/>
  <c r="Q103" i="6"/>
  <c r="P103" i="6"/>
  <c r="O103" i="6"/>
  <c r="N103" i="6"/>
  <c r="B15" i="7"/>
  <c r="B294" i="7"/>
  <c r="S66" i="6"/>
  <c r="R66" i="6"/>
  <c r="Q66" i="6"/>
  <c r="P66" i="6"/>
  <c r="O66" i="6"/>
  <c r="N66" i="6"/>
  <c r="S33" i="6"/>
  <c r="R33" i="6"/>
  <c r="Q33" i="6"/>
  <c r="P33" i="6"/>
  <c r="O33" i="6"/>
  <c r="N33" i="6"/>
  <c r="G838" i="7"/>
  <c r="AY838" i="7"/>
  <c r="Y165" i="4"/>
  <c r="W165" i="4"/>
  <c r="V165" i="4"/>
  <c r="AA165" i="4"/>
  <c r="X165" i="4"/>
  <c r="U165" i="4"/>
  <c r="S165" i="4"/>
  <c r="M165" i="4"/>
  <c r="O165" i="4"/>
  <c r="L165" i="4"/>
  <c r="N165" i="4"/>
  <c r="I165" i="4"/>
  <c r="Q165" i="4"/>
  <c r="K165" i="4"/>
  <c r="S84" i="6"/>
  <c r="G705" i="7"/>
  <c r="Q84" i="6"/>
  <c r="G550" i="7"/>
  <c r="S106" i="6"/>
  <c r="R106" i="6"/>
  <c r="Q106" i="6"/>
  <c r="P106" i="6"/>
  <c r="N106" i="6"/>
  <c r="O106" i="6"/>
  <c r="G221" i="17"/>
  <c r="G297" i="17"/>
  <c r="D240" i="8"/>
  <c r="D242" i="8"/>
  <c r="G297" i="4"/>
  <c r="P64" i="4"/>
  <c r="N64" i="4"/>
  <c r="H64" i="4"/>
  <c r="W165" i="17"/>
  <c r="S165" i="17"/>
  <c r="M165" i="17"/>
  <c r="AA165" i="17"/>
  <c r="Q165" i="17"/>
  <c r="L75" i="17"/>
  <c r="O75" i="17"/>
  <c r="S75" i="17"/>
  <c r="M75" i="17"/>
  <c r="AA75" i="17"/>
  <c r="W75" i="17"/>
  <c r="Z75" i="17"/>
  <c r="G222" i="17"/>
  <c r="X159" i="8"/>
  <c r="G202" i="17"/>
  <c r="W159" i="8"/>
  <c r="O729" i="7"/>
  <c r="O265" i="7"/>
  <c r="AW490" i="7"/>
  <c r="AW130" i="7"/>
  <c r="AW139" i="7"/>
  <c r="G222" i="4"/>
  <c r="G221" i="4"/>
  <c r="L45" i="1"/>
  <c r="L45" i="16"/>
  <c r="G203" i="17"/>
  <c r="X158" i="8"/>
  <c r="W158" i="8"/>
  <c r="AI575" i="7"/>
  <c r="AI581" i="7"/>
  <c r="M709" i="7"/>
  <c r="AR708" i="7"/>
  <c r="AR264" i="7"/>
  <c r="AG709" i="7"/>
  <c r="AG715" i="7"/>
  <c r="L709" i="7"/>
  <c r="L715" i="7"/>
  <c r="AZ709" i="7"/>
  <c r="K709" i="7"/>
  <c r="K715" i="7"/>
  <c r="AH709" i="7"/>
  <c r="AF709" i="7"/>
  <c r="AF715" i="7"/>
  <c r="V694" i="7"/>
  <c r="T687" i="7"/>
  <c r="T263" i="7"/>
  <c r="K687" i="7"/>
  <c r="K263" i="7"/>
  <c r="V687" i="7"/>
  <c r="V263" i="7"/>
  <c r="AE730" i="7"/>
  <c r="AE736" i="7"/>
  <c r="BA490" i="7"/>
  <c r="BA130" i="7"/>
  <c r="BA139" i="7"/>
  <c r="M190" i="8"/>
  <c r="L190" i="23"/>
  <c r="L167" i="23"/>
  <c r="J632" i="7"/>
  <c r="J638" i="7"/>
  <c r="M191" i="8"/>
  <c r="M199" i="8"/>
  <c r="L191" i="23"/>
  <c r="L168" i="23"/>
  <c r="K75" i="17"/>
  <c r="T75" i="17"/>
  <c r="BE490" i="7"/>
  <c r="BE130" i="7"/>
  <c r="BE139" i="7"/>
  <c r="AS490" i="7"/>
  <c r="AS130" i="7"/>
  <c r="AS139" i="7"/>
  <c r="AD309" i="7"/>
  <c r="V219" i="8"/>
  <c r="V101" i="8"/>
  <c r="N197" i="23"/>
  <c r="O197" i="23"/>
  <c r="N76" i="16"/>
  <c r="N72" i="16"/>
  <c r="M179" i="23"/>
  <c r="N73" i="16"/>
  <c r="V96" i="8"/>
  <c r="N182" i="23"/>
  <c r="O182" i="23"/>
  <c r="I115" i="7"/>
  <c r="I136" i="7"/>
  <c r="I214" i="7"/>
  <c r="AN115" i="7"/>
  <c r="AN136" i="7"/>
  <c r="AJ115" i="7"/>
  <c r="AJ136" i="7"/>
  <c r="Q40" i="6"/>
  <c r="G569" i="7"/>
  <c r="H585" i="7"/>
  <c r="T115" i="7"/>
  <c r="T136" i="7"/>
  <c r="P115" i="7"/>
  <c r="P136" i="7"/>
  <c r="AQ115" i="7"/>
  <c r="AQ136" i="7"/>
  <c r="AA115" i="7"/>
  <c r="AA136" i="7"/>
  <c r="W115" i="7"/>
  <c r="W136" i="7"/>
  <c r="K115" i="7"/>
  <c r="K136" i="7"/>
  <c r="AP115" i="7"/>
  <c r="AP136" i="7"/>
  <c r="AS115" i="7"/>
  <c r="AS136" i="7"/>
  <c r="AO115" i="7"/>
  <c r="AO136" i="7"/>
  <c r="X97" i="8"/>
  <c r="X101" i="8"/>
  <c r="U255" i="17"/>
  <c r="R14" i="1"/>
  <c r="AI160" i="7"/>
  <c r="AI181" i="7"/>
  <c r="Y165" i="17"/>
  <c r="R75" i="17"/>
  <c r="N75" i="17"/>
  <c r="V75" i="17"/>
  <c r="X75" i="17"/>
  <c r="O165" i="17"/>
  <c r="I75" i="17"/>
  <c r="G379" i="17"/>
  <c r="V58" i="4"/>
  <c r="L64" i="4"/>
  <c r="S64" i="4"/>
  <c r="D244" i="8"/>
  <c r="V97" i="8"/>
  <c r="U729" i="7"/>
  <c r="U265" i="7"/>
  <c r="AF729" i="7"/>
  <c r="AF265" i="7"/>
  <c r="AA674" i="7"/>
  <c r="AA223" i="7"/>
  <c r="AA232" i="7"/>
  <c r="V729" i="7"/>
  <c r="V265" i="7"/>
  <c r="AF730" i="7"/>
  <c r="AF736" i="7"/>
  <c r="AE160" i="7"/>
  <c r="AE181" i="7"/>
  <c r="AL730" i="7"/>
  <c r="AL736" i="7"/>
  <c r="BD674" i="7"/>
  <c r="BD223" i="7"/>
  <c r="BD232" i="7"/>
  <c r="AX729" i="7"/>
  <c r="AX265" i="7"/>
  <c r="AC730" i="7"/>
  <c r="AV674" i="7"/>
  <c r="AV223" i="7"/>
  <c r="AV232" i="7"/>
  <c r="AR730" i="7"/>
  <c r="AR736" i="7"/>
  <c r="AM730" i="7"/>
  <c r="AM736" i="7"/>
  <c r="S730" i="7"/>
  <c r="S736" i="7"/>
  <c r="AE729" i="7"/>
  <c r="I160" i="7"/>
  <c r="I181" i="7"/>
  <c r="AY791" i="7"/>
  <c r="AY795" i="7"/>
  <c r="J160" i="7"/>
  <c r="J181" i="7"/>
  <c r="R160" i="7"/>
  <c r="R181" i="7"/>
  <c r="AN160" i="7"/>
  <c r="AN181" i="7"/>
  <c r="AO160" i="7"/>
  <c r="AO181" i="7"/>
  <c r="AV611" i="7"/>
  <c r="AV617" i="7"/>
  <c r="H27" i="7"/>
  <c r="BA632" i="7"/>
  <c r="BA638" i="7"/>
  <c r="AJ631" i="7"/>
  <c r="AJ219" i="7"/>
  <c r="AE532" i="7"/>
  <c r="AE171" i="7"/>
  <c r="R632" i="7"/>
  <c r="R638" i="7"/>
  <c r="BE631" i="7"/>
  <c r="BE219" i="7"/>
  <c r="AE632" i="7"/>
  <c r="AE638" i="7"/>
  <c r="N729" i="7"/>
  <c r="N265" i="7"/>
  <c r="P729" i="7"/>
  <c r="P265" i="7"/>
  <c r="S729" i="7"/>
  <c r="S265" i="7"/>
  <c r="AB730" i="7"/>
  <c r="AB736" i="7"/>
  <c r="AI729" i="7"/>
  <c r="AJ730" i="7"/>
  <c r="AJ736" i="7"/>
  <c r="AJ729" i="7"/>
  <c r="AJ265" i="7"/>
  <c r="AK730" i="7"/>
  <c r="AK736" i="7"/>
  <c r="AP730" i="7"/>
  <c r="AP729" i="7"/>
  <c r="AP265" i="7"/>
  <c r="AT729" i="7"/>
  <c r="AT265" i="7"/>
  <c r="BB729" i="7"/>
  <c r="BB265" i="7"/>
  <c r="K730" i="7"/>
  <c r="M729" i="7"/>
  <c r="M265" i="7"/>
  <c r="Q730" i="7"/>
  <c r="Q736" i="7"/>
  <c r="G637" i="7"/>
  <c r="G639" i="7"/>
  <c r="H636" i="7"/>
  <c r="BA729" i="7"/>
  <c r="BA265" i="7"/>
  <c r="AM729" i="7"/>
  <c r="AM265" i="7"/>
  <c r="AO730" i="7"/>
  <c r="AO736" i="7"/>
  <c r="AN729" i="7"/>
  <c r="AN265" i="7"/>
  <c r="AQ730" i="7"/>
  <c r="AQ736" i="7"/>
  <c r="AT730" i="7"/>
  <c r="AT736" i="7"/>
  <c r="AH729" i="7"/>
  <c r="AH265" i="7"/>
  <c r="AD729" i="7"/>
  <c r="AD265" i="7"/>
  <c r="K729" i="7"/>
  <c r="K265" i="7"/>
  <c r="I730" i="7"/>
  <c r="I736" i="7"/>
  <c r="U730" i="7"/>
  <c r="U736" i="7"/>
  <c r="T729" i="7"/>
  <c r="T265" i="7"/>
  <c r="AS729" i="7"/>
  <c r="AS265" i="7"/>
  <c r="AQ729" i="7"/>
  <c r="AQ265" i="7"/>
  <c r="AU730" i="7"/>
  <c r="AU736" i="7"/>
  <c r="AR729" i="7"/>
  <c r="AR265" i="7"/>
  <c r="AV730" i="7"/>
  <c r="AV736" i="7"/>
  <c r="AX730" i="7"/>
  <c r="AX736" i="7"/>
  <c r="Z729" i="7"/>
  <c r="Z265" i="7"/>
  <c r="BC730" i="7"/>
  <c r="BC736" i="7"/>
  <c r="AL729" i="7"/>
  <c r="AL265" i="7"/>
  <c r="AK160" i="7"/>
  <c r="AK181" i="7"/>
  <c r="W160" i="7"/>
  <c r="W181" i="7"/>
  <c r="BD730" i="7"/>
  <c r="BD736" i="7"/>
  <c r="N730" i="7"/>
  <c r="N736" i="7"/>
  <c r="J730" i="7"/>
  <c r="J736" i="7"/>
  <c r="H729" i="7"/>
  <c r="H265" i="7"/>
  <c r="R730" i="7"/>
  <c r="R736" i="7"/>
  <c r="AK729" i="7"/>
  <c r="AK265" i="7"/>
  <c r="AU729" i="7"/>
  <c r="AU265" i="7"/>
  <c r="AZ730" i="7"/>
  <c r="AZ736" i="7"/>
  <c r="AV729" i="7"/>
  <c r="AV265" i="7"/>
  <c r="BA730" i="7"/>
  <c r="BA736" i="7"/>
  <c r="BB730" i="7"/>
  <c r="BB736" i="7"/>
  <c r="AG730" i="7"/>
  <c r="AG736" i="7"/>
  <c r="AN730" i="7"/>
  <c r="AN736" i="7"/>
  <c r="M730" i="7"/>
  <c r="M736" i="7"/>
  <c r="J729" i="7"/>
  <c r="J265" i="7"/>
  <c r="V730" i="7"/>
  <c r="V736" i="7"/>
  <c r="H730" i="7"/>
  <c r="H736" i="7"/>
  <c r="AC729" i="7"/>
  <c r="AC265" i="7"/>
  <c r="AY729" i="7"/>
  <c r="AY265" i="7"/>
  <c r="BE730" i="7"/>
  <c r="BE736" i="7"/>
  <c r="AZ729" i="7"/>
  <c r="AZ265" i="7"/>
  <c r="Z730" i="7"/>
  <c r="Z736" i="7"/>
  <c r="AS730" i="7"/>
  <c r="AS736" i="7"/>
  <c r="AW729" i="7"/>
  <c r="AW265" i="7"/>
  <c r="AO729" i="7"/>
  <c r="AO265" i="7"/>
  <c r="BE729" i="7"/>
  <c r="BE265" i="7"/>
  <c r="L729" i="7"/>
  <c r="L265" i="7"/>
  <c r="Q729" i="7"/>
  <c r="Q265" i="7"/>
  <c r="R729" i="7"/>
  <c r="R265" i="7"/>
  <c r="O730" i="7"/>
  <c r="O736" i="7"/>
  <c r="W729" i="7"/>
  <c r="W265" i="7"/>
  <c r="BC729" i="7"/>
  <c r="BC265" i="7"/>
  <c r="X729" i="7"/>
  <c r="X265" i="7"/>
  <c r="BD729" i="7"/>
  <c r="AD730" i="7"/>
  <c r="AD736" i="7"/>
  <c r="AI730" i="7"/>
  <c r="AI736" i="7"/>
  <c r="AG729" i="7"/>
  <c r="W730" i="7"/>
  <c r="W736" i="7"/>
  <c r="P730" i="7"/>
  <c r="P736" i="7"/>
  <c r="L730" i="7"/>
  <c r="L736" i="7"/>
  <c r="T730" i="7"/>
  <c r="I729" i="7"/>
  <c r="I265" i="7"/>
  <c r="AW730" i="7"/>
  <c r="AA729" i="7"/>
  <c r="AA265" i="7"/>
  <c r="Y730" i="7"/>
  <c r="AB729" i="7"/>
  <c r="AB265" i="7"/>
  <c r="AA730" i="7"/>
  <c r="AA736" i="7"/>
  <c r="AH730" i="7"/>
  <c r="AH736" i="7"/>
  <c r="X730" i="7"/>
  <c r="X736" i="7"/>
  <c r="AY730" i="7"/>
  <c r="AY736" i="7"/>
  <c r="AR574" i="7"/>
  <c r="AR173" i="7"/>
  <c r="BA160" i="7"/>
  <c r="BA181" i="7"/>
  <c r="AF406" i="7"/>
  <c r="AS160" i="7"/>
  <c r="AS181" i="7"/>
  <c r="AZ653" i="7"/>
  <c r="AZ659" i="7"/>
  <c r="AF653" i="7"/>
  <c r="AF659" i="7"/>
  <c r="I478" i="7"/>
  <c r="I484" i="7"/>
  <c r="U309" i="7"/>
  <c r="AS406" i="7"/>
  <c r="AU406" i="7"/>
  <c r="Y160" i="7"/>
  <c r="Y181" i="7"/>
  <c r="Y309" i="7"/>
  <c r="Q160" i="7"/>
  <c r="Q181" i="7"/>
  <c r="AM160" i="7"/>
  <c r="AM181" i="7"/>
  <c r="M195" i="8"/>
  <c r="V213" i="17"/>
  <c r="G298" i="17"/>
  <c r="X85" i="8"/>
  <c r="D192" i="8"/>
  <c r="AA255" i="17"/>
  <c r="G365" i="17"/>
  <c r="Y255" i="17"/>
  <c r="J234" i="17"/>
  <c r="BC160" i="7"/>
  <c r="BC181" i="7"/>
  <c r="AG160" i="7"/>
  <c r="AG181" i="7"/>
  <c r="AU160" i="7"/>
  <c r="AU181" i="7"/>
  <c r="AA160" i="7"/>
  <c r="AA181" i="7"/>
  <c r="S160" i="7"/>
  <c r="S181" i="7"/>
  <c r="K160" i="7"/>
  <c r="K181" i="7"/>
  <c r="AZ674" i="7"/>
  <c r="AZ223" i="7"/>
  <c r="AZ232" i="7"/>
  <c r="AS674" i="7"/>
  <c r="AP674" i="7"/>
  <c r="AP223" i="7"/>
  <c r="AP232" i="7"/>
  <c r="AK674" i="7"/>
  <c r="AK223" i="7"/>
  <c r="AK232" i="7"/>
  <c r="Y674" i="7"/>
  <c r="Y223" i="7"/>
  <c r="Y232" i="7"/>
  <c r="BE406" i="7"/>
  <c r="AW674" i="7"/>
  <c r="AW223" i="7"/>
  <c r="AW232" i="7"/>
  <c r="U674" i="7"/>
  <c r="U675" i="7"/>
  <c r="AX160" i="7"/>
  <c r="AX181" i="7"/>
  <c r="BE674" i="7"/>
  <c r="BE223" i="7"/>
  <c r="BE232" i="7"/>
  <c r="BA674" i="7"/>
  <c r="BA223" i="7"/>
  <c r="BA232" i="7"/>
  <c r="AQ674" i="7"/>
  <c r="AQ223" i="7"/>
  <c r="AQ232" i="7"/>
  <c r="AD674" i="7"/>
  <c r="AD223" i="7"/>
  <c r="AD232" i="7"/>
  <c r="AP160" i="7"/>
  <c r="AP181" i="7"/>
  <c r="AX674" i="7"/>
  <c r="AX223" i="7"/>
  <c r="AX232" i="7"/>
  <c r="AT674" i="7"/>
  <c r="AT223" i="7"/>
  <c r="AT232" i="7"/>
  <c r="AL674" i="7"/>
  <c r="AL223" i="7"/>
  <c r="AL232" i="7"/>
  <c r="AJ833" i="7"/>
  <c r="AJ837" i="7"/>
  <c r="V160" i="7"/>
  <c r="V181" i="7"/>
  <c r="AJ160" i="7"/>
  <c r="AJ181" i="7"/>
  <c r="BB674" i="7"/>
  <c r="AU674" i="7"/>
  <c r="AU223" i="7"/>
  <c r="AU232" i="7"/>
  <c r="Q611" i="7"/>
  <c r="Q617" i="7"/>
  <c r="L674" i="7"/>
  <c r="AZ406" i="7"/>
  <c r="AY674" i="7"/>
  <c r="AY223" i="7"/>
  <c r="AY232" i="7"/>
  <c r="AO674" i="7"/>
  <c r="AO223" i="7"/>
  <c r="AO232" i="7"/>
  <c r="BC674" i="7"/>
  <c r="BC223" i="7"/>
  <c r="BC232" i="7"/>
  <c r="AM674" i="7"/>
  <c r="AM675" i="7"/>
  <c r="AH674" i="7"/>
  <c r="AH223" i="7"/>
  <c r="AH232" i="7"/>
  <c r="T674" i="7"/>
  <c r="AZ160" i="7"/>
  <c r="AZ181" i="7"/>
  <c r="BA653" i="7"/>
  <c r="BA659" i="7"/>
  <c r="AM652" i="7"/>
  <c r="AM220" i="7"/>
  <c r="AG652" i="7"/>
  <c r="AG220" i="7"/>
  <c r="BB653" i="7"/>
  <c r="BB659" i="7"/>
  <c r="AG674" i="7"/>
  <c r="W674" i="7"/>
  <c r="W223" i="7"/>
  <c r="W232" i="7"/>
  <c r="AD160" i="7"/>
  <c r="AD181" i="7"/>
  <c r="BC653" i="7"/>
  <c r="BC659" i="7"/>
  <c r="AW652" i="7"/>
  <c r="AW220" i="7"/>
  <c r="AH653" i="7"/>
  <c r="AH659" i="7"/>
  <c r="X160" i="7"/>
  <c r="X181" i="7"/>
  <c r="BD652" i="7"/>
  <c r="BD220" i="7"/>
  <c r="P160" i="7"/>
  <c r="P181" i="7"/>
  <c r="BC791" i="7"/>
  <c r="BC795" i="7"/>
  <c r="BC796" i="7"/>
  <c r="BC797" i="7"/>
  <c r="BC124" i="7"/>
  <c r="H160" i="7"/>
  <c r="H181" i="7"/>
  <c r="AY652" i="7"/>
  <c r="AY220" i="7"/>
  <c r="AI674" i="7"/>
  <c r="AI223" i="7"/>
  <c r="AI232" i="7"/>
  <c r="AE674" i="7"/>
  <c r="AE223" i="7"/>
  <c r="AE232" i="7"/>
  <c r="N674" i="7"/>
  <c r="N223" i="7"/>
  <c r="N232" i="7"/>
  <c r="AQ791" i="7"/>
  <c r="AQ795" i="7"/>
  <c r="AL160" i="7"/>
  <c r="AL181" i="7"/>
  <c r="AR160" i="7"/>
  <c r="AR181" i="7"/>
  <c r="Q674" i="7"/>
  <c r="Q675" i="7"/>
  <c r="AE457" i="7"/>
  <c r="AE463" i="7"/>
  <c r="AB457" i="7"/>
  <c r="AB463" i="7"/>
  <c r="O160" i="7"/>
  <c r="O181" i="7"/>
  <c r="AO457" i="7"/>
  <c r="AO463" i="7"/>
  <c r="AY160" i="7"/>
  <c r="AY181" i="7"/>
  <c r="AU631" i="7"/>
  <c r="AU219" i="7"/>
  <c r="AN631" i="7"/>
  <c r="AN219" i="7"/>
  <c r="AD631" i="7"/>
  <c r="AD219" i="7"/>
  <c r="AQ160" i="7"/>
  <c r="AQ181" i="7"/>
  <c r="AB632" i="7"/>
  <c r="AB638" i="7"/>
  <c r="U631" i="7"/>
  <c r="U219" i="7"/>
  <c r="I457" i="7"/>
  <c r="I463" i="7"/>
  <c r="AG631" i="7"/>
  <c r="AG219" i="7"/>
  <c r="AC632" i="7"/>
  <c r="AC638" i="7"/>
  <c r="AX457" i="7"/>
  <c r="AX463" i="7"/>
  <c r="AD810" i="7"/>
  <c r="Z810" i="7"/>
  <c r="AE810" i="7"/>
  <c r="BE810" i="7"/>
  <c r="AK810" i="7"/>
  <c r="AI574" i="7"/>
  <c r="AI173" i="7"/>
  <c r="BE160" i="7"/>
  <c r="BE181" i="7"/>
  <c r="BC652" i="7"/>
  <c r="BB652" i="7"/>
  <c r="BB220" i="7"/>
  <c r="BA652" i="7"/>
  <c r="BA220" i="7"/>
  <c r="AZ652" i="7"/>
  <c r="AZ220" i="7"/>
  <c r="AN653" i="7"/>
  <c r="AN659" i="7"/>
  <c r="AH652" i="7"/>
  <c r="AH220" i="7"/>
  <c r="AF652" i="7"/>
  <c r="AR520" i="7"/>
  <c r="AR131" i="7"/>
  <c r="AR140" i="7"/>
  <c r="AP520" i="7"/>
  <c r="AP131" i="7"/>
  <c r="AP140" i="7"/>
  <c r="AK520" i="7"/>
  <c r="AK131" i="7"/>
  <c r="AK140" i="7"/>
  <c r="AB520" i="7"/>
  <c r="AB131" i="7"/>
  <c r="AB140" i="7"/>
  <c r="X575" i="7"/>
  <c r="X581" i="7"/>
  <c r="U160" i="7"/>
  <c r="U181" i="7"/>
  <c r="AP653" i="7"/>
  <c r="AP659" i="7"/>
  <c r="AO653" i="7"/>
  <c r="AO659" i="7"/>
  <c r="AN652" i="7"/>
  <c r="AN220" i="7"/>
  <c r="AI652" i="7"/>
  <c r="AI220" i="7"/>
  <c r="AZ520" i="7"/>
  <c r="AZ131" i="7"/>
  <c r="AZ140" i="7"/>
  <c r="AV520" i="7"/>
  <c r="AV131" i="7"/>
  <c r="AV140" i="7"/>
  <c r="AT520" i="7"/>
  <c r="AT131" i="7"/>
  <c r="AT140" i="7"/>
  <c r="AM520" i="7"/>
  <c r="AM131" i="7"/>
  <c r="AM140" i="7"/>
  <c r="AW160" i="7"/>
  <c r="AW181" i="7"/>
  <c r="AP652" i="7"/>
  <c r="AP220" i="7"/>
  <c r="AO652" i="7"/>
  <c r="AO220" i="7"/>
  <c r="AJ653" i="7"/>
  <c r="AB653" i="7"/>
  <c r="AB659" i="7"/>
  <c r="X653" i="7"/>
  <c r="X659" i="7"/>
  <c r="BD520" i="7"/>
  <c r="BD131" i="7"/>
  <c r="BD140" i="7"/>
  <c r="BB520" i="7"/>
  <c r="BB131" i="7"/>
  <c r="BB140" i="7"/>
  <c r="AX520" i="7"/>
  <c r="AX131" i="7"/>
  <c r="AX140" i="7"/>
  <c r="AW575" i="7"/>
  <c r="AW581" i="7"/>
  <c r="M160" i="7"/>
  <c r="M181" i="7"/>
  <c r="AQ652" i="7"/>
  <c r="AQ220" i="7"/>
  <c r="AJ652" i="7"/>
  <c r="AJ220" i="7"/>
  <c r="AC653" i="7"/>
  <c r="AC659" i="7"/>
  <c r="AB652" i="7"/>
  <c r="Y653" i="7"/>
  <c r="X652" i="7"/>
  <c r="X220" i="7"/>
  <c r="AJ520" i="7"/>
  <c r="AJ131" i="7"/>
  <c r="AJ140" i="7"/>
  <c r="AT575" i="7"/>
  <c r="BD574" i="7"/>
  <c r="BD173" i="7"/>
  <c r="AU653" i="7"/>
  <c r="AU659" i="7"/>
  <c r="AK653" i="7"/>
  <c r="AK659" i="7"/>
  <c r="AD653" i="7"/>
  <c r="AC652" i="7"/>
  <c r="AC220" i="7"/>
  <c r="Y652" i="7"/>
  <c r="Y220" i="7"/>
  <c r="AS520" i="7"/>
  <c r="AS131" i="7"/>
  <c r="AS140" i="7"/>
  <c r="AQ520" i="7"/>
  <c r="AO520" i="7"/>
  <c r="AO131" i="7"/>
  <c r="AO140" i="7"/>
  <c r="BE653" i="7"/>
  <c r="AX653" i="7"/>
  <c r="AX659" i="7"/>
  <c r="AV652" i="7"/>
  <c r="AV220" i="7"/>
  <c r="AT653" i="7"/>
  <c r="AT659" i="7"/>
  <c r="AS653" i="7"/>
  <c r="AR653" i="7"/>
  <c r="AR659" i="7"/>
  <c r="AL653" i="7"/>
  <c r="AL659" i="7"/>
  <c r="AE652" i="7"/>
  <c r="AE220" i="7"/>
  <c r="BA520" i="7"/>
  <c r="AY520" i="7"/>
  <c r="AY131" i="7"/>
  <c r="AY140" i="7"/>
  <c r="AW520" i="7"/>
  <c r="AU520" i="7"/>
  <c r="AL520" i="7"/>
  <c r="AL131" i="7"/>
  <c r="AL140" i="7"/>
  <c r="AZ575" i="7"/>
  <c r="AZ581" i="7"/>
  <c r="BE652" i="7"/>
  <c r="BE220" i="7"/>
  <c r="BD653" i="7"/>
  <c r="BD659" i="7"/>
  <c r="AY653" i="7"/>
  <c r="AY659" i="7"/>
  <c r="AX652" i="7"/>
  <c r="AX220" i="7"/>
  <c r="AW653" i="7"/>
  <c r="AW659" i="7"/>
  <c r="AT652" i="7"/>
  <c r="AT220" i="7"/>
  <c r="AS652" i="7"/>
  <c r="AS220" i="7"/>
  <c r="AR652" i="7"/>
  <c r="AR220" i="7"/>
  <c r="AL652" i="7"/>
  <c r="AL220" i="7"/>
  <c r="AG653" i="7"/>
  <c r="AG659" i="7"/>
  <c r="Z653" i="7"/>
  <c r="Z659" i="7"/>
  <c r="BE520" i="7"/>
  <c r="BE131" i="7"/>
  <c r="BE140" i="7"/>
  <c r="BC520" i="7"/>
  <c r="BC131" i="7"/>
  <c r="BC140" i="7"/>
  <c r="AI520" i="7"/>
  <c r="BB632" i="7"/>
  <c r="BB638" i="7"/>
  <c r="AW632" i="7"/>
  <c r="AW638" i="7"/>
  <c r="AV632" i="7"/>
  <c r="AV638" i="7"/>
  <c r="AR631" i="7"/>
  <c r="AR219" i="7"/>
  <c r="AO632" i="7"/>
  <c r="AO638" i="7"/>
  <c r="AM632" i="7"/>
  <c r="AM638" i="7"/>
  <c r="AK632" i="7"/>
  <c r="AI632" i="7"/>
  <c r="AI638" i="7"/>
  <c r="AA632" i="7"/>
  <c r="AA638" i="7"/>
  <c r="Z631" i="7"/>
  <c r="Z219" i="7"/>
  <c r="Y631" i="7"/>
  <c r="Y219" i="7"/>
  <c r="X632" i="7"/>
  <c r="X638" i="7"/>
  <c r="T631" i="7"/>
  <c r="T219" i="7"/>
  <c r="BB457" i="7"/>
  <c r="BB463" i="7"/>
  <c r="AK457" i="7"/>
  <c r="AK463" i="7"/>
  <c r="BE309" i="7"/>
  <c r="AW309" i="7"/>
  <c r="AK309" i="7"/>
  <c r="Q309" i="7"/>
  <c r="BB160" i="7"/>
  <c r="BB181" i="7"/>
  <c r="AH160" i="7"/>
  <c r="AH181" i="7"/>
  <c r="AF160" i="7"/>
  <c r="AF181" i="7"/>
  <c r="BE632" i="7"/>
  <c r="BB631" i="7"/>
  <c r="BB219" i="7"/>
  <c r="AW631" i="7"/>
  <c r="AW219" i="7"/>
  <c r="AV631" i="7"/>
  <c r="AU632" i="7"/>
  <c r="AU638" i="7"/>
  <c r="AO631" i="7"/>
  <c r="AO219" i="7"/>
  <c r="AN632" i="7"/>
  <c r="AN638" i="7"/>
  <c r="AM631" i="7"/>
  <c r="AM219" i="7"/>
  <c r="AL631" i="7"/>
  <c r="AL219" i="7"/>
  <c r="AK631" i="7"/>
  <c r="AK219" i="7"/>
  <c r="AJ632" i="7"/>
  <c r="AJ638" i="7"/>
  <c r="AI631" i="7"/>
  <c r="AI219" i="7"/>
  <c r="AH631" i="7"/>
  <c r="AH219" i="7"/>
  <c r="AG632" i="7"/>
  <c r="AG638" i="7"/>
  <c r="AA631" i="7"/>
  <c r="AA219" i="7"/>
  <c r="X631" i="7"/>
  <c r="X219" i="7"/>
  <c r="U632" i="7"/>
  <c r="U638" i="7"/>
  <c r="BB456" i="7"/>
  <c r="BB126" i="7"/>
  <c r="AQ457" i="7"/>
  <c r="AQ463" i="7"/>
  <c r="Z520" i="7"/>
  <c r="Z131" i="7"/>
  <c r="Z140" i="7"/>
  <c r="AY309" i="7"/>
  <c r="AP309" i="7"/>
  <c r="AH309" i="7"/>
  <c r="AT160" i="7"/>
  <c r="AT181" i="7"/>
  <c r="BD632" i="7"/>
  <c r="BD638" i="7"/>
  <c r="BA631" i="7"/>
  <c r="AZ632" i="7"/>
  <c r="AF632" i="7"/>
  <c r="AF638" i="7"/>
  <c r="AE631" i="7"/>
  <c r="AE219" i="7"/>
  <c r="AC631" i="7"/>
  <c r="AC219" i="7"/>
  <c r="AB631" i="7"/>
  <c r="BC457" i="7"/>
  <c r="BC463" i="7"/>
  <c r="AX456" i="7"/>
  <c r="AX126" i="7"/>
  <c r="AH457" i="7"/>
  <c r="AH463" i="7"/>
  <c r="AM309" i="7"/>
  <c r="AG751" i="7"/>
  <c r="AB160" i="7"/>
  <c r="AB181" i="7"/>
  <c r="BD631" i="7"/>
  <c r="BD219" i="7"/>
  <c r="AZ631" i="7"/>
  <c r="AZ219" i="7"/>
  <c r="AY632" i="7"/>
  <c r="AY638" i="7"/>
  <c r="AT631" i="7"/>
  <c r="AT219" i="7"/>
  <c r="AF631" i="7"/>
  <c r="AF219" i="7"/>
  <c r="V632" i="7"/>
  <c r="V638" i="7"/>
  <c r="AT457" i="7"/>
  <c r="AJ498" i="7"/>
  <c r="AJ128" i="7"/>
  <c r="BB443" i="7"/>
  <c r="AX309" i="7"/>
  <c r="AV309" i="7"/>
  <c r="T160" i="7"/>
  <c r="T181" i="7"/>
  <c r="L160" i="7"/>
  <c r="L181" i="7"/>
  <c r="AY631" i="7"/>
  <c r="AX632" i="7"/>
  <c r="AX638" i="7"/>
  <c r="AS632" i="7"/>
  <c r="AS638" i="7"/>
  <c r="AY457" i="7"/>
  <c r="AY463" i="7"/>
  <c r="AT456" i="7"/>
  <c r="AT126" i="7"/>
  <c r="AZ309" i="7"/>
  <c r="AT309" i="7"/>
  <c r="AO309" i="7"/>
  <c r="AI309" i="7"/>
  <c r="AG309" i="7"/>
  <c r="Z160" i="7"/>
  <c r="Z181" i="7"/>
  <c r="BD160" i="7"/>
  <c r="BD181" i="7"/>
  <c r="BC632" i="7"/>
  <c r="BC638" i="7"/>
  <c r="AX631" i="7"/>
  <c r="AX219" i="7"/>
  <c r="AS631" i="7"/>
  <c r="AS219" i="7"/>
  <c r="AQ632" i="7"/>
  <c r="AQ638" i="7"/>
  <c r="W631" i="7"/>
  <c r="W219" i="7"/>
  <c r="AP456" i="7"/>
  <c r="AN520" i="7"/>
  <c r="AJ309" i="7"/>
  <c r="Z309" i="7"/>
  <c r="V309" i="7"/>
  <c r="AV160" i="7"/>
  <c r="AV181" i="7"/>
  <c r="BC631" i="7"/>
  <c r="BC219" i="7"/>
  <c r="AR632" i="7"/>
  <c r="AR638" i="7"/>
  <c r="AQ631" i="7"/>
  <c r="AP631" i="7"/>
  <c r="AP219" i="7"/>
  <c r="Y632" i="7"/>
  <c r="Y638" i="7"/>
  <c r="AU457" i="7"/>
  <c r="AU463" i="7"/>
  <c r="BA838" i="7"/>
  <c r="BA833" i="7"/>
  <c r="BA837" i="7"/>
  <c r="BA839" i="7"/>
  <c r="BA261" i="7"/>
  <c r="T838" i="7"/>
  <c r="H838" i="7"/>
  <c r="G797" i="7"/>
  <c r="L752" i="7"/>
  <c r="Q810" i="7"/>
  <c r="BA575" i="7"/>
  <c r="BA581" i="7"/>
  <c r="Z751" i="7"/>
  <c r="AJ575" i="7"/>
  <c r="AJ581" i="7"/>
  <c r="H810" i="7"/>
  <c r="AR810" i="7"/>
  <c r="AB810" i="7"/>
  <c r="AC810" i="7"/>
  <c r="G658" i="7"/>
  <c r="G660" i="7"/>
  <c r="H657" i="7"/>
  <c r="P574" i="7"/>
  <c r="P173" i="7"/>
  <c r="AX574" i="7"/>
  <c r="AX173" i="7"/>
  <c r="Y575" i="7"/>
  <c r="BE575" i="7"/>
  <c r="BE581" i="7"/>
  <c r="BB575" i="7"/>
  <c r="BB581" i="7"/>
  <c r="K751" i="7"/>
  <c r="K752" i="7"/>
  <c r="AN574" i="7"/>
  <c r="AN575" i="7"/>
  <c r="AN576" i="7"/>
  <c r="BA574" i="7"/>
  <c r="BA173" i="7"/>
  <c r="BC456" i="7"/>
  <c r="BC126" i="7"/>
  <c r="AY456" i="7"/>
  <c r="AY126" i="7"/>
  <c r="AU456" i="7"/>
  <c r="AU126" i="7"/>
  <c r="AQ456" i="7"/>
  <c r="AQ126" i="7"/>
  <c r="AN457" i="7"/>
  <c r="AN463" i="7"/>
  <c r="AK490" i="7"/>
  <c r="AK130" i="7"/>
  <c r="AK139" i="7"/>
  <c r="AF456" i="7"/>
  <c r="AF126" i="7"/>
  <c r="AV574" i="7"/>
  <c r="AO810" i="7"/>
  <c r="AX810" i="7"/>
  <c r="AL833" i="7"/>
  <c r="AL837" i="7"/>
  <c r="L833" i="7"/>
  <c r="L837" i="7"/>
  <c r="AF833" i="7"/>
  <c r="AF837" i="7"/>
  <c r="T810" i="7"/>
  <c r="AU731" i="7"/>
  <c r="BC574" i="7"/>
  <c r="AT574" i="7"/>
  <c r="AC575" i="7"/>
  <c r="AC581" i="7"/>
  <c r="Z575" i="7"/>
  <c r="Z581" i="7"/>
  <c r="AB575" i="7"/>
  <c r="AQ751" i="7"/>
  <c r="AQ752" i="7"/>
  <c r="AC574" i="7"/>
  <c r="AC173" i="7"/>
  <c r="AS574" i="7"/>
  <c r="AS173" i="7"/>
  <c r="AO574" i="7"/>
  <c r="AR575" i="7"/>
  <c r="AR581" i="7"/>
  <c r="BD611" i="7"/>
  <c r="BD617" i="7"/>
  <c r="BA611" i="7"/>
  <c r="BA617" i="7"/>
  <c r="R653" i="7"/>
  <c r="R659" i="7"/>
  <c r="BD457" i="7"/>
  <c r="BD463" i="7"/>
  <c r="AZ457" i="7"/>
  <c r="AZ463" i="7"/>
  <c r="AV457" i="7"/>
  <c r="AV463" i="7"/>
  <c r="AR457" i="7"/>
  <c r="BC810" i="7"/>
  <c r="BB810" i="7"/>
  <c r="AE574" i="7"/>
  <c r="AE173" i="7"/>
  <c r="V575" i="7"/>
  <c r="V581" i="7"/>
  <c r="BC575" i="7"/>
  <c r="BC581" i="7"/>
  <c r="AI791" i="7"/>
  <c r="AI795" i="7"/>
  <c r="O810" i="7"/>
  <c r="AL810" i="7"/>
  <c r="AL805" i="7"/>
  <c r="AL809" i="7"/>
  <c r="AL811" i="7"/>
  <c r="AP810" i="7"/>
  <c r="M810" i="7"/>
  <c r="X810" i="7"/>
  <c r="L810" i="7"/>
  <c r="L805" i="7"/>
  <c r="L809" i="7"/>
  <c r="L811" i="7"/>
  <c r="I810" i="7"/>
  <c r="S810" i="7"/>
  <c r="AD833" i="7"/>
  <c r="AD837" i="7"/>
  <c r="AV833" i="7"/>
  <c r="AV837" i="7"/>
  <c r="AQ833" i="7"/>
  <c r="AQ837" i="7"/>
  <c r="V810" i="7"/>
  <c r="AY574" i="7"/>
  <c r="AY173" i="7"/>
  <c r="BD575" i="7"/>
  <c r="BD581" i="7"/>
  <c r="AP574" i="7"/>
  <c r="AG575" i="7"/>
  <c r="AG581" i="7"/>
  <c r="AD575" i="7"/>
  <c r="AD581" i="7"/>
  <c r="AB574" i="7"/>
  <c r="AB173" i="7"/>
  <c r="AE575" i="7"/>
  <c r="AK574" i="7"/>
  <c r="AK173" i="7"/>
  <c r="AW574" i="7"/>
  <c r="BD456" i="7"/>
  <c r="BD126" i="7"/>
  <c r="BC490" i="7"/>
  <c r="BC130" i="7"/>
  <c r="BC139" i="7"/>
  <c r="AZ456" i="7"/>
  <c r="AZ126" i="7"/>
  <c r="AY490" i="7"/>
  <c r="AY130" i="7"/>
  <c r="AY139" i="7"/>
  <c r="AV456" i="7"/>
  <c r="AV126" i="7"/>
  <c r="AU490" i="7"/>
  <c r="AU130" i="7"/>
  <c r="AU139" i="7"/>
  <c r="AR456" i="7"/>
  <c r="AR126" i="7"/>
  <c r="AQ490" i="7"/>
  <c r="AQ130" i="7"/>
  <c r="AQ139" i="7"/>
  <c r="AO791" i="7"/>
  <c r="AO795" i="7"/>
  <c r="BA810" i="7"/>
  <c r="AI810" i="7"/>
  <c r="Y833" i="7"/>
  <c r="Y837" i="7"/>
  <c r="Y838" i="7"/>
  <c r="Y839" i="7"/>
  <c r="Y261" i="7"/>
  <c r="AE367" i="7"/>
  <c r="O574" i="7"/>
  <c r="O173" i="7"/>
  <c r="AU574" i="7"/>
  <c r="AU173" i="7"/>
  <c r="AV575" i="7"/>
  <c r="AV581" i="7"/>
  <c r="AL574" i="7"/>
  <c r="AL173" i="7"/>
  <c r="AK575" i="7"/>
  <c r="AK581" i="7"/>
  <c r="AH575" i="7"/>
  <c r="AH581" i="7"/>
  <c r="AZ574" i="7"/>
  <c r="AZ173" i="7"/>
  <c r="U574" i="7"/>
  <c r="U173" i="7"/>
  <c r="BE791" i="7"/>
  <c r="BE795" i="7"/>
  <c r="BA791" i="7"/>
  <c r="BA795" i="7"/>
  <c r="AW791" i="7"/>
  <c r="AW795" i="7"/>
  <c r="AS791" i="7"/>
  <c r="AS795" i="7"/>
  <c r="AW810" i="7"/>
  <c r="AG833" i="7"/>
  <c r="AG837" i="7"/>
  <c r="X833" i="7"/>
  <c r="X837" i="7"/>
  <c r="X838" i="7"/>
  <c r="X839" i="7"/>
  <c r="X261" i="7"/>
  <c r="BB574" i="7"/>
  <c r="BB173" i="7"/>
  <c r="AX575" i="7"/>
  <c r="AX581" i="7"/>
  <c r="AM490" i="7"/>
  <c r="AM130" i="7"/>
  <c r="AM139" i="7"/>
  <c r="AV810" i="7"/>
  <c r="AI833" i="7"/>
  <c r="AI837" i="7"/>
  <c r="W810" i="7"/>
  <c r="J810" i="7"/>
  <c r="AA810" i="7"/>
  <c r="AH810" i="7"/>
  <c r="AF810" i="7"/>
  <c r="AY810" i="7"/>
  <c r="N833" i="7"/>
  <c r="N837" i="7"/>
  <c r="T833" i="7"/>
  <c r="T837" i="7"/>
  <c r="BE833" i="7"/>
  <c r="BE837" i="7"/>
  <c r="L575" i="7"/>
  <c r="N367" i="7"/>
  <c r="AY575" i="7"/>
  <c r="AY581" i="7"/>
  <c r="AQ574" i="7"/>
  <c r="AQ173" i="7"/>
  <c r="AN581" i="7"/>
  <c r="AH574" i="7"/>
  <c r="AO575" i="7"/>
  <c r="AO581" i="7"/>
  <c r="AL575" i="7"/>
  <c r="AL581" i="7"/>
  <c r="AJ574" i="7"/>
  <c r="AJ173" i="7"/>
  <c r="BE574" i="7"/>
  <c r="W632" i="7"/>
  <c r="W638" i="7"/>
  <c r="BE457" i="7"/>
  <c r="BE463" i="7"/>
  <c r="BA457" i="7"/>
  <c r="BA463" i="7"/>
  <c r="AW457" i="7"/>
  <c r="AS457" i="7"/>
  <c r="AS463" i="7"/>
  <c r="AM791" i="7"/>
  <c r="AM795" i="7"/>
  <c r="V574" i="7"/>
  <c r="V173" i="7"/>
  <c r="BD810" i="7"/>
  <c r="AZ810" i="7"/>
  <c r="R810" i="7"/>
  <c r="U810" i="7"/>
  <c r="AU810" i="7"/>
  <c r="AU805" i="7"/>
  <c r="AU809" i="7"/>
  <c r="AU811" i="7"/>
  <c r="K810" i="7"/>
  <c r="P810" i="7"/>
  <c r="BC833" i="7"/>
  <c r="BC837" i="7"/>
  <c r="BC838" i="7"/>
  <c r="BC839" i="7"/>
  <c r="BC261" i="7"/>
  <c r="AZ833" i="7"/>
  <c r="AZ837" i="7"/>
  <c r="AY833" i="7"/>
  <c r="AY837" i="7"/>
  <c r="AY839" i="7"/>
  <c r="AY261" i="7"/>
  <c r="P575" i="7"/>
  <c r="AQ575" i="7"/>
  <c r="AQ581" i="7"/>
  <c r="AM574" i="7"/>
  <c r="AM173" i="7"/>
  <c r="AF575" i="7"/>
  <c r="AF581" i="7"/>
  <c r="AD574" i="7"/>
  <c r="AD576" i="7"/>
  <c r="AS575" i="7"/>
  <c r="AS581" i="7"/>
  <c r="AP575" i="7"/>
  <c r="AF574" i="7"/>
  <c r="AF173" i="7"/>
  <c r="AM575" i="7"/>
  <c r="AM581" i="7"/>
  <c r="AU575" i="7"/>
  <c r="AU581" i="7"/>
  <c r="AO490" i="7"/>
  <c r="AO130" i="7"/>
  <c r="AO139" i="7"/>
  <c r="AM456" i="7"/>
  <c r="AM126" i="7"/>
  <c r="AK791" i="7"/>
  <c r="AK795" i="7"/>
  <c r="G811" i="7"/>
  <c r="P708" i="7"/>
  <c r="P264" i="7"/>
  <c r="Q708" i="7"/>
  <c r="Q264" i="7"/>
  <c r="Q709" i="7"/>
  <c r="O708" i="7"/>
  <c r="O264" i="7"/>
  <c r="AR709" i="7"/>
  <c r="AR715" i="7"/>
  <c r="BE708" i="7"/>
  <c r="BE264" i="7"/>
  <c r="AL708" i="7"/>
  <c r="AU709" i="7"/>
  <c r="AU715" i="7"/>
  <c r="AA709" i="7"/>
  <c r="AA715" i="7"/>
  <c r="AE708" i="7"/>
  <c r="AC709" i="7"/>
  <c r="AC715" i="7"/>
  <c r="AI709" i="7"/>
  <c r="AI715" i="7"/>
  <c r="AS499" i="7"/>
  <c r="AS505" i="7"/>
  <c r="U708" i="7"/>
  <c r="U264" i="7"/>
  <c r="K708" i="7"/>
  <c r="K264" i="7"/>
  <c r="N708" i="7"/>
  <c r="N264" i="7"/>
  <c r="W709" i="7"/>
  <c r="W715" i="7"/>
  <c r="AY709" i="7"/>
  <c r="AW708" i="7"/>
  <c r="AW264" i="7"/>
  <c r="AC708" i="7"/>
  <c r="AC264" i="7"/>
  <c r="AL709" i="7"/>
  <c r="AL715" i="7"/>
  <c r="AM708" i="7"/>
  <c r="AK709" i="7"/>
  <c r="AK715" i="7"/>
  <c r="S709" i="7"/>
  <c r="S715" i="7"/>
  <c r="H708" i="7"/>
  <c r="H264" i="7"/>
  <c r="H709" i="7"/>
  <c r="H715" i="7"/>
  <c r="AZ708" i="7"/>
  <c r="AZ264" i="7"/>
  <c r="AN709" i="7"/>
  <c r="AM709" i="7"/>
  <c r="AM715" i="7"/>
  <c r="BB708" i="7"/>
  <c r="BB264" i="7"/>
  <c r="AH708" i="7"/>
  <c r="AH264" i="7"/>
  <c r="AQ709" i="7"/>
  <c r="AQ715" i="7"/>
  <c r="AQ708" i="7"/>
  <c r="AO709" i="7"/>
  <c r="AO715" i="7"/>
  <c r="BA708" i="7"/>
  <c r="P709" i="7"/>
  <c r="P715" i="7"/>
  <c r="J709" i="7"/>
  <c r="J715" i="7"/>
  <c r="M708" i="7"/>
  <c r="M264" i="7"/>
  <c r="T708" i="7"/>
  <c r="T264" i="7"/>
  <c r="AO708" i="7"/>
  <c r="AO264" i="7"/>
  <c r="AD709" i="7"/>
  <c r="AD715" i="7"/>
  <c r="AT708" i="7"/>
  <c r="AT264" i="7"/>
  <c r="Z709" i="7"/>
  <c r="Z715" i="7"/>
  <c r="AN708" i="7"/>
  <c r="AN264" i="7"/>
  <c r="AV709" i="7"/>
  <c r="AV715" i="7"/>
  <c r="AU708" i="7"/>
  <c r="AS709" i="7"/>
  <c r="AS715" i="7"/>
  <c r="BD709" i="7"/>
  <c r="AP708" i="7"/>
  <c r="AP264" i="7"/>
  <c r="AG457" i="7"/>
  <c r="AG463" i="7"/>
  <c r="U709" i="7"/>
  <c r="U715" i="7"/>
  <c r="I709" i="7"/>
  <c r="I715" i="7"/>
  <c r="J708" i="7"/>
  <c r="V708" i="7"/>
  <c r="V264" i="7"/>
  <c r="AD708" i="7"/>
  <c r="AD264" i="7"/>
  <c r="AV708" i="7"/>
  <c r="Y708" i="7"/>
  <c r="Y264" i="7"/>
  <c r="AE709" i="7"/>
  <c r="AE715" i="7"/>
  <c r="AS708" i="7"/>
  <c r="AS264" i="7"/>
  <c r="BB709" i="7"/>
  <c r="BB715" i="7"/>
  <c r="AY708" i="7"/>
  <c r="AY264" i="7"/>
  <c r="AW709" i="7"/>
  <c r="AW715" i="7"/>
  <c r="X708" i="7"/>
  <c r="X264" i="7"/>
  <c r="R708" i="7"/>
  <c r="R264" i="7"/>
  <c r="I708" i="7"/>
  <c r="I264" i="7"/>
  <c r="T709" i="7"/>
  <c r="T715" i="7"/>
  <c r="O709" i="7"/>
  <c r="O715" i="7"/>
  <c r="AX709" i="7"/>
  <c r="AX715" i="7"/>
  <c r="AK708" i="7"/>
  <c r="AK264" i="7"/>
  <c r="AB708" i="7"/>
  <c r="AJ709" i="7"/>
  <c r="AJ715" i="7"/>
  <c r="AX708" i="7"/>
  <c r="AX710" i="7"/>
  <c r="AX687" i="7"/>
  <c r="AX688" i="7"/>
  <c r="AX689" i="7"/>
  <c r="AX731" i="7"/>
  <c r="AX278" i="7"/>
  <c r="W708" i="7"/>
  <c r="W264" i="7"/>
  <c r="BC708" i="7"/>
  <c r="BA709" i="7"/>
  <c r="X709" i="7"/>
  <c r="L708" i="7"/>
  <c r="L264" i="7"/>
  <c r="R709" i="7"/>
  <c r="R715" i="7"/>
  <c r="S708" i="7"/>
  <c r="S264" i="7"/>
  <c r="V709" i="7"/>
  <c r="V715" i="7"/>
  <c r="BC709" i="7"/>
  <c r="BC715" i="7"/>
  <c r="AB709" i="7"/>
  <c r="AB715" i="7"/>
  <c r="Z708" i="7"/>
  <c r="Z264" i="7"/>
  <c r="AG708" i="7"/>
  <c r="AG264" i="7"/>
  <c r="AP709" i="7"/>
  <c r="AP715" i="7"/>
  <c r="BD708" i="7"/>
  <c r="BD264" i="7"/>
  <c r="AA708" i="7"/>
  <c r="AA264" i="7"/>
  <c r="Y709" i="7"/>
  <c r="Y715" i="7"/>
  <c r="BE709" i="7"/>
  <c r="BE715" i="7"/>
  <c r="AF708" i="7"/>
  <c r="AH819" i="7"/>
  <c r="AH823" i="7"/>
  <c r="V631" i="7"/>
  <c r="V219" i="7"/>
  <c r="AV385" i="7"/>
  <c r="Z805" i="7"/>
  <c r="Z809" i="7"/>
  <c r="AN805" i="7"/>
  <c r="AN809" i="7"/>
  <c r="AJ805" i="7"/>
  <c r="AJ809" i="7"/>
  <c r="AJ810" i="7"/>
  <c r="AJ811" i="7"/>
  <c r="G462" i="7"/>
  <c r="G464" i="7"/>
  <c r="H461" i="7"/>
  <c r="H457" i="7"/>
  <c r="H463" i="7"/>
  <c r="H464" i="7"/>
  <c r="I461" i="7"/>
  <c r="I464" i="7"/>
  <c r="J461" i="7"/>
  <c r="AP819" i="7"/>
  <c r="AP823" i="7"/>
  <c r="AJ819" i="7"/>
  <c r="AJ823" i="7"/>
  <c r="AU499" i="7"/>
  <c r="AU505" i="7"/>
  <c r="AK805" i="7"/>
  <c r="AK809" i="7"/>
  <c r="R532" i="7"/>
  <c r="AA532" i="7"/>
  <c r="AA171" i="7"/>
  <c r="AW532" i="7"/>
  <c r="BA427" i="7"/>
  <c r="AE427" i="7"/>
  <c r="AD805" i="7"/>
  <c r="AD809" i="7"/>
  <c r="AD811" i="7"/>
  <c r="AD169" i="7"/>
  <c r="O805" i="7"/>
  <c r="O809" i="7"/>
  <c r="O811" i="7"/>
  <c r="BA805" i="7"/>
  <c r="BA809" i="7"/>
  <c r="J533" i="7"/>
  <c r="J539" i="7"/>
  <c r="G384" i="7"/>
  <c r="G386" i="7"/>
  <c r="H383" i="7"/>
  <c r="L533" i="7"/>
  <c r="L539" i="7"/>
  <c r="BA819" i="7"/>
  <c r="BA823" i="7"/>
  <c r="AX819" i="7"/>
  <c r="AX823" i="7"/>
  <c r="AU819" i="7"/>
  <c r="AU823" i="7"/>
  <c r="AQ819" i="7"/>
  <c r="AQ823" i="7"/>
  <c r="AK819" i="7"/>
  <c r="AK823" i="7"/>
  <c r="G714" i="7"/>
  <c r="G716" i="7"/>
  <c r="H713" i="7"/>
  <c r="AC838" i="7"/>
  <c r="J838" i="7"/>
  <c r="AX838" i="7"/>
  <c r="AV498" i="7"/>
  <c r="AV128" i="7"/>
  <c r="AU498" i="7"/>
  <c r="AU128" i="7"/>
  <c r="AT498" i="7"/>
  <c r="AT128" i="7"/>
  <c r="AS498" i="7"/>
  <c r="AS128" i="7"/>
  <c r="AK499" i="7"/>
  <c r="AK505" i="7"/>
  <c r="AJ457" i="7"/>
  <c r="AJ463" i="7"/>
  <c r="AW838" i="7"/>
  <c r="O838" i="7"/>
  <c r="AL838" i="7"/>
  <c r="X596" i="7"/>
  <c r="X597" i="7"/>
  <c r="AY499" i="7"/>
  <c r="AW499" i="7"/>
  <c r="AK498" i="7"/>
  <c r="AK128" i="7"/>
  <c r="AH498" i="7"/>
  <c r="AH128" i="7"/>
  <c r="AF498" i="7"/>
  <c r="H720" i="7"/>
  <c r="AG838" i="7"/>
  <c r="AE838" i="7"/>
  <c r="R838" i="7"/>
  <c r="AU838" i="7"/>
  <c r="AV838" i="7"/>
  <c r="AN596" i="7"/>
  <c r="AN597" i="7"/>
  <c r="AZ498" i="7"/>
  <c r="AY498" i="7"/>
  <c r="AY128" i="7"/>
  <c r="AX498" i="7"/>
  <c r="AX128" i="7"/>
  <c r="AW498" i="7"/>
  <c r="AW128" i="7"/>
  <c r="AM499" i="7"/>
  <c r="AL498" i="7"/>
  <c r="AL128" i="7"/>
  <c r="AR838" i="7"/>
  <c r="AO838" i="7"/>
  <c r="AN838" i="7"/>
  <c r="AC596" i="7"/>
  <c r="AC176" i="7"/>
  <c r="AC185" i="7"/>
  <c r="BC499" i="7"/>
  <c r="BC505" i="7"/>
  <c r="BA499" i="7"/>
  <c r="AN498" i="7"/>
  <c r="AN128" i="7"/>
  <c r="AM498" i="7"/>
  <c r="AM128" i="7"/>
  <c r="AL456" i="7"/>
  <c r="AA406" i="7"/>
  <c r="AZ838" i="7"/>
  <c r="AD838" i="7"/>
  <c r="W838" i="7"/>
  <c r="AA596" i="7"/>
  <c r="AA176" i="7"/>
  <c r="AA185" i="7"/>
  <c r="BD498" i="7"/>
  <c r="BD128" i="7"/>
  <c r="BC498" i="7"/>
  <c r="BB498" i="7"/>
  <c r="BA498" i="7"/>
  <c r="BA128" i="7"/>
  <c r="AO499" i="7"/>
  <c r="AO505" i="7"/>
  <c r="Q456" i="7"/>
  <c r="Q126" i="7"/>
  <c r="AE596" i="7"/>
  <c r="AE597" i="7"/>
  <c r="BE499" i="7"/>
  <c r="BE505" i="7"/>
  <c r="AQ499" i="7"/>
  <c r="AQ505" i="7"/>
  <c r="AO498" i="7"/>
  <c r="AN456" i="7"/>
  <c r="AN126" i="7"/>
  <c r="AI499" i="7"/>
  <c r="AI505" i="7"/>
  <c r="AG499" i="7"/>
  <c r="AE499" i="7"/>
  <c r="AE505" i="7"/>
  <c r="AK838" i="7"/>
  <c r="Z838" i="7"/>
  <c r="AM838" i="7"/>
  <c r="V838" i="7"/>
  <c r="BD838" i="7"/>
  <c r="BE498" i="7"/>
  <c r="BE128" i="7"/>
  <c r="AR498" i="7"/>
  <c r="AR128" i="7"/>
  <c r="AQ498" i="7"/>
  <c r="AQ128" i="7"/>
  <c r="AP498" i="7"/>
  <c r="AP128" i="7"/>
  <c r="P838" i="7"/>
  <c r="AF478" i="7"/>
  <c r="AF484" i="7"/>
  <c r="AD478" i="7"/>
  <c r="AD484" i="7"/>
  <c r="T477" i="7"/>
  <c r="T127" i="7"/>
  <c r="AF838" i="7"/>
  <c r="AQ805" i="7"/>
  <c r="AQ809" i="7"/>
  <c r="AQ810" i="7"/>
  <c r="AQ811" i="7"/>
  <c r="AQ169" i="7"/>
  <c r="M805" i="7"/>
  <c r="M809" i="7"/>
  <c r="Y477" i="7"/>
  <c r="Y127" i="7"/>
  <c r="M838" i="7"/>
  <c r="AG478" i="7"/>
  <c r="AG484" i="7"/>
  <c r="AA520" i="7"/>
  <c r="AA131" i="7"/>
  <c r="AA140" i="7"/>
  <c r="Y520" i="7"/>
  <c r="Y521" i="7"/>
  <c r="S838" i="7"/>
  <c r="AJ478" i="7"/>
  <c r="AJ484" i="7"/>
  <c r="V478" i="7"/>
  <c r="V484" i="7"/>
  <c r="M456" i="7"/>
  <c r="AM805" i="7"/>
  <c r="AM809" i="7"/>
  <c r="BC478" i="7"/>
  <c r="BC484" i="7"/>
  <c r="AZ477" i="7"/>
  <c r="AZ127" i="7"/>
  <c r="AU477" i="7"/>
  <c r="AU127" i="7"/>
  <c r="AR478" i="7"/>
  <c r="AR484" i="7"/>
  <c r="AN478" i="7"/>
  <c r="AL477" i="7"/>
  <c r="AL127" i="7"/>
  <c r="AK478" i="7"/>
  <c r="AK484" i="7"/>
  <c r="M520" i="7"/>
  <c r="M131" i="7"/>
  <c r="M140" i="7"/>
  <c r="BA477" i="7"/>
  <c r="BA127" i="7"/>
  <c r="AX478" i="7"/>
  <c r="AX484" i="7"/>
  <c r="AS478" i="7"/>
  <c r="AS484" i="7"/>
  <c r="AP477" i="7"/>
  <c r="AP127" i="7"/>
  <c r="AO478" i="7"/>
  <c r="AO484" i="7"/>
  <c r="H564" i="7"/>
  <c r="H174" i="7"/>
  <c r="H183" i="7"/>
  <c r="AI819" i="7"/>
  <c r="AI823" i="7"/>
  <c r="AB819" i="7"/>
  <c r="AB823" i="7"/>
  <c r="Y819" i="7"/>
  <c r="Y823" i="7"/>
  <c r="S819" i="7"/>
  <c r="S823" i="7"/>
  <c r="BB477" i="7"/>
  <c r="BB127" i="7"/>
  <c r="AW477" i="7"/>
  <c r="AW127" i="7"/>
  <c r="AV477" i="7"/>
  <c r="AV127" i="7"/>
  <c r="AQ477" i="7"/>
  <c r="AQ127" i="7"/>
  <c r="AE477" i="7"/>
  <c r="AE127" i="7"/>
  <c r="AC478" i="7"/>
  <c r="AA478" i="7"/>
  <c r="AA484" i="7"/>
  <c r="U478" i="7"/>
  <c r="U484" i="7"/>
  <c r="S833" i="7"/>
  <c r="S837" i="7"/>
  <c r="S839" i="7"/>
  <c r="S261" i="7"/>
  <c r="AA819" i="7"/>
  <c r="AA823" i="7"/>
  <c r="Z819" i="7"/>
  <c r="Z823" i="7"/>
  <c r="U819" i="7"/>
  <c r="U823" i="7"/>
  <c r="T819" i="7"/>
  <c r="T823" i="7"/>
  <c r="BA478" i="7"/>
  <c r="BA484" i="7"/>
  <c r="AZ478" i="7"/>
  <c r="AZ484" i="7"/>
  <c r="AU478" i="7"/>
  <c r="AU484" i="7"/>
  <c r="AP478" i="7"/>
  <c r="AP484" i="7"/>
  <c r="AA477" i="7"/>
  <c r="AA127" i="7"/>
  <c r="U477" i="7"/>
  <c r="U127" i="7"/>
  <c r="S477" i="7"/>
  <c r="S127" i="7"/>
  <c r="BB406" i="7"/>
  <c r="AL406" i="7"/>
  <c r="BE478" i="7"/>
  <c r="BD478" i="7"/>
  <c r="BD484" i="7"/>
  <c r="AY478" i="7"/>
  <c r="AY484" i="7"/>
  <c r="AT478" i="7"/>
  <c r="AT484" i="7"/>
  <c r="AO477" i="7"/>
  <c r="AM478" i="7"/>
  <c r="AM484" i="7"/>
  <c r="AF477" i="7"/>
  <c r="AF127" i="7"/>
  <c r="AT406" i="7"/>
  <c r="AC406" i="7"/>
  <c r="T406" i="7"/>
  <c r="J330" i="7"/>
  <c r="BE477" i="7"/>
  <c r="BD477" i="7"/>
  <c r="BD127" i="7"/>
  <c r="AY477" i="7"/>
  <c r="AY127" i="7"/>
  <c r="AT477" i="7"/>
  <c r="AT127" i="7"/>
  <c r="AM477" i="7"/>
  <c r="AM127" i="7"/>
  <c r="AL478" i="7"/>
  <c r="AL484" i="7"/>
  <c r="AI477" i="7"/>
  <c r="T478" i="7"/>
  <c r="T484" i="7"/>
  <c r="R477" i="7"/>
  <c r="R127" i="7"/>
  <c r="BD406" i="7"/>
  <c r="BA406" i="7"/>
  <c r="BC477" i="7"/>
  <c r="BC127" i="7"/>
  <c r="AX477" i="7"/>
  <c r="AX127" i="7"/>
  <c r="AU795" i="7"/>
  <c r="AS477" i="7"/>
  <c r="AS127" i="7"/>
  <c r="AR477" i="7"/>
  <c r="AR127" i="7"/>
  <c r="AK477" i="7"/>
  <c r="AK127" i="7"/>
  <c r="Z478" i="7"/>
  <c r="Z484" i="7"/>
  <c r="AO406" i="7"/>
  <c r="AD406" i="7"/>
  <c r="U406" i="7"/>
  <c r="AV330" i="7"/>
  <c r="G559" i="7"/>
  <c r="G561" i="7"/>
  <c r="H558" i="7"/>
  <c r="BB478" i="7"/>
  <c r="BB484" i="7"/>
  <c r="AW478" i="7"/>
  <c r="AW484" i="7"/>
  <c r="AV478" i="7"/>
  <c r="AQ478" i="7"/>
  <c r="AQ484" i="7"/>
  <c r="X477" i="7"/>
  <c r="AJ406" i="7"/>
  <c r="AE406" i="7"/>
  <c r="AT176" i="7"/>
  <c r="AT185" i="7"/>
  <c r="AG810" i="7"/>
  <c r="AN810" i="7"/>
  <c r="AY805" i="7"/>
  <c r="AY809" i="7"/>
  <c r="AY811" i="7"/>
  <c r="AY169" i="7"/>
  <c r="AZ805" i="7"/>
  <c r="AZ809" i="7"/>
  <c r="AZ811" i="7"/>
  <c r="AZ169" i="7"/>
  <c r="AB596" i="7"/>
  <c r="AP596" i="7"/>
  <c r="U75" i="17"/>
  <c r="P596" i="7"/>
  <c r="AB553" i="7"/>
  <c r="AB172" i="7"/>
  <c r="P554" i="7"/>
  <c r="P560" i="7"/>
  <c r="S553" i="7"/>
  <c r="S172" i="7"/>
  <c r="AG554" i="7"/>
  <c r="AG560" i="7"/>
  <c r="AM553" i="7"/>
  <c r="AM172" i="7"/>
  <c r="I553" i="7"/>
  <c r="T554" i="7"/>
  <c r="T560" i="7"/>
  <c r="AE554" i="7"/>
  <c r="AE560" i="7"/>
  <c r="AL553" i="7"/>
  <c r="K554" i="7"/>
  <c r="K560" i="7"/>
  <c r="AS688" i="7"/>
  <c r="AS694" i="7"/>
  <c r="P688" i="7"/>
  <c r="P694" i="7"/>
  <c r="S688" i="7"/>
  <c r="S694" i="7"/>
  <c r="I688" i="7"/>
  <c r="Y687" i="7"/>
  <c r="Y263" i="7"/>
  <c r="AT687" i="7"/>
  <c r="AT263" i="7"/>
  <c r="BD688" i="7"/>
  <c r="BD694" i="7"/>
  <c r="AE688" i="7"/>
  <c r="AE694" i="7"/>
  <c r="AR688" i="7"/>
  <c r="AR694" i="7"/>
  <c r="M687" i="7"/>
  <c r="I687" i="7"/>
  <c r="I263" i="7"/>
  <c r="AB687" i="7"/>
  <c r="AB263" i="7"/>
  <c r="Q688" i="7"/>
  <c r="Q694" i="7"/>
  <c r="U687" i="7"/>
  <c r="J688" i="7"/>
  <c r="J694" i="7"/>
  <c r="H687" i="7"/>
  <c r="H263" i="7"/>
  <c r="P687" i="7"/>
  <c r="P263" i="7"/>
  <c r="N688" i="7"/>
  <c r="N694" i="7"/>
  <c r="AO688" i="7"/>
  <c r="AO694" i="7"/>
  <c r="Q687" i="7"/>
  <c r="K688" i="7"/>
  <c r="S687" i="7"/>
  <c r="S263" i="7"/>
  <c r="D191" i="8"/>
  <c r="T85" i="8"/>
  <c r="AR596" i="7"/>
  <c r="AY596" i="7"/>
  <c r="AY176" i="7"/>
  <c r="AY185" i="7"/>
  <c r="S596" i="7"/>
  <c r="S176" i="7"/>
  <c r="S185" i="7"/>
  <c r="AH596" i="7"/>
  <c r="BA596" i="7"/>
  <c r="U596" i="7"/>
  <c r="AZ596" i="7"/>
  <c r="AU596" i="7"/>
  <c r="O596" i="7"/>
  <c r="O176" i="7"/>
  <c r="O185" i="7"/>
  <c r="AD596" i="7"/>
  <c r="AW596" i="7"/>
  <c r="Q596" i="7"/>
  <c r="AJ596" i="7"/>
  <c r="AJ176" i="7"/>
  <c r="AJ185" i="7"/>
  <c r="AQ596" i="7"/>
  <c r="K596" i="7"/>
  <c r="Z596" i="7"/>
  <c r="Z176" i="7"/>
  <c r="Z185" i="7"/>
  <c r="AS596" i="7"/>
  <c r="AS176" i="7"/>
  <c r="AS185" i="7"/>
  <c r="M596" i="7"/>
  <c r="T596" i="7"/>
  <c r="L596" i="7"/>
  <c r="L597" i="7"/>
  <c r="AM596" i="7"/>
  <c r="BB596" i="7"/>
  <c r="V596" i="7"/>
  <c r="AO596" i="7"/>
  <c r="I596" i="7"/>
  <c r="AV596" i="7"/>
  <c r="AV176" i="7"/>
  <c r="AV185" i="7"/>
  <c r="AI596" i="7"/>
  <c r="AX596" i="7"/>
  <c r="AX176" i="7"/>
  <c r="AX185" i="7"/>
  <c r="R596" i="7"/>
  <c r="AK596" i="7"/>
  <c r="BD596" i="7"/>
  <c r="BD176" i="7"/>
  <c r="BD185" i="7"/>
  <c r="AF596" i="7"/>
  <c r="BC596" i="7"/>
  <c r="BC176" i="7"/>
  <c r="BC185" i="7"/>
  <c r="W596" i="7"/>
  <c r="AL596" i="7"/>
  <c r="BE596" i="7"/>
  <c r="Y596" i="7"/>
  <c r="H596" i="7"/>
  <c r="P75" i="17"/>
  <c r="J75" i="17"/>
  <c r="R833" i="7"/>
  <c r="R837" i="7"/>
  <c r="AG596" i="7"/>
  <c r="J596" i="7"/>
  <c r="AQ838" i="7"/>
  <c r="I838" i="7"/>
  <c r="AH838" i="7"/>
  <c r="N596" i="7"/>
  <c r="Q75" i="17"/>
  <c r="AD351" i="7"/>
  <c r="AS351" i="7"/>
  <c r="AA351" i="7"/>
  <c r="BC351" i="7"/>
  <c r="V351" i="7"/>
  <c r="AX351" i="7"/>
  <c r="BE351" i="7"/>
  <c r="AN351" i="7"/>
  <c r="AI351" i="7"/>
  <c r="D154" i="8"/>
  <c r="K190" i="23"/>
  <c r="J167" i="23"/>
  <c r="O234" i="17"/>
  <c r="AR611" i="7"/>
  <c r="AR617" i="7"/>
  <c r="L52" i="1"/>
  <c r="L50" i="16"/>
  <c r="S255" i="17"/>
  <c r="K73" i="17"/>
  <c r="H824" i="7"/>
  <c r="BA824" i="7"/>
  <c r="AT824" i="7"/>
  <c r="H610" i="7"/>
  <c r="H218" i="7"/>
  <c r="Z610" i="7"/>
  <c r="AC610" i="7"/>
  <c r="AC218" i="7"/>
  <c r="AE611" i="7"/>
  <c r="AE617" i="7"/>
  <c r="AJ611" i="7"/>
  <c r="AJ617" i="7"/>
  <c r="AL611" i="7"/>
  <c r="AL617" i="7"/>
  <c r="AQ610" i="7"/>
  <c r="AQ218" i="7"/>
  <c r="AS610" i="7"/>
  <c r="AS218" i="7"/>
  <c r="AW610" i="7"/>
  <c r="AW218" i="7"/>
  <c r="AZ611" i="7"/>
  <c r="AZ617" i="7"/>
  <c r="W610" i="7"/>
  <c r="W218" i="7"/>
  <c r="X610" i="7"/>
  <c r="X218" i="7"/>
  <c r="Z611" i="7"/>
  <c r="Z617" i="7"/>
  <c r="AC611" i="7"/>
  <c r="AC617" i="7"/>
  <c r="AF610" i="7"/>
  <c r="AF218" i="7"/>
  <c r="AO610" i="7"/>
  <c r="AI611" i="7"/>
  <c r="AI617" i="7"/>
  <c r="G85" i="17"/>
  <c r="AK652" i="7"/>
  <c r="AK220" i="7"/>
  <c r="AD652" i="7"/>
  <c r="AD220" i="7"/>
  <c r="AC674" i="7"/>
  <c r="Z674" i="7"/>
  <c r="Z223" i="7"/>
  <c r="Z232" i="7"/>
  <c r="T652" i="7"/>
  <c r="T220" i="7"/>
  <c r="Q653" i="7"/>
  <c r="Q659" i="7"/>
  <c r="P674" i="7"/>
  <c r="BE456" i="7"/>
  <c r="BE126" i="7"/>
  <c r="BA456" i="7"/>
  <c r="BA126" i="7"/>
  <c r="AW456" i="7"/>
  <c r="AW126" i="7"/>
  <c r="AS456" i="7"/>
  <c r="AS126" i="7"/>
  <c r="AO456" i="7"/>
  <c r="AO126" i="7"/>
  <c r="AN477" i="7"/>
  <c r="AN127" i="7"/>
  <c r="AK456" i="7"/>
  <c r="AK126" i="7"/>
  <c r="AJ477" i="7"/>
  <c r="AJ127" i="7"/>
  <c r="AI478" i="7"/>
  <c r="AI484" i="7"/>
  <c r="AH478" i="7"/>
  <c r="AH484" i="7"/>
  <c r="AG477" i="7"/>
  <c r="AG127" i="7"/>
  <c r="AF457" i="7"/>
  <c r="AF463" i="7"/>
  <c r="AE456" i="7"/>
  <c r="AE126" i="7"/>
  <c r="AB478" i="7"/>
  <c r="AB484" i="7"/>
  <c r="X478" i="7"/>
  <c r="X484" i="7"/>
  <c r="U456" i="7"/>
  <c r="S478" i="7"/>
  <c r="S484" i="7"/>
  <c r="Q477" i="7"/>
  <c r="Q127" i="7"/>
  <c r="K457" i="7"/>
  <c r="K463" i="7"/>
  <c r="AW406" i="7"/>
  <c r="AR427" i="7"/>
  <c r="AQ406" i="7"/>
  <c r="AM406" i="7"/>
  <c r="AH406" i="7"/>
  <c r="AG406" i="7"/>
  <c r="G309" i="4"/>
  <c r="G311" i="4"/>
  <c r="H308" i="4"/>
  <c r="S653" i="7"/>
  <c r="S659" i="7"/>
  <c r="AJ456" i="7"/>
  <c r="AJ126" i="7"/>
  <c r="AI457" i="7"/>
  <c r="AI463" i="7"/>
  <c r="AH456" i="7"/>
  <c r="AH126" i="7"/>
  <c r="AG456" i="7"/>
  <c r="AG126" i="7"/>
  <c r="AC457" i="7"/>
  <c r="AC463" i="7"/>
  <c r="Y457" i="7"/>
  <c r="Y463" i="7"/>
  <c r="X457" i="7"/>
  <c r="X463" i="7"/>
  <c r="AB406" i="7"/>
  <c r="AM457" i="7"/>
  <c r="AM463" i="7"/>
  <c r="AI456" i="7"/>
  <c r="AC456" i="7"/>
  <c r="AC126" i="7"/>
  <c r="Y456" i="7"/>
  <c r="Y126" i="7"/>
  <c r="V457" i="7"/>
  <c r="V463" i="7"/>
  <c r="N456" i="7"/>
  <c r="N126" i="7"/>
  <c r="L477" i="7"/>
  <c r="L127" i="7"/>
  <c r="P406" i="7"/>
  <c r="H309" i="7"/>
  <c r="N309" i="7"/>
  <c r="R309" i="7"/>
  <c r="S309" i="7"/>
  <c r="AE309" i="7"/>
  <c r="AF309" i="7"/>
  <c r="AS309" i="7"/>
  <c r="AU309" i="7"/>
  <c r="O309" i="7"/>
  <c r="AA309" i="7"/>
  <c r="AC309" i="7"/>
  <c r="AQ309" i="7"/>
  <c r="AR309" i="7"/>
  <c r="BC309" i="7"/>
  <c r="BD309" i="7"/>
  <c r="K309" i="7"/>
  <c r="M309" i="7"/>
  <c r="AN309" i="7"/>
  <c r="BA309" i="7"/>
  <c r="BB309" i="7"/>
  <c r="Z652" i="7"/>
  <c r="S674" i="7"/>
  <c r="S223" i="7"/>
  <c r="S232" i="7"/>
  <c r="L456" i="7"/>
  <c r="L126" i="7"/>
  <c r="S406" i="7"/>
  <c r="AP457" i="7"/>
  <c r="AP463" i="7"/>
  <c r="AL457" i="7"/>
  <c r="AE478" i="7"/>
  <c r="AE484" i="7"/>
  <c r="AD456" i="7"/>
  <c r="AD126" i="7"/>
  <c r="P457" i="7"/>
  <c r="P463" i="7"/>
  <c r="AL309" i="7"/>
  <c r="W309" i="7"/>
  <c r="R652" i="7"/>
  <c r="R220" i="7"/>
  <c r="H477" i="7"/>
  <c r="H127" i="7"/>
  <c r="R478" i="7"/>
  <c r="R484" i="7"/>
  <c r="W477" i="7"/>
  <c r="W127" i="7"/>
  <c r="AB477" i="7"/>
  <c r="BE427" i="7"/>
  <c r="N457" i="7"/>
  <c r="T457" i="7"/>
  <c r="T463" i="7"/>
  <c r="AA457" i="7"/>
  <c r="AA463" i="7"/>
  <c r="O406" i="7"/>
  <c r="X406" i="7"/>
  <c r="Y406" i="7"/>
  <c r="AR406" i="7"/>
  <c r="AY406" i="7"/>
  <c r="W406" i="7"/>
  <c r="AV406" i="7"/>
  <c r="BC406" i="7"/>
  <c r="J309" i="7"/>
  <c r="L18" i="16"/>
  <c r="L31" i="1"/>
  <c r="L33" i="16"/>
  <c r="L32" i="1"/>
  <c r="L34" i="16"/>
  <c r="G735" i="7"/>
  <c r="G737" i="7"/>
  <c r="H734" i="7"/>
  <c r="H737" i="7"/>
  <c r="I734" i="7"/>
  <c r="AI838" i="7"/>
  <c r="AW833" i="7"/>
  <c r="AW837" i="7"/>
  <c r="AW839" i="7"/>
  <c r="AW261" i="7"/>
  <c r="BD805" i="7"/>
  <c r="BD809" i="7"/>
  <c r="BD811" i="7"/>
  <c r="BD169" i="7"/>
  <c r="X805" i="7"/>
  <c r="X809" i="7"/>
  <c r="X811" i="7"/>
  <c r="X169" i="7"/>
  <c r="AV805" i="7"/>
  <c r="AV809" i="7"/>
  <c r="AV811" i="7"/>
  <c r="AV169" i="7"/>
  <c r="AP805" i="7"/>
  <c r="AP809" i="7"/>
  <c r="AP811" i="7"/>
  <c r="AP169" i="7"/>
  <c r="AC805" i="7"/>
  <c r="AC809" i="7"/>
  <c r="AO805" i="7"/>
  <c r="AO809" i="7"/>
  <c r="AO811" i="7"/>
  <c r="AO169" i="7"/>
  <c r="AH715" i="7"/>
  <c r="Y265" i="7"/>
  <c r="N271" i="17"/>
  <c r="BD751" i="7"/>
  <c r="M751" i="7"/>
  <c r="AJ751" i="7"/>
  <c r="BA751" i="7"/>
  <c r="AN751" i="7"/>
  <c r="AE751" i="7"/>
  <c r="AE268" i="7"/>
  <c r="AT751" i="7"/>
  <c r="N751" i="7"/>
  <c r="BE751" i="7"/>
  <c r="BE268" i="7"/>
  <c r="BE277" i="7"/>
  <c r="AR751" i="7"/>
  <c r="AB751" i="7"/>
  <c r="AC751" i="7"/>
  <c r="AC752" i="7"/>
  <c r="AZ751" i="7"/>
  <c r="AV751" i="7"/>
  <c r="AA751" i="7"/>
  <c r="AP751" i="7"/>
  <c r="J751" i="7"/>
  <c r="J268" i="7"/>
  <c r="J277" i="7"/>
  <c r="AS751" i="7"/>
  <c r="BC751" i="7"/>
  <c r="W751" i="7"/>
  <c r="AL751" i="7"/>
  <c r="I751" i="7"/>
  <c r="I268" i="7"/>
  <c r="AY751" i="7"/>
  <c r="S751" i="7"/>
  <c r="AH751" i="7"/>
  <c r="Q751" i="7"/>
  <c r="Q752" i="7"/>
  <c r="AU751" i="7"/>
  <c r="O751" i="7"/>
  <c r="AD751" i="7"/>
  <c r="Y751" i="7"/>
  <c r="U751" i="7"/>
  <c r="X751" i="7"/>
  <c r="AM751" i="7"/>
  <c r="BB751" i="7"/>
  <c r="V751" i="7"/>
  <c r="AO751" i="7"/>
  <c r="H751" i="7"/>
  <c r="H752" i="7"/>
  <c r="T751" i="7"/>
  <c r="AK751" i="7"/>
  <c r="AF751" i="7"/>
  <c r="AI751" i="7"/>
  <c r="AI752" i="7"/>
  <c r="AX751" i="7"/>
  <c r="R751" i="7"/>
  <c r="AW751" i="7"/>
  <c r="AY554" i="7"/>
  <c r="AY560" i="7"/>
  <c r="BE553" i="7"/>
  <c r="AV553" i="7"/>
  <c r="BA554" i="7"/>
  <c r="BA560" i="7"/>
  <c r="U554" i="7"/>
  <c r="AA553" i="7"/>
  <c r="AF554" i="7"/>
  <c r="AF560" i="7"/>
  <c r="BD554" i="7"/>
  <c r="BD560" i="7"/>
  <c r="AU554" i="7"/>
  <c r="AU560" i="7"/>
  <c r="BA553" i="7"/>
  <c r="Y553" i="7"/>
  <c r="AT554" i="7"/>
  <c r="AT560" i="7"/>
  <c r="AD554" i="7"/>
  <c r="AD560" i="7"/>
  <c r="AR553" i="7"/>
  <c r="AW554" i="7"/>
  <c r="AW560" i="7"/>
  <c r="BC553" i="7"/>
  <c r="W553" i="7"/>
  <c r="AX553" i="7"/>
  <c r="O554" i="7"/>
  <c r="O560" i="7"/>
  <c r="O553" i="7"/>
  <c r="O172" i="7"/>
  <c r="P553" i="7"/>
  <c r="AQ554" i="7"/>
  <c r="AQ560" i="7"/>
  <c r="AW553" i="7"/>
  <c r="AN553" i="7"/>
  <c r="AS554" i="7"/>
  <c r="AS560" i="7"/>
  <c r="AY553" i="7"/>
  <c r="AZ554" i="7"/>
  <c r="AZ560" i="7"/>
  <c r="AH553" i="7"/>
  <c r="AN554" i="7"/>
  <c r="AN560" i="7"/>
  <c r="AM554" i="7"/>
  <c r="AS553" i="7"/>
  <c r="AS555" i="7"/>
  <c r="U553" i="7"/>
  <c r="AP554" i="7"/>
  <c r="AP560" i="7"/>
  <c r="Z554" i="7"/>
  <c r="AJ553" i="7"/>
  <c r="AO554" i="7"/>
  <c r="AO560" i="7"/>
  <c r="AU553" i="7"/>
  <c r="AJ554" i="7"/>
  <c r="AJ560" i="7"/>
  <c r="AR554" i="7"/>
  <c r="X554" i="7"/>
  <c r="X560" i="7"/>
  <c r="AI554" i="7"/>
  <c r="AI560" i="7"/>
  <c r="AO553" i="7"/>
  <c r="AO172" i="7"/>
  <c r="AF553" i="7"/>
  <c r="AF172" i="7"/>
  <c r="AK554" i="7"/>
  <c r="AK560" i="7"/>
  <c r="AQ553" i="7"/>
  <c r="BB553" i="7"/>
  <c r="AB554" i="7"/>
  <c r="AA554" i="7"/>
  <c r="AA560" i="7"/>
  <c r="AG553" i="7"/>
  <c r="BD553" i="7"/>
  <c r="X553" i="7"/>
  <c r="AC554" i="7"/>
  <c r="AC560" i="7"/>
  <c r="AI553" i="7"/>
  <c r="AI555" i="7"/>
  <c r="V553" i="7"/>
  <c r="AD553" i="7"/>
  <c r="Z553" i="7"/>
  <c r="BC554" i="7"/>
  <c r="W554" i="7"/>
  <c r="W560" i="7"/>
  <c r="AC553" i="7"/>
  <c r="AX554" i="7"/>
  <c r="AX560" i="7"/>
  <c r="AH554" i="7"/>
  <c r="AH560" i="7"/>
  <c r="AZ553" i="7"/>
  <c r="BE554" i="7"/>
  <c r="Y554" i="7"/>
  <c r="Y560" i="7"/>
  <c r="AE553" i="7"/>
  <c r="AV554" i="7"/>
  <c r="AV560" i="7"/>
  <c r="AP553" i="7"/>
  <c r="K553" i="7"/>
  <c r="K172" i="7"/>
  <c r="T553" i="7"/>
  <c r="S554" i="7"/>
  <c r="AI687" i="7"/>
  <c r="BD687" i="7"/>
  <c r="AW687" i="7"/>
  <c r="AF687" i="7"/>
  <c r="AN687" i="7"/>
  <c r="AO687" i="7"/>
  <c r="AU688" i="7"/>
  <c r="AU694" i="7"/>
  <c r="Z687" i="7"/>
  <c r="X688" i="7"/>
  <c r="X694" i="7"/>
  <c r="AL688" i="7"/>
  <c r="AD688" i="7"/>
  <c r="AD694" i="7"/>
  <c r="W688" i="7"/>
  <c r="W694" i="7"/>
  <c r="AQ687" i="7"/>
  <c r="AV687" i="7"/>
  <c r="AU687" i="7"/>
  <c r="BA688" i="7"/>
  <c r="BA694" i="7"/>
  <c r="AD687" i="7"/>
  <c r="AB688" i="7"/>
  <c r="R688" i="7"/>
  <c r="R694" i="7"/>
  <c r="U688" i="7"/>
  <c r="U694" i="7"/>
  <c r="H688" i="7"/>
  <c r="T688" i="7"/>
  <c r="AC688" i="7"/>
  <c r="AC694" i="7"/>
  <c r="AL687" i="7"/>
  <c r="AL263" i="7"/>
  <c r="AM688" i="7"/>
  <c r="AM694" i="7"/>
  <c r="AG688" i="7"/>
  <c r="AG694" i="7"/>
  <c r="AY687" i="7"/>
  <c r="BC687" i="7"/>
  <c r="AZ687" i="7"/>
  <c r="AH687" i="7"/>
  <c r="AF688" i="7"/>
  <c r="AF694" i="7"/>
  <c r="AR687" i="7"/>
  <c r="AR263" i="7"/>
  <c r="AX694" i="7"/>
  <c r="AQ688" i="7"/>
  <c r="AQ694" i="7"/>
  <c r="Y688" i="7"/>
  <c r="Y694" i="7"/>
  <c r="AA688" i="7"/>
  <c r="AA694" i="7"/>
  <c r="BE687" i="7"/>
  <c r="AJ688" i="7"/>
  <c r="AJ694" i="7"/>
  <c r="AT688" i="7"/>
  <c r="AT694" i="7"/>
  <c r="X687" i="7"/>
  <c r="AY688" i="7"/>
  <c r="AI688" i="7"/>
  <c r="AI694" i="7"/>
  <c r="AH688" i="7"/>
  <c r="AH694" i="7"/>
  <c r="Z688" i="7"/>
  <c r="Z694" i="7"/>
  <c r="AP687" i="7"/>
  <c r="AN688" i="7"/>
  <c r="AN694" i="7"/>
  <c r="BA687" i="7"/>
  <c r="AK687" i="7"/>
  <c r="AC687" i="7"/>
  <c r="BB688" i="7"/>
  <c r="BB694" i="7"/>
  <c r="AA687" i="7"/>
  <c r="AW688" i="7"/>
  <c r="AW694" i="7"/>
  <c r="AE687" i="7"/>
  <c r="AK688" i="7"/>
  <c r="AK694" i="7"/>
  <c r="AV688" i="7"/>
  <c r="BE688" i="7"/>
  <c r="BE694" i="7"/>
  <c r="AS687" i="7"/>
  <c r="AM687" i="7"/>
  <c r="W687" i="7"/>
  <c r="AG687" i="7"/>
  <c r="BC688" i="7"/>
  <c r="AJ687" i="7"/>
  <c r="AP688" i="7"/>
  <c r="AP694" i="7"/>
  <c r="BB687" i="7"/>
  <c r="AZ688" i="7"/>
  <c r="AZ694" i="7"/>
  <c r="R687" i="7"/>
  <c r="N687" i="7"/>
  <c r="N263" i="7"/>
  <c r="J687" i="7"/>
  <c r="U838" i="7"/>
  <c r="BE838" i="7"/>
  <c r="R805" i="7"/>
  <c r="R809" i="7"/>
  <c r="R811" i="7"/>
  <c r="R169" i="7"/>
  <c r="H805" i="7"/>
  <c r="H809" i="7"/>
  <c r="AB805" i="7"/>
  <c r="AB809" i="7"/>
  <c r="AB811" i="7"/>
  <c r="AE805" i="7"/>
  <c r="AE809" i="7"/>
  <c r="U805" i="7"/>
  <c r="U809" i="7"/>
  <c r="U811" i="7"/>
  <c r="U169" i="7"/>
  <c r="AG805" i="7"/>
  <c r="AG809" i="7"/>
  <c r="AG811" i="7"/>
  <c r="AG169" i="7"/>
  <c r="P751" i="7"/>
  <c r="G839" i="7"/>
  <c r="I644" i="7"/>
  <c r="I222" i="7"/>
  <c r="I231" i="7"/>
  <c r="W644" i="7"/>
  <c r="W222" i="7"/>
  <c r="W231" i="7"/>
  <c r="V644" i="7"/>
  <c r="V222" i="7"/>
  <c r="V231" i="7"/>
  <c r="X644" i="7"/>
  <c r="X222" i="7"/>
  <c r="X231" i="7"/>
  <c r="AB644" i="7"/>
  <c r="AB222" i="7"/>
  <c r="AB231" i="7"/>
  <c r="AF644" i="7"/>
  <c r="AF222" i="7"/>
  <c r="AF231" i="7"/>
  <c r="AJ644" i="7"/>
  <c r="AJ222" i="7"/>
  <c r="AJ231" i="7"/>
  <c r="AN644" i="7"/>
  <c r="AN222" i="7"/>
  <c r="AN231" i="7"/>
  <c r="AR644" i="7"/>
  <c r="AR222" i="7"/>
  <c r="AR231" i="7"/>
  <c r="AW644" i="7"/>
  <c r="AW222" i="7"/>
  <c r="AW231" i="7"/>
  <c r="BA644" i="7"/>
  <c r="BA222" i="7"/>
  <c r="BA231" i="7"/>
  <c r="BB644" i="7"/>
  <c r="BB222" i="7"/>
  <c r="BB231" i="7"/>
  <c r="Z644" i="7"/>
  <c r="Z222" i="7"/>
  <c r="Z231" i="7"/>
  <c r="AD644" i="7"/>
  <c r="AD222" i="7"/>
  <c r="AD231" i="7"/>
  <c r="AT644" i="7"/>
  <c r="AT222" i="7"/>
  <c r="AT231" i="7"/>
  <c r="BD644" i="7"/>
  <c r="BD222" i="7"/>
  <c r="BD231" i="7"/>
  <c r="AH644" i="7"/>
  <c r="AH222" i="7"/>
  <c r="AH231" i="7"/>
  <c r="AQ644" i="7"/>
  <c r="AQ222" i="7"/>
  <c r="AQ231" i="7"/>
  <c r="AZ644" i="7"/>
  <c r="AZ222" i="7"/>
  <c r="AZ231" i="7"/>
  <c r="BC644" i="7"/>
  <c r="BC222" i="7"/>
  <c r="BC231" i="7"/>
  <c r="AL644" i="7"/>
  <c r="AL222" i="7"/>
  <c r="AL231" i="7"/>
  <c r="AS644" i="7"/>
  <c r="AS222" i="7"/>
  <c r="AS231" i="7"/>
  <c r="AV644" i="7"/>
  <c r="AV222" i="7"/>
  <c r="AV231" i="7"/>
  <c r="Y644" i="7"/>
  <c r="Y222" i="7"/>
  <c r="Y231" i="7"/>
  <c r="AC644" i="7"/>
  <c r="AC222" i="7"/>
  <c r="AC231" i="7"/>
  <c r="AY644" i="7"/>
  <c r="AY222" i="7"/>
  <c r="AY231" i="7"/>
  <c r="AA644" i="7"/>
  <c r="AA222" i="7"/>
  <c r="AA231" i="7"/>
  <c r="AE644" i="7"/>
  <c r="AE222" i="7"/>
  <c r="AE231" i="7"/>
  <c r="AG644" i="7"/>
  <c r="AG222" i="7"/>
  <c r="AG231" i="7"/>
  <c r="AX644" i="7"/>
  <c r="AX222" i="7"/>
  <c r="AX231" i="7"/>
  <c r="AI644" i="7"/>
  <c r="AI222" i="7"/>
  <c r="AI231" i="7"/>
  <c r="AK644" i="7"/>
  <c r="AK222" i="7"/>
  <c r="AK231" i="7"/>
  <c r="AP644" i="7"/>
  <c r="AP222" i="7"/>
  <c r="AP231" i="7"/>
  <c r="M644" i="7"/>
  <c r="M222" i="7"/>
  <c r="M231" i="7"/>
  <c r="AM644" i="7"/>
  <c r="AM222" i="7"/>
  <c r="AM231" i="7"/>
  <c r="AU644" i="7"/>
  <c r="AU222" i="7"/>
  <c r="AU231" i="7"/>
  <c r="BE644" i="7"/>
  <c r="BE222" i="7"/>
  <c r="BE231" i="7"/>
  <c r="S102" i="8"/>
  <c r="Y77" i="17"/>
  <c r="I791" i="7"/>
  <c r="I795" i="7"/>
  <c r="V791" i="7"/>
  <c r="V795" i="7"/>
  <c r="AC791" i="7"/>
  <c r="AC795" i="7"/>
  <c r="AC796" i="7"/>
  <c r="AC797" i="7"/>
  <c r="AD791" i="7"/>
  <c r="AD795" i="7"/>
  <c r="AG791" i="7"/>
  <c r="AG795" i="7"/>
  <c r="U791" i="7"/>
  <c r="U795" i="7"/>
  <c r="AH791" i="7"/>
  <c r="AH795" i="7"/>
  <c r="AH796" i="7"/>
  <c r="AH797" i="7"/>
  <c r="AH124" i="7"/>
  <c r="T791" i="7"/>
  <c r="T795" i="7"/>
  <c r="AE791" i="7"/>
  <c r="AE795" i="7"/>
  <c r="AF791" i="7"/>
  <c r="AF795" i="7"/>
  <c r="R791" i="7"/>
  <c r="R795" i="7"/>
  <c r="Q791" i="7"/>
  <c r="Q795" i="7"/>
  <c r="X791" i="7"/>
  <c r="X795" i="7"/>
  <c r="Z791" i="7"/>
  <c r="Z795" i="7"/>
  <c r="AA791" i="7"/>
  <c r="AA795" i="7"/>
  <c r="AB791" i="7"/>
  <c r="AB795" i="7"/>
  <c r="W791" i="7"/>
  <c r="W795" i="7"/>
  <c r="Y791" i="7"/>
  <c r="Y795" i="7"/>
  <c r="AJ791" i="7"/>
  <c r="AJ795" i="7"/>
  <c r="AL791" i="7"/>
  <c r="AL795" i="7"/>
  <c r="AL796" i="7"/>
  <c r="AL797" i="7"/>
  <c r="AL124" i="7"/>
  <c r="AN791" i="7"/>
  <c r="AN795" i="7"/>
  <c r="AP791" i="7"/>
  <c r="AP795" i="7"/>
  <c r="AP796" i="7"/>
  <c r="AP797" i="7"/>
  <c r="AP124" i="7"/>
  <c r="AR791" i="7"/>
  <c r="AR795" i="7"/>
  <c r="AT791" i="7"/>
  <c r="AT795" i="7"/>
  <c r="AV791" i="7"/>
  <c r="AV795" i="7"/>
  <c r="AX791" i="7"/>
  <c r="AX795" i="7"/>
  <c r="AZ791" i="7"/>
  <c r="AZ795" i="7"/>
  <c r="BB791" i="7"/>
  <c r="BB795" i="7"/>
  <c r="BB796" i="7"/>
  <c r="BB797" i="7"/>
  <c r="BB124" i="7"/>
  <c r="BD791" i="7"/>
  <c r="BD795" i="7"/>
  <c r="H490" i="7"/>
  <c r="AG490" i="7"/>
  <c r="AG130" i="7"/>
  <c r="AG139" i="7"/>
  <c r="Q490" i="7"/>
  <c r="Q130" i="7"/>
  <c r="Q139" i="7"/>
  <c r="AD490" i="7"/>
  <c r="AD130" i="7"/>
  <c r="AD139" i="7"/>
  <c r="AE490" i="7"/>
  <c r="AE130" i="7"/>
  <c r="AE139" i="7"/>
  <c r="AF490" i="7"/>
  <c r="AF130" i="7"/>
  <c r="AF139" i="7"/>
  <c r="AJ490" i="7"/>
  <c r="AJ130" i="7"/>
  <c r="AJ139" i="7"/>
  <c r="AL490" i="7"/>
  <c r="AL130" i="7"/>
  <c r="AL139" i="7"/>
  <c r="AN490" i="7"/>
  <c r="AN130" i="7"/>
  <c r="AN139" i="7"/>
  <c r="AP490" i="7"/>
  <c r="AP130" i="7"/>
  <c r="AP139" i="7"/>
  <c r="AR490" i="7"/>
  <c r="AR130" i="7"/>
  <c r="AR139" i="7"/>
  <c r="AT490" i="7"/>
  <c r="AT130" i="7"/>
  <c r="AT139" i="7"/>
  <c r="AV490" i="7"/>
  <c r="AV130" i="7"/>
  <c r="AV139" i="7"/>
  <c r="AX490" i="7"/>
  <c r="AX130" i="7"/>
  <c r="AX139" i="7"/>
  <c r="AZ490" i="7"/>
  <c r="AZ130" i="7"/>
  <c r="AZ139" i="7"/>
  <c r="BB490" i="7"/>
  <c r="BB130" i="7"/>
  <c r="BB139" i="7"/>
  <c r="BD490" i="7"/>
  <c r="BD130" i="7"/>
  <c r="BD139" i="7"/>
  <c r="AC427" i="7"/>
  <c r="AG427" i="7"/>
  <c r="AP427" i="7"/>
  <c r="AF427" i="7"/>
  <c r="AV653" i="7"/>
  <c r="AV659" i="7"/>
  <c r="AU652" i="7"/>
  <c r="AT632" i="7"/>
  <c r="AR674" i="7"/>
  <c r="AQ653" i="7"/>
  <c r="AQ659" i="7"/>
  <c r="AP632" i="7"/>
  <c r="AP638" i="7"/>
  <c r="AN674" i="7"/>
  <c r="AM653" i="7"/>
  <c r="AM659" i="7"/>
  <c r="AL632" i="7"/>
  <c r="AL638" i="7"/>
  <c r="AJ674" i="7"/>
  <c r="AI653" i="7"/>
  <c r="AI659" i="7"/>
  <c r="AH632" i="7"/>
  <c r="AF674" i="7"/>
  <c r="AE653" i="7"/>
  <c r="AE659" i="7"/>
  <c r="AD632" i="7"/>
  <c r="AD638" i="7"/>
  <c r="AB674" i="7"/>
  <c r="AA653" i="7"/>
  <c r="Z632" i="7"/>
  <c r="X674" i="7"/>
  <c r="W653" i="7"/>
  <c r="W659" i="7"/>
  <c r="V674" i="7"/>
  <c r="U652" i="7"/>
  <c r="U220" i="7"/>
  <c r="R674" i="7"/>
  <c r="P653" i="7"/>
  <c r="P659" i="7"/>
  <c r="O674" i="7"/>
  <c r="BD499" i="7"/>
  <c r="BB499" i="7"/>
  <c r="BB505" i="7"/>
  <c r="AZ499" i="7"/>
  <c r="AZ505" i="7"/>
  <c r="AX499" i="7"/>
  <c r="AX505" i="7"/>
  <c r="AV499" i="7"/>
  <c r="AT499" i="7"/>
  <c r="AT505" i="7"/>
  <c r="AR499" i="7"/>
  <c r="AP499" i="7"/>
  <c r="AP505" i="7"/>
  <c r="AN499" i="7"/>
  <c r="AN505" i="7"/>
  <c r="AL499" i="7"/>
  <c r="AL505" i="7"/>
  <c r="AJ499" i="7"/>
  <c r="AJ505" i="7"/>
  <c r="AH477" i="7"/>
  <c r="AH127" i="7"/>
  <c r="AF115" i="7"/>
  <c r="AF136" i="7"/>
  <c r="AD477" i="7"/>
  <c r="AD127" i="7"/>
  <c r="AC477" i="7"/>
  <c r="AC127" i="7"/>
  <c r="Y478" i="7"/>
  <c r="Y484" i="7"/>
  <c r="W478" i="7"/>
  <c r="V477" i="7"/>
  <c r="P478" i="7"/>
  <c r="P484" i="7"/>
  <c r="AI427" i="7"/>
  <c r="AA652" i="7"/>
  <c r="AA220" i="7"/>
  <c r="X819" i="7"/>
  <c r="X823" i="7"/>
  <c r="P632" i="7"/>
  <c r="P638" i="7"/>
  <c r="Q478" i="7"/>
  <c r="Q484" i="7"/>
  <c r="P477" i="7"/>
  <c r="M330" i="7"/>
  <c r="AS330" i="7"/>
  <c r="AX330" i="7"/>
  <c r="BC330" i="7"/>
  <c r="P330" i="7"/>
  <c r="K653" i="7"/>
  <c r="K659" i="7"/>
  <c r="AB115" i="7"/>
  <c r="AB136" i="7"/>
  <c r="Q115" i="7"/>
  <c r="Q136" i="7"/>
  <c r="G783" i="7"/>
  <c r="H443" i="7"/>
  <c r="AO351" i="7"/>
  <c r="AJ351" i="7"/>
  <c r="AE351" i="7"/>
  <c r="W351" i="7"/>
  <c r="BD351" i="7"/>
  <c r="AY351" i="7"/>
  <c r="AT351" i="7"/>
  <c r="AG351" i="7"/>
  <c r="G426" i="7"/>
  <c r="G428" i="7"/>
  <c r="H425" i="7"/>
  <c r="BA351" i="7"/>
  <c r="AV351" i="7"/>
  <c r="AQ351" i="7"/>
  <c r="AL351" i="7"/>
  <c r="Y351" i="7"/>
  <c r="AZ351" i="7"/>
  <c r="AU351" i="7"/>
  <c r="AP351" i="7"/>
  <c r="AK351" i="7"/>
  <c r="AF351" i="7"/>
  <c r="AH351" i="7"/>
  <c r="U351" i="7"/>
  <c r="BB351" i="7"/>
  <c r="AW351" i="7"/>
  <c r="AR351" i="7"/>
  <c r="AM351" i="7"/>
  <c r="Z351" i="7"/>
  <c r="I632" i="7"/>
  <c r="I638" i="7"/>
  <c r="T644" i="7"/>
  <c r="T222" i="7"/>
  <c r="T231" i="7"/>
  <c r="S632" i="7"/>
  <c r="S638" i="7"/>
  <c r="R611" i="7"/>
  <c r="R617" i="7"/>
  <c r="P631" i="7"/>
  <c r="O632" i="7"/>
  <c r="O638" i="7"/>
  <c r="N819" i="7"/>
  <c r="N823" i="7"/>
  <c r="M632" i="7"/>
  <c r="M638" i="7"/>
  <c r="L819" i="7"/>
  <c r="L823" i="7"/>
  <c r="L824" i="7"/>
  <c r="L825" i="7"/>
  <c r="L216" i="7"/>
  <c r="M791" i="7"/>
  <c r="M795" i="7"/>
  <c r="K478" i="7"/>
  <c r="K484" i="7"/>
  <c r="S631" i="7"/>
  <c r="S219" i="7"/>
  <c r="Q631" i="7"/>
  <c r="Q219" i="7"/>
  <c r="P611" i="7"/>
  <c r="O631" i="7"/>
  <c r="O219" i="7"/>
  <c r="N631" i="7"/>
  <c r="N219" i="7"/>
  <c r="M631" i="7"/>
  <c r="M219" i="7"/>
  <c r="L631" i="7"/>
  <c r="L219" i="7"/>
  <c r="K611" i="7"/>
  <c r="K617" i="7"/>
  <c r="P791" i="7"/>
  <c r="P795" i="7"/>
  <c r="P490" i="7"/>
  <c r="P130" i="7"/>
  <c r="P139" i="7"/>
  <c r="O478" i="7"/>
  <c r="O484" i="7"/>
  <c r="N791" i="7"/>
  <c r="N795" i="7"/>
  <c r="N796" i="7"/>
  <c r="N797" i="7"/>
  <c r="N124" i="7"/>
  <c r="M478" i="7"/>
  <c r="M484" i="7"/>
  <c r="J791" i="7"/>
  <c r="J795" i="7"/>
  <c r="J796" i="7"/>
  <c r="J797" i="7"/>
  <c r="J124" i="7"/>
  <c r="AK115" i="7"/>
  <c r="AK136" i="7"/>
  <c r="N477" i="7"/>
  <c r="N127" i="7"/>
  <c r="J490" i="7"/>
  <c r="J130" i="7"/>
  <c r="J139" i="7"/>
  <c r="D154" i="1"/>
  <c r="L42" i="16"/>
  <c r="N42" i="16"/>
  <c r="AT521" i="7"/>
  <c r="AF566" i="7"/>
  <c r="AF175" i="7"/>
  <c r="AF184" i="7"/>
  <c r="AI566" i="7"/>
  <c r="AI175" i="7"/>
  <c r="AI184" i="7"/>
  <c r="M566" i="7"/>
  <c r="M175" i="7"/>
  <c r="M184" i="7"/>
  <c r="AW721" i="7"/>
  <c r="AW267" i="7"/>
  <c r="AW276" i="7"/>
  <c r="X721" i="7"/>
  <c r="X267" i="7"/>
  <c r="X276" i="7"/>
  <c r="AF721" i="7"/>
  <c r="AF267" i="7"/>
  <c r="AF276" i="7"/>
  <c r="N721" i="7"/>
  <c r="N267" i="7"/>
  <c r="N276" i="7"/>
  <c r="AH721" i="7"/>
  <c r="AH267" i="7"/>
  <c r="AH276" i="7"/>
  <c r="AO721" i="7"/>
  <c r="AO267" i="7"/>
  <c r="AO276" i="7"/>
  <c r="V721" i="7"/>
  <c r="V267" i="7"/>
  <c r="V276" i="7"/>
  <c r="AD721" i="7"/>
  <c r="AD267" i="7"/>
  <c r="AD276" i="7"/>
  <c r="AN721" i="7"/>
  <c r="AN267" i="7"/>
  <c r="AN276" i="7"/>
  <c r="Y721" i="7"/>
  <c r="Y267" i="7"/>
  <c r="Y276" i="7"/>
  <c r="U721" i="7"/>
  <c r="U267" i="7"/>
  <c r="U276" i="7"/>
  <c r="AQ721" i="7"/>
  <c r="AQ267" i="7"/>
  <c r="AQ276" i="7"/>
  <c r="Z721" i="7"/>
  <c r="Z267" i="7"/>
  <c r="Z276" i="7"/>
  <c r="J721" i="7"/>
  <c r="J267" i="7"/>
  <c r="J276" i="7"/>
  <c r="T721" i="7"/>
  <c r="T267" i="7"/>
  <c r="T276" i="7"/>
  <c r="W611" i="7"/>
  <c r="W617" i="7"/>
  <c r="U644" i="7"/>
  <c r="U222" i="7"/>
  <c r="U231" i="7"/>
  <c r="S644" i="7"/>
  <c r="S222" i="7"/>
  <c r="S231" i="7"/>
  <c r="R644" i="7"/>
  <c r="R222" i="7"/>
  <c r="R231" i="7"/>
  <c r="O644" i="7"/>
  <c r="O222" i="7"/>
  <c r="O231" i="7"/>
  <c r="N610" i="7"/>
  <c r="N218" i="7"/>
  <c r="H644" i="7"/>
  <c r="AX115" i="7"/>
  <c r="AX136" i="7"/>
  <c r="AI115" i="7"/>
  <c r="AI136" i="7"/>
  <c r="U610" i="7"/>
  <c r="S610" i="7"/>
  <c r="R610" i="7"/>
  <c r="L644" i="7"/>
  <c r="L222" i="7"/>
  <c r="L231" i="7"/>
  <c r="K610" i="7"/>
  <c r="K218" i="7"/>
  <c r="W520" i="7"/>
  <c r="V520" i="7"/>
  <c r="H456" i="7"/>
  <c r="H126" i="7"/>
  <c r="J457" i="7"/>
  <c r="O457" i="7"/>
  <c r="O463" i="7"/>
  <c r="J456" i="7"/>
  <c r="J126" i="7"/>
  <c r="L457" i="7"/>
  <c r="L463" i="7"/>
  <c r="M457" i="7"/>
  <c r="M463" i="7"/>
  <c r="Q457" i="7"/>
  <c r="Q463" i="7"/>
  <c r="R457" i="7"/>
  <c r="S456" i="7"/>
  <c r="S126" i="7"/>
  <c r="T456" i="7"/>
  <c r="W457" i="7"/>
  <c r="Z457" i="7"/>
  <c r="Z463" i="7"/>
  <c r="AA456" i="7"/>
  <c r="AB456" i="7"/>
  <c r="AB126" i="7"/>
  <c r="AD457" i="7"/>
  <c r="Q644" i="7"/>
  <c r="Q222" i="7"/>
  <c r="Q231" i="7"/>
  <c r="P644" i="7"/>
  <c r="P222" i="7"/>
  <c r="P231" i="7"/>
  <c r="H520" i="7"/>
  <c r="H521" i="7"/>
  <c r="X520" i="7"/>
  <c r="AE520" i="7"/>
  <c r="P40" i="6"/>
  <c r="G493" i="7"/>
  <c r="V498" i="7"/>
  <c r="V128" i="7"/>
  <c r="G470" i="7"/>
  <c r="AJ385" i="7"/>
  <c r="I309" i="7"/>
  <c r="T385" i="7"/>
  <c r="S521" i="7"/>
  <c r="N653" i="7"/>
  <c r="N659" i="7"/>
  <c r="K652" i="7"/>
  <c r="K220" i="7"/>
  <c r="M653" i="7"/>
  <c r="V652" i="7"/>
  <c r="V220" i="7"/>
  <c r="U653" i="7"/>
  <c r="S652" i="7"/>
  <c r="S220" i="7"/>
  <c r="S721" i="7"/>
  <c r="S267" i="7"/>
  <c r="S276" i="7"/>
  <c r="AR566" i="7"/>
  <c r="AR175" i="7"/>
  <c r="AR184" i="7"/>
  <c r="AJ566" i="7"/>
  <c r="AJ175" i="7"/>
  <c r="AJ184" i="7"/>
  <c r="K721" i="7"/>
  <c r="K267" i="7"/>
  <c r="K276" i="7"/>
  <c r="AL721" i="7"/>
  <c r="AL267" i="7"/>
  <c r="AL276" i="7"/>
  <c r="BB721" i="7"/>
  <c r="BB267" i="7"/>
  <c r="BB276" i="7"/>
  <c r="BC721" i="7"/>
  <c r="BC267" i="7"/>
  <c r="BC276" i="7"/>
  <c r="AM721" i="7"/>
  <c r="AM267" i="7"/>
  <c r="AM276" i="7"/>
  <c r="BE721" i="7"/>
  <c r="BE267" i="7"/>
  <c r="BE276" i="7"/>
  <c r="AT810" i="7"/>
  <c r="M694" i="7"/>
  <c r="L566" i="7"/>
  <c r="L175" i="7"/>
  <c r="L184" i="7"/>
  <c r="O721" i="7"/>
  <c r="O267" i="7"/>
  <c r="O276" i="7"/>
  <c r="AV721" i="7"/>
  <c r="AV267" i="7"/>
  <c r="AV276" i="7"/>
  <c r="AP721" i="7"/>
  <c r="AP267" i="7"/>
  <c r="AP276" i="7"/>
  <c r="AU721" i="7"/>
  <c r="AU267" i="7"/>
  <c r="AU276" i="7"/>
  <c r="AT721" i="7"/>
  <c r="AT267" i="7"/>
  <c r="AT276" i="7"/>
  <c r="AY721" i="7"/>
  <c r="AY267" i="7"/>
  <c r="AY276" i="7"/>
  <c r="AL115" i="7"/>
  <c r="AL136" i="7"/>
  <c r="J631" i="7"/>
  <c r="J633" i="7"/>
  <c r="I631" i="7"/>
  <c r="I219" i="7"/>
  <c r="I652" i="7"/>
  <c r="I220" i="7"/>
  <c r="T632" i="7"/>
  <c r="T638" i="7"/>
  <c r="R819" i="7"/>
  <c r="R823" i="7"/>
  <c r="R631" i="7"/>
  <c r="R219" i="7"/>
  <c r="Q632" i="7"/>
  <c r="P652" i="7"/>
  <c r="P610" i="7"/>
  <c r="P218" i="7"/>
  <c r="O819" i="7"/>
  <c r="O823" i="7"/>
  <c r="N632" i="7"/>
  <c r="N638" i="7"/>
  <c r="M674" i="7"/>
  <c r="L653" i="7"/>
  <c r="L659" i="7"/>
  <c r="K632" i="7"/>
  <c r="K638" i="7"/>
  <c r="K674" i="7"/>
  <c r="J674" i="7"/>
  <c r="I824" i="7"/>
  <c r="I674" i="7"/>
  <c r="I675" i="7"/>
  <c r="H632" i="7"/>
  <c r="H638" i="7"/>
  <c r="AM115" i="7"/>
  <c r="AM136" i="7"/>
  <c r="Z456" i="7"/>
  <c r="Z126" i="7"/>
  <c r="X456" i="7"/>
  <c r="X126" i="7"/>
  <c r="V456" i="7"/>
  <c r="U457" i="7"/>
  <c r="U463" i="7"/>
  <c r="T520" i="7"/>
  <c r="S795" i="7"/>
  <c r="S457" i="7"/>
  <c r="R456" i="7"/>
  <c r="R126" i="7"/>
  <c r="P456" i="7"/>
  <c r="P126" i="7"/>
  <c r="O456" i="7"/>
  <c r="K456" i="7"/>
  <c r="I456" i="7"/>
  <c r="I126" i="7"/>
  <c r="L632" i="7"/>
  <c r="L638" i="7"/>
  <c r="K631" i="7"/>
  <c r="AY115" i="7"/>
  <c r="AY136" i="7"/>
  <c r="R115" i="7"/>
  <c r="R136" i="7"/>
  <c r="Q721" i="7"/>
  <c r="Q267" i="7"/>
  <c r="Q276" i="7"/>
  <c r="L721" i="7"/>
  <c r="L267" i="7"/>
  <c r="L276" i="7"/>
  <c r="H721" i="7"/>
  <c r="BD721" i="7"/>
  <c r="BD267" i="7"/>
  <c r="BD276" i="7"/>
  <c r="AI721" i="7"/>
  <c r="AI267" i="7"/>
  <c r="AI276" i="7"/>
  <c r="AB721" i="7"/>
  <c r="AB267" i="7"/>
  <c r="BA721" i="7"/>
  <c r="BA267" i="7"/>
  <c r="BA276" i="7"/>
  <c r="AC721" i="7"/>
  <c r="AC267" i="7"/>
  <c r="AC276" i="7"/>
  <c r="AZ721" i="7"/>
  <c r="AZ267" i="7"/>
  <c r="AZ276" i="7"/>
  <c r="AG721" i="7"/>
  <c r="AG267" i="7"/>
  <c r="AG276" i="7"/>
  <c r="AJ721" i="7"/>
  <c r="AJ267" i="7"/>
  <c r="AJ276" i="7"/>
  <c r="AA721" i="7"/>
  <c r="AA267" i="7"/>
  <c r="AA276" i="7"/>
  <c r="R721" i="7"/>
  <c r="R267" i="7"/>
  <c r="R276" i="7"/>
  <c r="L838" i="7"/>
  <c r="AJ838" i="7"/>
  <c r="AJ839" i="7"/>
  <c r="AJ261" i="7"/>
  <c r="AB838" i="7"/>
  <c r="AT838" i="7"/>
  <c r="AS838" i="7"/>
  <c r="AA838" i="7"/>
  <c r="BB838" i="7"/>
  <c r="Y810" i="7"/>
  <c r="AS810" i="7"/>
  <c r="AM810" i="7"/>
  <c r="H796" i="7"/>
  <c r="M796" i="7"/>
  <c r="L796" i="7"/>
  <c r="R796" i="7"/>
  <c r="R797" i="7"/>
  <c r="R124" i="7"/>
  <c r="T796" i="7"/>
  <c r="T797" i="7"/>
  <c r="AJ796" i="7"/>
  <c r="AK796" i="7"/>
  <c r="AN796" i="7"/>
  <c r="AN797" i="7"/>
  <c r="AN124" i="7"/>
  <c r="AQ796" i="7"/>
  <c r="AR796" i="7"/>
  <c r="AR797" i="7"/>
  <c r="AR124" i="7"/>
  <c r="AX796" i="7"/>
  <c r="BA796" i="7"/>
  <c r="BD796" i="7"/>
  <c r="BD797" i="7"/>
  <c r="BD124" i="7"/>
  <c r="O796" i="7"/>
  <c r="P796" i="7"/>
  <c r="P797" i="7"/>
  <c r="P124" i="7"/>
  <c r="Q796" i="7"/>
  <c r="S796" i="7"/>
  <c r="X796" i="7"/>
  <c r="AF796" i="7"/>
  <c r="AF797" i="7"/>
  <c r="AF124" i="7"/>
  <c r="AI796" i="7"/>
  <c r="AO796" i="7"/>
  <c r="AO797" i="7"/>
  <c r="AO124" i="7"/>
  <c r="AU796" i="7"/>
  <c r="AV796" i="7"/>
  <c r="K796" i="7"/>
  <c r="U796" i="7"/>
  <c r="W796" i="7"/>
  <c r="Y796" i="7"/>
  <c r="AG796" i="7"/>
  <c r="AG797" i="7"/>
  <c r="AT796" i="7"/>
  <c r="AW796" i="7"/>
  <c r="BE796" i="7"/>
  <c r="BE797" i="7"/>
  <c r="BE124" i="7"/>
  <c r="V796" i="7"/>
  <c r="Z796" i="7"/>
  <c r="AA796" i="7"/>
  <c r="AA797" i="7"/>
  <c r="AA124" i="7"/>
  <c r="AB796" i="7"/>
  <c r="AD796" i="7"/>
  <c r="AD797" i="7"/>
  <c r="AD124" i="7"/>
  <c r="AE796" i="7"/>
  <c r="AE797" i="7"/>
  <c r="AE124" i="7"/>
  <c r="AM796" i="7"/>
  <c r="AS796" i="7"/>
  <c r="AS797" i="7"/>
  <c r="AS124" i="7"/>
  <c r="AY796" i="7"/>
  <c r="AY797" i="7"/>
  <c r="AY124" i="7"/>
  <c r="AZ796" i="7"/>
  <c r="P721" i="7"/>
  <c r="P267" i="7"/>
  <c r="P276" i="7"/>
  <c r="M721" i="7"/>
  <c r="M267" i="7"/>
  <c r="M276" i="7"/>
  <c r="I721" i="7"/>
  <c r="I267" i="7"/>
  <c r="I276" i="7"/>
  <c r="AR721" i="7"/>
  <c r="AR267" i="7"/>
  <c r="AR276" i="7"/>
  <c r="W721" i="7"/>
  <c r="W267" i="7"/>
  <c r="AK721" i="7"/>
  <c r="AK267" i="7"/>
  <c r="AK276" i="7"/>
  <c r="AX721" i="7"/>
  <c r="AX267" i="7"/>
  <c r="AX276" i="7"/>
  <c r="AS721" i="7"/>
  <c r="AS267" i="7"/>
  <c r="AS276" i="7"/>
  <c r="AE721" i="7"/>
  <c r="AE267" i="7"/>
  <c r="AE276" i="7"/>
  <c r="N838" i="7"/>
  <c r="AP838" i="7"/>
  <c r="Q838" i="7"/>
  <c r="K838" i="7"/>
  <c r="N810" i="7"/>
  <c r="O115" i="7"/>
  <c r="O136" i="7"/>
  <c r="H653" i="7"/>
  <c r="H659" i="7"/>
  <c r="O477" i="7"/>
  <c r="O127" i="7"/>
  <c r="L478" i="7"/>
  <c r="H791" i="7"/>
  <c r="H795" i="7"/>
  <c r="K791" i="7"/>
  <c r="K795" i="7"/>
  <c r="K797" i="7"/>
  <c r="K124" i="7"/>
  <c r="L791" i="7"/>
  <c r="L795" i="7"/>
  <c r="O791" i="7"/>
  <c r="O795" i="7"/>
  <c r="O797" i="7"/>
  <c r="O124" i="7"/>
  <c r="O653" i="7"/>
  <c r="O659" i="7"/>
  <c r="O611" i="7"/>
  <c r="O617" i="7"/>
  <c r="N652" i="7"/>
  <c r="N220" i="7"/>
  <c r="M652" i="7"/>
  <c r="M220" i="7"/>
  <c r="L652" i="7"/>
  <c r="L220" i="7"/>
  <c r="J653" i="7"/>
  <c r="J659" i="7"/>
  <c r="I653" i="7"/>
  <c r="H652" i="7"/>
  <c r="H220" i="7"/>
  <c r="AU115" i="7"/>
  <c r="AU136" i="7"/>
  <c r="AT115" i="7"/>
  <c r="AT136" i="7"/>
  <c r="Y115" i="7"/>
  <c r="Y136" i="7"/>
  <c r="H478" i="7"/>
  <c r="H484" i="7"/>
  <c r="I477" i="7"/>
  <c r="I127" i="7"/>
  <c r="J477" i="7"/>
  <c r="J127" i="7"/>
  <c r="N478" i="7"/>
  <c r="V653" i="7"/>
  <c r="V659" i="7"/>
  <c r="V611" i="7"/>
  <c r="V617" i="7"/>
  <c r="T653" i="7"/>
  <c r="T659" i="7"/>
  <c r="T611" i="7"/>
  <c r="T617" i="7"/>
  <c r="Q652" i="7"/>
  <c r="Q220" i="7"/>
  <c r="Q610" i="7"/>
  <c r="O652" i="7"/>
  <c r="O220" i="7"/>
  <c r="O610" i="7"/>
  <c r="N824" i="7"/>
  <c r="N644" i="7"/>
  <c r="N222" i="7"/>
  <c r="N231" i="7"/>
  <c r="K644" i="7"/>
  <c r="K222" i="7"/>
  <c r="K231" i="7"/>
  <c r="J652" i="7"/>
  <c r="J644" i="7"/>
  <c r="J222" i="7"/>
  <c r="J231" i="7"/>
  <c r="X115" i="7"/>
  <c r="X136" i="7"/>
  <c r="M477" i="7"/>
  <c r="M127" i="7"/>
  <c r="K477" i="7"/>
  <c r="K127" i="7"/>
  <c r="J478" i="7"/>
  <c r="J484" i="7"/>
  <c r="Z115" i="7"/>
  <c r="Z136" i="7"/>
  <c r="N115" i="7"/>
  <c r="N136" i="7"/>
  <c r="M115" i="7"/>
  <c r="M136" i="7"/>
  <c r="BE115" i="7"/>
  <c r="BE136" i="7"/>
  <c r="BD115" i="7"/>
  <c r="BD136" i="7"/>
  <c r="BC115" i="7"/>
  <c r="BC136" i="7"/>
  <c r="BB115" i="7"/>
  <c r="BB136" i="7"/>
  <c r="BA115" i="7"/>
  <c r="AZ115" i="7"/>
  <c r="AZ136" i="7"/>
  <c r="AW115" i="7"/>
  <c r="AW136" i="7"/>
  <c r="AV115" i="7"/>
  <c r="AV136" i="7"/>
  <c r="AH115" i="7"/>
  <c r="AH136" i="7"/>
  <c r="AD115" i="7"/>
  <c r="AD136" i="7"/>
  <c r="AC115" i="7"/>
  <c r="AC136" i="7"/>
  <c r="V115" i="7"/>
  <c r="V136" i="7"/>
  <c r="S115" i="7"/>
  <c r="L115" i="7"/>
  <c r="L136" i="7"/>
  <c r="J115" i="7"/>
  <c r="J136" i="7"/>
  <c r="H115" i="7"/>
  <c r="H136" i="7"/>
  <c r="AR115" i="7"/>
  <c r="AR136" i="7"/>
  <c r="AG115" i="7"/>
  <c r="AG136" i="7"/>
  <c r="AE115" i="7"/>
  <c r="AE136" i="7"/>
  <c r="U115" i="7"/>
  <c r="U136" i="7"/>
  <c r="I796" i="7"/>
  <c r="AX824" i="7"/>
  <c r="AW824" i="7"/>
  <c r="Y824" i="7"/>
  <c r="X824" i="7"/>
  <c r="W824" i="7"/>
  <c r="J824" i="7"/>
  <c r="AZ824" i="7"/>
  <c r="AV824" i="7"/>
  <c r="AS824" i="7"/>
  <c r="AR824" i="7"/>
  <c r="AQ824" i="7"/>
  <c r="AP824" i="7"/>
  <c r="AO824" i="7"/>
  <c r="AN824" i="7"/>
  <c r="AM824" i="7"/>
  <c r="AL824" i="7"/>
  <c r="AK824" i="7"/>
  <c r="AJ824" i="7"/>
  <c r="AI824" i="7"/>
  <c r="AI825" i="7"/>
  <c r="AI216" i="7"/>
  <c r="AA824" i="7"/>
  <c r="AA825" i="7"/>
  <c r="AA216" i="7"/>
  <c r="Z824" i="7"/>
  <c r="V824" i="7"/>
  <c r="U824" i="7"/>
  <c r="T824" i="7"/>
  <c r="S824" i="7"/>
  <c r="Q824" i="7"/>
  <c r="K824" i="7"/>
  <c r="K819" i="7"/>
  <c r="K823" i="7"/>
  <c r="K825" i="7"/>
  <c r="K216" i="7"/>
  <c r="G825" i="7"/>
  <c r="BE824" i="7"/>
  <c r="BD824" i="7"/>
  <c r="BB824" i="7"/>
  <c r="AY824" i="7"/>
  <c r="AU824" i="7"/>
  <c r="AH824" i="7"/>
  <c r="AH825" i="7"/>
  <c r="AH216" i="7"/>
  <c r="AG824" i="7"/>
  <c r="AF824" i="7"/>
  <c r="AE824" i="7"/>
  <c r="AD824" i="7"/>
  <c r="AC824" i="7"/>
  <c r="AB824" i="7"/>
  <c r="R824" i="7"/>
  <c r="P824" i="7"/>
  <c r="O824" i="7"/>
  <c r="M824" i="7"/>
  <c r="H223" i="7"/>
  <c r="H232" i="7"/>
  <c r="AA154" i="4"/>
  <c r="BD675" i="7"/>
  <c r="H643" i="7"/>
  <c r="H222" i="7"/>
  <c r="Z833" i="7"/>
  <c r="Z837" i="7"/>
  <c r="Z839" i="7"/>
  <c r="Z261" i="7"/>
  <c r="AM833" i="7"/>
  <c r="AM837" i="7"/>
  <c r="AM839" i="7"/>
  <c r="AM261" i="7"/>
  <c r="AO833" i="7"/>
  <c r="AO837" i="7"/>
  <c r="AO839" i="7"/>
  <c r="AO261" i="7"/>
  <c r="AE833" i="7"/>
  <c r="AE837" i="7"/>
  <c r="AE839" i="7"/>
  <c r="AE261" i="7"/>
  <c r="AN833" i="7"/>
  <c r="AN837" i="7"/>
  <c r="O833" i="7"/>
  <c r="O837" i="7"/>
  <c r="O839" i="7"/>
  <c r="O261" i="7"/>
  <c r="BB833" i="7"/>
  <c r="BB837" i="7"/>
  <c r="BB839" i="7"/>
  <c r="BB261" i="7"/>
  <c r="AP833" i="7"/>
  <c r="AP837" i="7"/>
  <c r="AP839" i="7"/>
  <c r="AP261" i="7"/>
  <c r="J833" i="7"/>
  <c r="J837" i="7"/>
  <c r="J839" i="7"/>
  <c r="J261" i="7"/>
  <c r="Q833" i="7"/>
  <c r="Q837" i="7"/>
  <c r="Q839" i="7"/>
  <c r="Q261" i="7"/>
  <c r="M833" i="7"/>
  <c r="M837" i="7"/>
  <c r="M839" i="7"/>
  <c r="M261" i="7"/>
  <c r="AU833" i="7"/>
  <c r="AU837" i="7"/>
  <c r="AU839" i="7"/>
  <c r="AU261" i="7"/>
  <c r="AC833" i="7"/>
  <c r="AC837" i="7"/>
  <c r="P833" i="7"/>
  <c r="P837" i="7"/>
  <c r="P839" i="7"/>
  <c r="P261" i="7"/>
  <c r="AB833" i="7"/>
  <c r="AB837" i="7"/>
  <c r="AB839" i="7"/>
  <c r="AB261" i="7"/>
  <c r="AX833" i="7"/>
  <c r="AX837" i="7"/>
  <c r="AX839" i="7"/>
  <c r="AX261" i="7"/>
  <c r="G538" i="7"/>
  <c r="G540" i="7"/>
  <c r="H537" i="7"/>
  <c r="J819" i="7"/>
  <c r="J823" i="7"/>
  <c r="J825" i="7"/>
  <c r="J216" i="7"/>
  <c r="M819" i="7"/>
  <c r="M823" i="7"/>
  <c r="M825" i="7"/>
  <c r="M216" i="7"/>
  <c r="AG128" i="7"/>
  <c r="N611" i="7"/>
  <c r="M610" i="7"/>
  <c r="M218" i="7"/>
  <c r="J611" i="7"/>
  <c r="H819" i="7"/>
  <c r="H823" i="7"/>
  <c r="H825" i="7"/>
  <c r="H216" i="7"/>
  <c r="H611" i="7"/>
  <c r="H617" i="7"/>
  <c r="I610" i="7"/>
  <c r="I218" i="7"/>
  <c r="L610" i="7"/>
  <c r="L218" i="7"/>
  <c r="M611" i="7"/>
  <c r="M617" i="7"/>
  <c r="I611" i="7"/>
  <c r="I617" i="7"/>
  <c r="J610" i="7"/>
  <c r="J218" i="7"/>
  <c r="L611" i="7"/>
  <c r="AI498" i="7"/>
  <c r="AI490" i="7"/>
  <c r="AI130" i="7"/>
  <c r="AI139" i="7"/>
  <c r="AH520" i="7"/>
  <c r="AG520" i="7"/>
  <c r="AE498" i="7"/>
  <c r="AD499" i="7"/>
  <c r="AC499" i="7"/>
  <c r="AC505" i="7"/>
  <c r="AB499" i="7"/>
  <c r="Y490" i="7"/>
  <c r="Y130" i="7"/>
  <c r="Y139" i="7"/>
  <c r="V490" i="7"/>
  <c r="V130" i="7"/>
  <c r="V139" i="7"/>
  <c r="R520" i="7"/>
  <c r="R131" i="7"/>
  <c r="P520" i="7"/>
  <c r="P521" i="7"/>
  <c r="O520" i="7"/>
  <c r="M490" i="7"/>
  <c r="M130" i="7"/>
  <c r="M139" i="7"/>
  <c r="L490" i="7"/>
  <c r="L130" i="7"/>
  <c r="L139" i="7"/>
  <c r="K520" i="7"/>
  <c r="AH499" i="7"/>
  <c r="AH505" i="7"/>
  <c r="AH490" i="7"/>
  <c r="AH130" i="7"/>
  <c r="AH139" i="7"/>
  <c r="AF499" i="7"/>
  <c r="AF505" i="7"/>
  <c r="AF520" i="7"/>
  <c r="AD498" i="7"/>
  <c r="AD128" i="7"/>
  <c r="AD520" i="7"/>
  <c r="AC498" i="7"/>
  <c r="AC128" i="7"/>
  <c r="AC520" i="7"/>
  <c r="AB498" i="7"/>
  <c r="Z490" i="7"/>
  <c r="Z130" i="7"/>
  <c r="Z139" i="7"/>
  <c r="U520" i="7"/>
  <c r="S490" i="7"/>
  <c r="S130" i="7"/>
  <c r="S139" i="7"/>
  <c r="R490" i="7"/>
  <c r="R130" i="7"/>
  <c r="R139" i="7"/>
  <c r="N520" i="7"/>
  <c r="N521" i="7"/>
  <c r="L520" i="7"/>
  <c r="I490" i="7"/>
  <c r="I130" i="7"/>
  <c r="I139" i="7"/>
  <c r="AB490" i="7"/>
  <c r="AB130" i="7"/>
  <c r="AB139" i="7"/>
  <c r="AA490" i="7"/>
  <c r="AA130" i="7"/>
  <c r="AA139" i="7"/>
  <c r="X490" i="7"/>
  <c r="X130" i="7"/>
  <c r="X139" i="7"/>
  <c r="W490" i="7"/>
  <c r="W130" i="7"/>
  <c r="W139" i="7"/>
  <c r="U490" i="7"/>
  <c r="U130" i="7"/>
  <c r="U139" i="7"/>
  <c r="T490" i="7"/>
  <c r="T130" i="7"/>
  <c r="T139" i="7"/>
  <c r="Q520" i="7"/>
  <c r="O490" i="7"/>
  <c r="O130" i="7"/>
  <c r="O139" i="7"/>
  <c r="N490" i="7"/>
  <c r="N130" i="7"/>
  <c r="N139" i="7"/>
  <c r="K490" i="7"/>
  <c r="K130" i="7"/>
  <c r="K139" i="7"/>
  <c r="J520" i="7"/>
  <c r="I520" i="7"/>
  <c r="BC220" i="7"/>
  <c r="AB220" i="7"/>
  <c r="P220" i="7"/>
  <c r="Z127" i="7"/>
  <c r="W126" i="7"/>
  <c r="R234" i="17"/>
  <c r="Z234" i="17"/>
  <c r="Q234" i="17"/>
  <c r="W234" i="17"/>
  <c r="Y234" i="17"/>
  <c r="L234" i="17"/>
  <c r="T234" i="17"/>
  <c r="G233" i="17"/>
  <c r="G235" i="17"/>
  <c r="H232" i="17"/>
  <c r="W162" i="8"/>
  <c r="G86" i="17"/>
  <c r="G87" i="17"/>
  <c r="G97" i="17"/>
  <c r="N46" i="1"/>
  <c r="N46" i="16"/>
  <c r="Q574" i="7"/>
  <c r="Q173" i="7"/>
  <c r="M575" i="7"/>
  <c r="M581" i="7"/>
  <c r="M574" i="7"/>
  <c r="M576" i="7"/>
  <c r="S575" i="7"/>
  <c r="S581" i="7"/>
  <c r="Z574" i="7"/>
  <c r="Z576" i="7"/>
  <c r="Z173" i="7"/>
  <c r="AY675" i="7"/>
  <c r="N574" i="7"/>
  <c r="N173" i="7"/>
  <c r="Y574" i="7"/>
  <c r="Y173" i="7"/>
  <c r="Q575" i="7"/>
  <c r="Q581" i="7"/>
  <c r="K575" i="7"/>
  <c r="K581" i="7"/>
  <c r="N575" i="7"/>
  <c r="N581" i="7"/>
  <c r="K574" i="7"/>
  <c r="U575" i="7"/>
  <c r="U581" i="7"/>
  <c r="O575" i="7"/>
  <c r="G580" i="7"/>
  <c r="G582" i="7"/>
  <c r="H579" i="7"/>
  <c r="H575" i="7"/>
  <c r="H581" i="7"/>
  <c r="R575" i="7"/>
  <c r="R581" i="7"/>
  <c r="I575" i="7"/>
  <c r="I581" i="7"/>
  <c r="L574" i="7"/>
  <c r="L173" i="7"/>
  <c r="T574" i="7"/>
  <c r="T173" i="7"/>
  <c r="AA574" i="7"/>
  <c r="AA173" i="7"/>
  <c r="AA575" i="7"/>
  <c r="AA581" i="7"/>
  <c r="X574" i="7"/>
  <c r="X173" i="7"/>
  <c r="T575" i="7"/>
  <c r="T581" i="7"/>
  <c r="J574" i="7"/>
  <c r="J173" i="7"/>
  <c r="S574" i="7"/>
  <c r="S173" i="7"/>
  <c r="W575" i="7"/>
  <c r="J575" i="7"/>
  <c r="R574" i="7"/>
  <c r="R173" i="7"/>
  <c r="W574" i="7"/>
  <c r="H574" i="7"/>
  <c r="I574" i="7"/>
  <c r="I173" i="7"/>
  <c r="BC654" i="7"/>
  <c r="W85" i="8"/>
  <c r="AA72" i="17"/>
  <c r="M72" i="17"/>
  <c r="N72" i="17"/>
  <c r="AA213" i="17"/>
  <c r="V689" i="7"/>
  <c r="BA731" i="7"/>
  <c r="Q367" i="7"/>
  <c r="BC521" i="7"/>
  <c r="AE731" i="7"/>
  <c r="AU675" i="7"/>
  <c r="AA479" i="7"/>
  <c r="M521" i="7"/>
  <c r="AL521" i="7"/>
  <c r="AR633" i="7"/>
  <c r="AX521" i="7"/>
  <c r="P731" i="7"/>
  <c r="AE265" i="7"/>
  <c r="AA731" i="7"/>
  <c r="H811" i="7"/>
  <c r="H169" i="7"/>
  <c r="S731" i="7"/>
  <c r="G298" i="4"/>
  <c r="O213" i="17"/>
  <c r="G212" i="17"/>
  <c r="G214" i="17"/>
  <c r="H211" i="17"/>
  <c r="L72" i="17"/>
  <c r="P213" i="17"/>
  <c r="T72" i="17"/>
  <c r="Y213" i="17"/>
  <c r="T213" i="17"/>
  <c r="U72" i="17"/>
  <c r="W72" i="17"/>
  <c r="K213" i="17"/>
  <c r="L213" i="17"/>
  <c r="M213" i="17"/>
  <c r="W213" i="17"/>
  <c r="X72" i="17"/>
  <c r="S213" i="17"/>
  <c r="U213" i="17"/>
  <c r="AV675" i="7"/>
  <c r="AK811" i="7"/>
  <c r="AK169" i="7"/>
  <c r="I737" i="7"/>
  <c r="J734" i="7"/>
  <c r="J737" i="7"/>
  <c r="K734" i="7"/>
  <c r="L83" i="1"/>
  <c r="N83" i="1"/>
  <c r="T213" i="4"/>
  <c r="AA675" i="7"/>
  <c r="AV731" i="7"/>
  <c r="AY521" i="7"/>
  <c r="AM731" i="7"/>
  <c r="BA443" i="7"/>
  <c r="I229" i="7"/>
  <c r="N731" i="7"/>
  <c r="K268" i="7"/>
  <c r="K277" i="7"/>
  <c r="AP675" i="7"/>
  <c r="AK675" i="7"/>
  <c r="AY597" i="7"/>
  <c r="AF731" i="7"/>
  <c r="AR521" i="7"/>
  <c r="AO731" i="7"/>
  <c r="AL675" i="7"/>
  <c r="H731" i="7"/>
  <c r="BD521" i="7"/>
  <c r="AS731" i="7"/>
  <c r="AD839" i="7"/>
  <c r="AD261" i="7"/>
  <c r="AH675" i="7"/>
  <c r="AG633" i="7"/>
  <c r="AQ675" i="7"/>
  <c r="BE367" i="7"/>
  <c r="AJ521" i="7"/>
  <c r="AJ731" i="7"/>
  <c r="AU458" i="7"/>
  <c r="AU479" i="7"/>
  <c r="AU500" i="7"/>
  <c r="AU141" i="7"/>
  <c r="BC675" i="7"/>
  <c r="AN654" i="7"/>
  <c r="N675" i="7"/>
  <c r="AT731" i="7"/>
  <c r="AM458" i="7"/>
  <c r="K458" i="7"/>
  <c r="O731" i="7"/>
  <c r="AR731" i="7"/>
  <c r="AO675" i="7"/>
  <c r="V731" i="7"/>
  <c r="BD731" i="7"/>
  <c r="W731" i="7"/>
  <c r="AX675" i="7"/>
  <c r="AB654" i="7"/>
  <c r="BA633" i="7"/>
  <c r="AY458" i="7"/>
  <c r="AY479" i="7"/>
  <c r="AY500" i="7"/>
  <c r="AY141" i="7"/>
  <c r="AZ731" i="7"/>
  <c r="BA811" i="7"/>
  <c r="BA169" i="7"/>
  <c r="BA219" i="7"/>
  <c r="AL731" i="7"/>
  <c r="AZ521" i="7"/>
  <c r="AQ839" i="7"/>
  <c r="AQ261" i="7"/>
  <c r="R731" i="7"/>
  <c r="BA675" i="7"/>
  <c r="O367" i="7"/>
  <c r="AO654" i="7"/>
  <c r="AH458" i="7"/>
  <c r="AB169" i="7"/>
  <c r="AB731" i="7"/>
  <c r="BD265" i="7"/>
  <c r="R825" i="7"/>
  <c r="R216" i="7"/>
  <c r="AS710" i="7"/>
  <c r="I731" i="7"/>
  <c r="BC731" i="7"/>
  <c r="AZ654" i="7"/>
  <c r="AE675" i="7"/>
  <c r="AY367" i="7"/>
  <c r="J731" i="7"/>
  <c r="AD633" i="7"/>
  <c r="X576" i="7"/>
  <c r="X176" i="7"/>
  <c r="X185" i="7"/>
  <c r="AN731" i="7"/>
  <c r="X633" i="7"/>
  <c r="AM223" i="7"/>
  <c r="AM232" i="7"/>
  <c r="Z654" i="7"/>
  <c r="BB731" i="7"/>
  <c r="BE731" i="7"/>
  <c r="Z458" i="7"/>
  <c r="AY654" i="7"/>
  <c r="AE633" i="7"/>
  <c r="AY731" i="7"/>
  <c r="AZ443" i="7"/>
  <c r="T351" i="7"/>
  <c r="BA479" i="7"/>
  <c r="AM633" i="7"/>
  <c r="L731" i="7"/>
  <c r="U731" i="7"/>
  <c r="Q731" i="7"/>
  <c r="M731" i="7"/>
  <c r="Z731" i="7"/>
  <c r="AK731" i="7"/>
  <c r="Y675" i="7"/>
  <c r="AH731" i="7"/>
  <c r="AH689" i="7"/>
  <c r="AH710" i="7"/>
  <c r="AH278" i="7"/>
  <c r="O710" i="7"/>
  <c r="AQ731" i="7"/>
  <c r="AQ689" i="7"/>
  <c r="AQ710" i="7"/>
  <c r="AQ278" i="7"/>
  <c r="AD731" i="7"/>
  <c r="X731" i="7"/>
  <c r="AR654" i="7"/>
  <c r="AG458" i="7"/>
  <c r="AD675" i="7"/>
  <c r="BD458" i="7"/>
  <c r="AV521" i="7"/>
  <c r="AZ675" i="7"/>
  <c r="Y633" i="7"/>
  <c r="AW675" i="7"/>
  <c r="D199" i="8"/>
  <c r="G212" i="4"/>
  <c r="G214" i="4"/>
  <c r="H211" i="4"/>
  <c r="D202" i="8"/>
  <c r="S271" i="17"/>
  <c r="S77" i="17"/>
  <c r="R77" i="17"/>
  <c r="U76" i="17"/>
  <c r="W581" i="7"/>
  <c r="V633" i="7"/>
  <c r="AJ500" i="7"/>
  <c r="AH443" i="7"/>
  <c r="AO521" i="7"/>
  <c r="AI576" i="7"/>
  <c r="AC633" i="7"/>
  <c r="AQ500" i="7"/>
  <c r="AX458" i="7"/>
  <c r="AI633" i="7"/>
  <c r="AN176" i="7"/>
  <c r="AN185" i="7"/>
  <c r="AW654" i="7"/>
  <c r="AX654" i="7"/>
  <c r="AE811" i="7"/>
  <c r="AE169" i="7"/>
  <c r="AX633" i="7"/>
  <c r="AE654" i="7"/>
  <c r="BA797" i="7"/>
  <c r="BA124" i="7"/>
  <c r="BE521" i="7"/>
  <c r="AK576" i="7"/>
  <c r="Z710" i="7"/>
  <c r="Z689" i="7"/>
  <c r="Z278" i="7"/>
  <c r="AN633" i="7"/>
  <c r="Z811" i="7"/>
  <c r="Z169" i="7"/>
  <c r="AT367" i="7"/>
  <c r="AV797" i="7"/>
  <c r="AV124" i="7"/>
  <c r="S576" i="7"/>
  <c r="AN443" i="7"/>
  <c r="R633" i="7"/>
  <c r="AU797" i="7"/>
  <c r="AU124" i="7"/>
  <c r="AQ443" i="7"/>
  <c r="U710" i="7"/>
  <c r="AT443" i="7"/>
  <c r="AV633" i="7"/>
  <c r="AT675" i="7"/>
  <c r="AZ839" i="7"/>
  <c r="AZ261" i="7"/>
  <c r="AI675" i="7"/>
  <c r="AY443" i="7"/>
  <c r="AL654" i="7"/>
  <c r="AI797" i="7"/>
  <c r="AI124" i="7"/>
  <c r="AS521" i="7"/>
  <c r="W675" i="7"/>
  <c r="AO479" i="7"/>
  <c r="AZ479" i="7"/>
  <c r="BD654" i="7"/>
  <c r="BE458" i="7"/>
  <c r="AH654" i="7"/>
  <c r="BC443" i="7"/>
  <c r="AG654" i="7"/>
  <c r="Z597" i="7"/>
  <c r="BE675" i="7"/>
  <c r="BE443" i="7"/>
  <c r="AC654" i="7"/>
  <c r="AM811" i="7"/>
  <c r="AM169" i="7"/>
  <c r="AK521" i="7"/>
  <c r="N576" i="7"/>
  <c r="AQ458" i="7"/>
  <c r="AQ479" i="7"/>
  <c r="AQ141" i="7"/>
  <c r="AP654" i="7"/>
  <c r="AO458" i="7"/>
  <c r="U633" i="7"/>
  <c r="BA654" i="7"/>
  <c r="Q223" i="7"/>
  <c r="Q232" i="7"/>
  <c r="AV219" i="7"/>
  <c r="BB479" i="7"/>
  <c r="BB458" i="7"/>
  <c r="BB500" i="7"/>
  <c r="BB141" i="7"/>
  <c r="AP633" i="7"/>
  <c r="BD597" i="7"/>
  <c r="U479" i="7"/>
  <c r="AG223" i="7"/>
  <c r="AG232" i="7"/>
  <c r="AG675" i="7"/>
  <c r="G769" i="7"/>
  <c r="AH367" i="7"/>
  <c r="AU169" i="7"/>
  <c r="AR443" i="7"/>
  <c r="AZ458" i="7"/>
  <c r="P479" i="7"/>
  <c r="AD479" i="7"/>
  <c r="AF458" i="7"/>
  <c r="R710" i="7"/>
  <c r="AX576" i="7"/>
  <c r="AS633" i="7"/>
  <c r="AF633" i="7"/>
  <c r="AE479" i="7"/>
  <c r="AT654" i="7"/>
  <c r="AW633" i="7"/>
  <c r="W633" i="7"/>
  <c r="AA633" i="7"/>
  <c r="AJ633" i="7"/>
  <c r="AQ576" i="7"/>
  <c r="X654" i="7"/>
  <c r="AG710" i="7"/>
  <c r="BB633" i="7"/>
  <c r="AO127" i="7"/>
  <c r="BB654" i="7"/>
  <c r="R427" i="7"/>
  <c r="T576" i="7"/>
  <c r="BB521" i="7"/>
  <c r="AM521" i="7"/>
  <c r="H131" i="7"/>
  <c r="H140" i="7"/>
  <c r="AB521" i="7"/>
  <c r="BD443" i="7"/>
  <c r="AU131" i="7"/>
  <c r="AU140" i="7"/>
  <c r="AU521" i="7"/>
  <c r="AI131" i="7"/>
  <c r="AI140" i="7"/>
  <c r="AI521" i="7"/>
  <c r="H797" i="7"/>
  <c r="H124" i="7"/>
  <c r="AP521" i="7"/>
  <c r="G350" i="7"/>
  <c r="G352" i="7"/>
  <c r="H349" i="7"/>
  <c r="S443" i="7"/>
  <c r="AS443" i="7"/>
  <c r="AX825" i="7"/>
  <c r="AX216" i="7"/>
  <c r="BD367" i="7"/>
  <c r="AQ268" i="7"/>
  <c r="AQ277" i="7"/>
  <c r="AO633" i="7"/>
  <c r="AR576" i="7"/>
  <c r="AU367" i="7"/>
  <c r="AC597" i="7"/>
  <c r="BD633" i="7"/>
  <c r="AI443" i="7"/>
  <c r="AJ169" i="7"/>
  <c r="Z521" i="7"/>
  <c r="AJ479" i="7"/>
  <c r="AL443" i="7"/>
  <c r="AM443" i="7"/>
  <c r="AN131" i="7"/>
  <c r="AN140" i="7"/>
  <c r="AN521" i="7"/>
  <c r="AE458" i="7"/>
  <c r="I633" i="7"/>
  <c r="H660" i="7"/>
  <c r="I657" i="7"/>
  <c r="I659" i="7"/>
  <c r="I660" i="7"/>
  <c r="L169" i="7"/>
  <c r="AU633" i="7"/>
  <c r="AQ797" i="7"/>
  <c r="AQ124" i="7"/>
  <c r="AG576" i="7"/>
  <c r="BD576" i="7"/>
  <c r="BC633" i="7"/>
  <c r="AB458" i="7"/>
  <c r="O169" i="7"/>
  <c r="AR710" i="7"/>
  <c r="T839" i="7"/>
  <c r="T261" i="7"/>
  <c r="J219" i="7"/>
  <c r="AW710" i="7"/>
  <c r="AV654" i="7"/>
  <c r="AL576" i="7"/>
  <c r="L458" i="7"/>
  <c r="AX597" i="7"/>
  <c r="BC458" i="7"/>
  <c r="AN458" i="7"/>
  <c r="AV458" i="7"/>
  <c r="AT479" i="7"/>
  <c r="N839" i="7"/>
  <c r="N261" i="7"/>
  <c r="AL169" i="7"/>
  <c r="AL633" i="7"/>
  <c r="P499" i="7"/>
  <c r="P505" i="7"/>
  <c r="P127" i="7"/>
  <c r="L176" i="7"/>
  <c r="L185" i="7"/>
  <c r="AO443" i="7"/>
  <c r="X498" i="7"/>
  <c r="X128" i="7"/>
  <c r="AP479" i="7"/>
  <c r="AS500" i="7"/>
  <c r="AS458" i="7"/>
  <c r="AS479" i="7"/>
  <c r="AS141" i="7"/>
  <c r="Y479" i="7"/>
  <c r="AF839" i="7"/>
  <c r="AF261" i="7"/>
  <c r="AO218" i="7"/>
  <c r="AP500" i="7"/>
  <c r="AC576" i="7"/>
  <c r="BB576" i="7"/>
  <c r="S710" i="7"/>
  <c r="AK443" i="7"/>
  <c r="P458" i="7"/>
  <c r="AG124" i="7"/>
  <c r="AY576" i="7"/>
  <c r="AJ576" i="7"/>
  <c r="AP173" i="7"/>
  <c r="K173" i="7"/>
  <c r="Y710" i="7"/>
  <c r="AC443" i="7"/>
  <c r="AT173" i="7"/>
  <c r="AK367" i="7"/>
  <c r="AN173" i="7"/>
  <c r="P710" i="7"/>
  <c r="M811" i="7"/>
  <c r="M169" i="7"/>
  <c r="BE710" i="7"/>
  <c r="Z825" i="7"/>
  <c r="Z216" i="7"/>
  <c r="K710" i="7"/>
  <c r="AT710" i="7"/>
  <c r="AU576" i="7"/>
  <c r="V576" i="7"/>
  <c r="AW367" i="7"/>
  <c r="AA710" i="7"/>
  <c r="AA689" i="7"/>
  <c r="AA278" i="7"/>
  <c r="V710" i="7"/>
  <c r="I367" i="7"/>
  <c r="AW797" i="7"/>
  <c r="AW124" i="7"/>
  <c r="AP367" i="7"/>
  <c r="W710" i="7"/>
  <c r="AZ576" i="7"/>
  <c r="H716" i="7"/>
  <c r="I713" i="7"/>
  <c r="I716" i="7"/>
  <c r="J713" i="7"/>
  <c r="J716" i="7"/>
  <c r="K713" i="7"/>
  <c r="K716" i="7"/>
  <c r="L713" i="7"/>
  <c r="L716" i="7"/>
  <c r="M713" i="7"/>
  <c r="M715" i="7"/>
  <c r="M716" i="7"/>
  <c r="N713" i="7"/>
  <c r="BA825" i="7"/>
  <c r="BA216" i="7"/>
  <c r="BA576" i="7"/>
  <c r="AF576" i="7"/>
  <c r="AS576" i="7"/>
  <c r="BB710" i="7"/>
  <c r="AS367" i="7"/>
  <c r="AF367" i="7"/>
  <c r="Z268" i="7"/>
  <c r="Z277" i="7"/>
  <c r="Z752" i="7"/>
  <c r="J752" i="7"/>
  <c r="V427" i="7"/>
  <c r="Q427" i="7"/>
  <c r="AL126" i="7"/>
  <c r="BE752" i="7"/>
  <c r="Y825" i="7"/>
  <c r="Y216" i="7"/>
  <c r="T427" i="7"/>
  <c r="Z479" i="7"/>
  <c r="Z220" i="7"/>
  <c r="BD479" i="7"/>
  <c r="BD500" i="7"/>
  <c r="BD141" i="7"/>
  <c r="I710" i="7"/>
  <c r="AP710" i="7"/>
  <c r="L710" i="7"/>
  <c r="O654" i="7"/>
  <c r="W443" i="7"/>
  <c r="AW479" i="7"/>
  <c r="AT500" i="7"/>
  <c r="AG839" i="7"/>
  <c r="AG261" i="7"/>
  <c r="AD710" i="7"/>
  <c r="BE500" i="7"/>
  <c r="AO500" i="7"/>
  <c r="AL479" i="7"/>
  <c r="AC839" i="7"/>
  <c r="AC261" i="7"/>
  <c r="AO710" i="7"/>
  <c r="W612" i="7"/>
  <c r="AF264" i="7"/>
  <c r="AF710" i="7"/>
  <c r="AU264" i="7"/>
  <c r="AU710" i="7"/>
  <c r="AU689" i="7"/>
  <c r="AU278" i="7"/>
  <c r="U218" i="7"/>
  <c r="AJ458" i="7"/>
  <c r="AD443" i="7"/>
  <c r="I458" i="7"/>
  <c r="O555" i="7"/>
  <c r="AK710" i="7"/>
  <c r="K654" i="7"/>
  <c r="V654" i="7"/>
  <c r="AO128" i="7"/>
  <c r="X825" i="7"/>
  <c r="X216" i="7"/>
  <c r="Q458" i="7"/>
  <c r="H268" i="7"/>
  <c r="H277" i="7"/>
  <c r="Y458" i="7"/>
  <c r="AC710" i="7"/>
  <c r="AV264" i="7"/>
  <c r="AV710" i="7"/>
  <c r="K479" i="7"/>
  <c r="AM479" i="7"/>
  <c r="P654" i="7"/>
  <c r="BC710" i="7"/>
  <c r="BC264" i="7"/>
  <c r="H710" i="7"/>
  <c r="Y797" i="7"/>
  <c r="Y124" i="7"/>
  <c r="O479" i="7"/>
  <c r="N654" i="7"/>
  <c r="T710" i="7"/>
  <c r="AX264" i="7"/>
  <c r="J264" i="7"/>
  <c r="J710" i="7"/>
  <c r="N443" i="7"/>
  <c r="BA264" i="7"/>
  <c r="AE264" i="7"/>
  <c r="AE710" i="7"/>
  <c r="AE689" i="7"/>
  <c r="AE278" i="7"/>
  <c r="AM654" i="7"/>
  <c r="P689" i="7"/>
  <c r="P278" i="7"/>
  <c r="AB264" i="7"/>
  <c r="AB710" i="7"/>
  <c r="AQ264" i="7"/>
  <c r="S825" i="7"/>
  <c r="S216" i="7"/>
  <c r="T124" i="7"/>
  <c r="AI479" i="7"/>
  <c r="AU825" i="7"/>
  <c r="AU216" i="7"/>
  <c r="AP825" i="7"/>
  <c r="AP216" i="7"/>
  <c r="Q479" i="7"/>
  <c r="AJ797" i="7"/>
  <c r="AJ124" i="7"/>
  <c r="L633" i="7"/>
  <c r="BE127" i="7"/>
  <c r="Q498" i="7"/>
  <c r="Q128" i="7"/>
  <c r="AI127" i="7"/>
  <c r="N633" i="7"/>
  <c r="R479" i="7"/>
  <c r="AA521" i="7"/>
  <c r="R839" i="7"/>
  <c r="R261" i="7"/>
  <c r="L498" i="7"/>
  <c r="L128" i="7"/>
  <c r="T479" i="7"/>
  <c r="AL500" i="7"/>
  <c r="H231" i="7"/>
  <c r="X458" i="7"/>
  <c r="AM797" i="7"/>
  <c r="AM124" i="7"/>
  <c r="V797" i="7"/>
  <c r="V124" i="7"/>
  <c r="AE176" i="7"/>
  <c r="AE185" i="7"/>
  <c r="AK500" i="7"/>
  <c r="AN811" i="7"/>
  <c r="AN169" i="7"/>
  <c r="J479" i="7"/>
  <c r="L654" i="7"/>
  <c r="AC458" i="7"/>
  <c r="AB825" i="7"/>
  <c r="AB216" i="7"/>
  <c r="AK825" i="7"/>
  <c r="AK216" i="7"/>
  <c r="AF479" i="7"/>
  <c r="X797" i="7"/>
  <c r="X124" i="7"/>
  <c r="AG479" i="7"/>
  <c r="AA597" i="7"/>
  <c r="BA458" i="7"/>
  <c r="H499" i="7"/>
  <c r="M633" i="7"/>
  <c r="S654" i="7"/>
  <c r="AR479" i="7"/>
  <c r="S479" i="7"/>
  <c r="K555" i="7"/>
  <c r="AK654" i="7"/>
  <c r="T654" i="7"/>
  <c r="AX479" i="7"/>
  <c r="AC124" i="7"/>
  <c r="H267" i="7"/>
  <c r="H276" i="7"/>
  <c r="V367" i="7"/>
  <c r="AI839" i="7"/>
  <c r="AI261" i="7"/>
  <c r="AB797" i="7"/>
  <c r="AB124" i="7"/>
  <c r="S797" i="7"/>
  <c r="S124" i="7"/>
  <c r="Y689" i="7"/>
  <c r="I176" i="7"/>
  <c r="I185" i="7"/>
  <c r="I597" i="7"/>
  <c r="AR176" i="7"/>
  <c r="AR185" i="7"/>
  <c r="AR597" i="7"/>
  <c r="AQ654" i="7"/>
  <c r="H458" i="7"/>
  <c r="AO367" i="7"/>
  <c r="G308" i="7"/>
  <c r="G310" i="7"/>
  <c r="H307" i="7"/>
  <c r="H310" i="7"/>
  <c r="I307" i="7"/>
  <c r="I310" i="7"/>
  <c r="J307" i="7"/>
  <c r="J310" i="7"/>
  <c r="K307" i="7"/>
  <c r="K310" i="7"/>
  <c r="L307" i="7"/>
  <c r="J597" i="7"/>
  <c r="J176" i="7"/>
  <c r="J185" i="7"/>
  <c r="AO176" i="7"/>
  <c r="AO185" i="7"/>
  <c r="AO597" i="7"/>
  <c r="AU597" i="7"/>
  <c r="AU176" i="7"/>
  <c r="AU185" i="7"/>
  <c r="K694" i="7"/>
  <c r="K689" i="7"/>
  <c r="AL172" i="7"/>
  <c r="G329" i="7"/>
  <c r="G331" i="7"/>
  <c r="H328" i="7"/>
  <c r="T633" i="7"/>
  <c r="S675" i="7"/>
  <c r="AN367" i="7"/>
  <c r="J367" i="7"/>
  <c r="Z675" i="7"/>
  <c r="N176" i="7"/>
  <c r="N597" i="7"/>
  <c r="V597" i="7"/>
  <c r="V176" i="7"/>
  <c r="V185" i="7"/>
  <c r="K176" i="7"/>
  <c r="K185" i="7"/>
  <c r="K597" i="7"/>
  <c r="AK458" i="7"/>
  <c r="O825" i="7"/>
  <c r="O216" i="7"/>
  <c r="R367" i="7"/>
  <c r="AZ367" i="7"/>
  <c r="AC223" i="7"/>
  <c r="AC232" i="7"/>
  <c r="AC675" i="7"/>
  <c r="AG597" i="7"/>
  <c r="AG176" i="7"/>
  <c r="AG185" i="7"/>
  <c r="AK176" i="7"/>
  <c r="AK185" i="7"/>
  <c r="AK597" i="7"/>
  <c r="AQ597" i="7"/>
  <c r="AQ176" i="7"/>
  <c r="AQ185" i="7"/>
  <c r="U597" i="7"/>
  <c r="U176" i="7"/>
  <c r="U185" i="7"/>
  <c r="AH479" i="7"/>
  <c r="AH500" i="7"/>
  <c r="AH141" i="7"/>
  <c r="Q654" i="7"/>
  <c r="AX367" i="7"/>
  <c r="Y597" i="7"/>
  <c r="Y176" i="7"/>
  <c r="Y185" i="7"/>
  <c r="R176" i="7"/>
  <c r="R185" i="7"/>
  <c r="R597" i="7"/>
  <c r="AM597" i="7"/>
  <c r="AM176" i="7"/>
  <c r="AM185" i="7"/>
  <c r="AJ597" i="7"/>
  <c r="BA597" i="7"/>
  <c r="BA176" i="7"/>
  <c r="BA185" i="7"/>
  <c r="AJ825" i="7"/>
  <c r="AJ216" i="7"/>
  <c r="J498" i="7"/>
  <c r="J128" i="7"/>
  <c r="P498" i="7"/>
  <c r="P128" i="7"/>
  <c r="S689" i="7"/>
  <c r="Y367" i="7"/>
  <c r="BE597" i="7"/>
  <c r="BE176" i="7"/>
  <c r="BE185" i="7"/>
  <c r="Q176" i="7"/>
  <c r="Q597" i="7"/>
  <c r="AH597" i="7"/>
  <c r="AH176" i="7"/>
  <c r="AH185" i="7"/>
  <c r="I172" i="7"/>
  <c r="P597" i="7"/>
  <c r="P176" i="7"/>
  <c r="P185" i="7"/>
  <c r="Z271" i="4"/>
  <c r="AX500" i="7"/>
  <c r="O633" i="7"/>
  <c r="I499" i="7"/>
  <c r="I505" i="7"/>
  <c r="AS597" i="7"/>
  <c r="BC597" i="7"/>
  <c r="O597" i="7"/>
  <c r="H271" i="17"/>
  <c r="G175" i="17"/>
  <c r="AL597" i="7"/>
  <c r="AL176" i="7"/>
  <c r="AI176" i="7"/>
  <c r="AI185" i="7"/>
  <c r="AI597" i="7"/>
  <c r="T597" i="7"/>
  <c r="T176" i="7"/>
  <c r="T185" i="7"/>
  <c r="AW176" i="7"/>
  <c r="AW185" i="7"/>
  <c r="AW597" i="7"/>
  <c r="S597" i="7"/>
  <c r="T102" i="8"/>
  <c r="AP597" i="7"/>
  <c r="AP176" i="7"/>
  <c r="AP185" i="7"/>
  <c r="K612" i="7"/>
  <c r="H479" i="7"/>
  <c r="P223" i="7"/>
  <c r="P232" i="7"/>
  <c r="P675" i="7"/>
  <c r="AV597" i="7"/>
  <c r="M597" i="7"/>
  <c r="M176" i="7"/>
  <c r="M185" i="7"/>
  <c r="AD176" i="7"/>
  <c r="AD185" i="7"/>
  <c r="AD597" i="7"/>
  <c r="Z76" i="17"/>
  <c r="AB597" i="7"/>
  <c r="AB176" i="7"/>
  <c r="R271" i="17"/>
  <c r="Y271" i="17"/>
  <c r="X271" i="17"/>
  <c r="N825" i="7"/>
  <c r="N216" i="7"/>
  <c r="AA443" i="7"/>
  <c r="R463" i="7"/>
  <c r="R458" i="7"/>
  <c r="S218" i="7"/>
  <c r="G405" i="7"/>
  <c r="G407" i="7"/>
  <c r="H404" i="7"/>
  <c r="U498" i="7"/>
  <c r="U128" i="7"/>
  <c r="Z498" i="7"/>
  <c r="O498" i="7"/>
  <c r="K499" i="7"/>
  <c r="K505" i="7"/>
  <c r="K498" i="7"/>
  <c r="K128" i="7"/>
  <c r="J499" i="7"/>
  <c r="J505" i="7"/>
  <c r="T498" i="7"/>
  <c r="X499" i="7"/>
  <c r="X505" i="7"/>
  <c r="R498" i="7"/>
  <c r="R128" i="7"/>
  <c r="N499" i="7"/>
  <c r="N505" i="7"/>
  <c r="I498" i="7"/>
  <c r="Z499" i="7"/>
  <c r="Z505" i="7"/>
  <c r="O499" i="7"/>
  <c r="O505" i="7"/>
  <c r="W498" i="7"/>
  <c r="M499" i="7"/>
  <c r="M505" i="7"/>
  <c r="N498" i="7"/>
  <c r="H498" i="7"/>
  <c r="H128" i="7"/>
  <c r="Y499" i="7"/>
  <c r="S499" i="7"/>
  <c r="S505" i="7"/>
  <c r="T499" i="7"/>
  <c r="T505" i="7"/>
  <c r="M498" i="7"/>
  <c r="M128" i="7"/>
  <c r="V499" i="7"/>
  <c r="V500" i="7"/>
  <c r="AA498" i="7"/>
  <c r="AA128" i="7"/>
  <c r="U499" i="7"/>
  <c r="U505" i="7"/>
  <c r="R752" i="7"/>
  <c r="R268" i="7"/>
  <c r="R277" i="7"/>
  <c r="V268" i="7"/>
  <c r="V277" i="7"/>
  <c r="V752" i="7"/>
  <c r="AU268" i="7"/>
  <c r="AU277" i="7"/>
  <c r="AU752" i="7"/>
  <c r="BC752" i="7"/>
  <c r="BC268" i="7"/>
  <c r="AB268" i="7"/>
  <c r="AB277" i="7"/>
  <c r="AB752" i="7"/>
  <c r="AJ752" i="7"/>
  <c r="AJ268" i="7"/>
  <c r="AJ277" i="7"/>
  <c r="AB276" i="7"/>
  <c r="AB694" i="7"/>
  <c r="AL694" i="7"/>
  <c r="AL689" i="7"/>
  <c r="BD263" i="7"/>
  <c r="BD689" i="7"/>
  <c r="Z172" i="7"/>
  <c r="U172" i="7"/>
  <c r="AN172" i="7"/>
  <c r="AN555" i="7"/>
  <c r="BC172" i="7"/>
  <c r="Q638" i="7"/>
  <c r="Q633" i="7"/>
  <c r="I654" i="7"/>
  <c r="W276" i="7"/>
  <c r="AB351" i="7"/>
  <c r="W484" i="7"/>
  <c r="W479" i="7"/>
  <c r="AN500" i="7"/>
  <c r="BD505" i="7"/>
  <c r="Z638" i="7"/>
  <c r="Z633" i="7"/>
  <c r="AJ223" i="7"/>
  <c r="AJ232" i="7"/>
  <c r="AJ675" i="7"/>
  <c r="AU654" i="7"/>
  <c r="AU220" i="7"/>
  <c r="J220" i="7"/>
  <c r="AC351" i="7"/>
  <c r="X351" i="7"/>
  <c r="AA271" i="17"/>
  <c r="K271" i="17"/>
  <c r="I797" i="7"/>
  <c r="I124" i="7"/>
  <c r="AJ443" i="7"/>
  <c r="AR223" i="7"/>
  <c r="AR232" i="7"/>
  <c r="AR675" i="7"/>
  <c r="Z271" i="17"/>
  <c r="J271" i="17"/>
  <c r="W263" i="7"/>
  <c r="W689" i="7"/>
  <c r="W278" i="7"/>
  <c r="BC263" i="7"/>
  <c r="AF263" i="7"/>
  <c r="AF689" i="7"/>
  <c r="AY172" i="7"/>
  <c r="AY555" i="7"/>
  <c r="AX172" i="7"/>
  <c r="AX555" i="7"/>
  <c r="BA172" i="7"/>
  <c r="BA555" i="7"/>
  <c r="BE172" i="7"/>
  <c r="AD268" i="7"/>
  <c r="AD752" i="7"/>
  <c r="AL268" i="7"/>
  <c r="AL277" i="7"/>
  <c r="AL752" i="7"/>
  <c r="AZ752" i="7"/>
  <c r="AZ268" i="7"/>
  <c r="AZ277" i="7"/>
  <c r="AN268" i="7"/>
  <c r="AN277" i="7"/>
  <c r="AN752" i="7"/>
  <c r="X223" i="7"/>
  <c r="X232" i="7"/>
  <c r="X675" i="7"/>
  <c r="X77" i="17"/>
  <c r="R263" i="7"/>
  <c r="R689" i="7"/>
  <c r="R278" i="7"/>
  <c r="AM263" i="7"/>
  <c r="AM689" i="7"/>
  <c r="AA263" i="7"/>
  <c r="AY263" i="7"/>
  <c r="AW263" i="7"/>
  <c r="AW689" i="7"/>
  <c r="AE172" i="7"/>
  <c r="AE555" i="7"/>
  <c r="AG172" i="7"/>
  <c r="AG555" i="7"/>
  <c r="W172" i="7"/>
  <c r="W555" i="7"/>
  <c r="AW268" i="7"/>
  <c r="AW752" i="7"/>
  <c r="AO752" i="7"/>
  <c r="AO268" i="7"/>
  <c r="AO277" i="7"/>
  <c r="O752" i="7"/>
  <c r="O268" i="7"/>
  <c r="O277" i="7"/>
  <c r="W268" i="7"/>
  <c r="W277" i="7"/>
  <c r="W752" i="7"/>
  <c r="AC268" i="7"/>
  <c r="BA268" i="7"/>
  <c r="BA277" i="7"/>
  <c r="BA752" i="7"/>
  <c r="BE839" i="7"/>
  <c r="BE261" i="7"/>
  <c r="O223" i="7"/>
  <c r="O232" i="7"/>
  <c r="O675" i="7"/>
  <c r="V271" i="17"/>
  <c r="I271" i="17"/>
  <c r="P268" i="7"/>
  <c r="P277" i="7"/>
  <c r="P752" i="7"/>
  <c r="BB263" i="7"/>
  <c r="BB689" i="7"/>
  <c r="BB278" i="7"/>
  <c r="AC689" i="7"/>
  <c r="AC263" i="7"/>
  <c r="AD263" i="7"/>
  <c r="AD689" i="7"/>
  <c r="AI263" i="7"/>
  <c r="AI689" i="7"/>
  <c r="AD555" i="7"/>
  <c r="AD172" i="7"/>
  <c r="AS172" i="7"/>
  <c r="AW172" i="7"/>
  <c r="AW555" i="7"/>
  <c r="AX752" i="7"/>
  <c r="AX268" i="7"/>
  <c r="Q268" i="7"/>
  <c r="Q277" i="7"/>
  <c r="AR752" i="7"/>
  <c r="AR268" i="7"/>
  <c r="M268" i="7"/>
  <c r="M277" i="7"/>
  <c r="M752" i="7"/>
  <c r="N77" i="17"/>
  <c r="K443" i="7"/>
  <c r="AB223" i="7"/>
  <c r="AB232" i="7"/>
  <c r="AB675" i="7"/>
  <c r="R76" i="17"/>
  <c r="T271" i="17"/>
  <c r="P271" i="17"/>
  <c r="AK263" i="7"/>
  <c r="AK689" i="7"/>
  <c r="X263" i="7"/>
  <c r="X689" i="7"/>
  <c r="X710" i="7"/>
  <c r="X278" i="7"/>
  <c r="Z263" i="7"/>
  <c r="S560" i="7"/>
  <c r="S555" i="7"/>
  <c r="AZ172" i="7"/>
  <c r="AZ555" i="7"/>
  <c r="V172" i="7"/>
  <c r="BB172" i="7"/>
  <c r="BB555" i="7"/>
  <c r="AM560" i="7"/>
  <c r="AM555" i="7"/>
  <c r="AR172" i="7"/>
  <c r="AA172" i="7"/>
  <c r="AA555" i="7"/>
  <c r="AR689" i="7"/>
  <c r="AI268" i="7"/>
  <c r="AM268" i="7"/>
  <c r="AM752" i="7"/>
  <c r="AH268" i="7"/>
  <c r="AH752" i="7"/>
  <c r="BD752" i="7"/>
  <c r="BD268" i="7"/>
  <c r="BD277" i="7"/>
  <c r="R223" i="7"/>
  <c r="R232" i="7"/>
  <c r="R675" i="7"/>
  <c r="AN223" i="7"/>
  <c r="AN232" i="7"/>
  <c r="AN675" i="7"/>
  <c r="Q271" i="4"/>
  <c r="W271" i="17"/>
  <c r="Q271" i="17"/>
  <c r="AJ263" i="7"/>
  <c r="AJ689" i="7"/>
  <c r="AX263" i="7"/>
  <c r="BA263" i="7"/>
  <c r="BA689" i="7"/>
  <c r="AU263" i="7"/>
  <c r="T172" i="7"/>
  <c r="T555" i="7"/>
  <c r="AQ172" i="7"/>
  <c r="AQ555" i="7"/>
  <c r="AU172" i="7"/>
  <c r="AU555" i="7"/>
  <c r="P172" i="7"/>
  <c r="P555" i="7"/>
  <c r="AF268" i="7"/>
  <c r="AF277" i="7"/>
  <c r="AF752" i="7"/>
  <c r="X752" i="7"/>
  <c r="X268" i="7"/>
  <c r="X277" i="7"/>
  <c r="S268" i="7"/>
  <c r="S752" i="7"/>
  <c r="AP268" i="7"/>
  <c r="AP752" i="7"/>
  <c r="N752" i="7"/>
  <c r="N268" i="7"/>
  <c r="N277" i="7"/>
  <c r="AB443" i="7"/>
  <c r="U271" i="17"/>
  <c r="M271" i="17"/>
  <c r="AH263" i="7"/>
  <c r="T694" i="7"/>
  <c r="T689" i="7"/>
  <c r="AV263" i="7"/>
  <c r="AO263" i="7"/>
  <c r="AO689" i="7"/>
  <c r="AO278" i="7"/>
  <c r="AH172" i="7"/>
  <c r="AH555" i="7"/>
  <c r="AK268" i="7"/>
  <c r="AK752" i="7"/>
  <c r="U268" i="7"/>
  <c r="U277" i="7"/>
  <c r="U752" i="7"/>
  <c r="AY752" i="7"/>
  <c r="AY268" i="7"/>
  <c r="AY277" i="7"/>
  <c r="AA752" i="7"/>
  <c r="AA268" i="7"/>
  <c r="AT752" i="7"/>
  <c r="AT268" i="7"/>
  <c r="AT277" i="7"/>
  <c r="V223" i="7"/>
  <c r="V232" i="7"/>
  <c r="V675" i="7"/>
  <c r="AF223" i="7"/>
  <c r="AF232" i="7"/>
  <c r="AF675" i="7"/>
  <c r="O271" i="17"/>
  <c r="L271" i="17"/>
  <c r="S103" i="8"/>
  <c r="J263" i="7"/>
  <c r="J689" i="7"/>
  <c r="AG263" i="7"/>
  <c r="AE263" i="7"/>
  <c r="AP263" i="7"/>
  <c r="AP689" i="7"/>
  <c r="BE263" i="7"/>
  <c r="BE689" i="7"/>
  <c r="AZ263" i="7"/>
  <c r="AZ689" i="7"/>
  <c r="H694" i="7"/>
  <c r="H689" i="7"/>
  <c r="H278" i="7"/>
  <c r="AQ263" i="7"/>
  <c r="AN263" i="7"/>
  <c r="AN689" i="7"/>
  <c r="AP172" i="7"/>
  <c r="AP555" i="7"/>
  <c r="AC172" i="7"/>
  <c r="AC555" i="7"/>
  <c r="X172" i="7"/>
  <c r="X555" i="7"/>
  <c r="AF555" i="7"/>
  <c r="AJ555" i="7"/>
  <c r="AJ172" i="7"/>
  <c r="Y172" i="7"/>
  <c r="Y555" i="7"/>
  <c r="AV172" i="7"/>
  <c r="AV555" i="7"/>
  <c r="T752" i="7"/>
  <c r="T268" i="7"/>
  <c r="T277" i="7"/>
  <c r="I752" i="7"/>
  <c r="AV752" i="7"/>
  <c r="AV268" i="7"/>
  <c r="AE752" i="7"/>
  <c r="AE277" i="7"/>
  <c r="L797" i="7"/>
  <c r="L124" i="7"/>
  <c r="Q797" i="7"/>
  <c r="Q124" i="7"/>
  <c r="R499" i="7"/>
  <c r="Q499" i="7"/>
  <c r="X131" i="7"/>
  <c r="X140" i="7"/>
  <c r="X521" i="7"/>
  <c r="W499" i="7"/>
  <c r="W505" i="7"/>
  <c r="H488" i="7"/>
  <c r="V131" i="7"/>
  <c r="V140" i="7"/>
  <c r="V521" i="7"/>
  <c r="M797" i="7"/>
  <c r="M124" i="7"/>
  <c r="H509" i="7"/>
  <c r="L499" i="7"/>
  <c r="L505" i="7"/>
  <c r="S498" i="7"/>
  <c r="Y498" i="7"/>
  <c r="Y128" i="7"/>
  <c r="G504" i="7"/>
  <c r="G506" i="7"/>
  <c r="H503" i="7"/>
  <c r="AA499" i="7"/>
  <c r="AA505" i="7"/>
  <c r="J443" i="7"/>
  <c r="AE131" i="7"/>
  <c r="AE140" i="7"/>
  <c r="AE521" i="7"/>
  <c r="I479" i="7"/>
  <c r="K126" i="7"/>
  <c r="T131" i="7"/>
  <c r="T140" i="7"/>
  <c r="T521" i="7"/>
  <c r="I223" i="7"/>
  <c r="I232" i="7"/>
  <c r="AC500" i="7"/>
  <c r="M223" i="7"/>
  <c r="M232" i="7"/>
  <c r="M675" i="7"/>
  <c r="K223" i="7"/>
  <c r="K232" i="7"/>
  <c r="K675" i="7"/>
  <c r="O443" i="7"/>
  <c r="N479" i="7"/>
  <c r="N484" i="7"/>
  <c r="M479" i="7"/>
  <c r="N45" i="1"/>
  <c r="N45" i="16"/>
  <c r="I131" i="7"/>
  <c r="I521" i="7"/>
  <c r="R521" i="7"/>
  <c r="AH131" i="7"/>
  <c r="AH140" i="7"/>
  <c r="AH521" i="7"/>
  <c r="I612" i="7"/>
  <c r="J131" i="7"/>
  <c r="J140" i="7"/>
  <c r="J521" i="7"/>
  <c r="Q131" i="7"/>
  <c r="Q521" i="7"/>
  <c r="N131" i="7"/>
  <c r="N140" i="7"/>
  <c r="AD131" i="7"/>
  <c r="AD521" i="7"/>
  <c r="P131" i="7"/>
  <c r="P140" i="7"/>
  <c r="H612" i="7"/>
  <c r="U131" i="7"/>
  <c r="U521" i="7"/>
  <c r="AB128" i="7"/>
  <c r="K131" i="7"/>
  <c r="K521" i="7"/>
  <c r="AE500" i="7"/>
  <c r="AE128" i="7"/>
  <c r="M612" i="7"/>
  <c r="L131" i="7"/>
  <c r="L140" i="7"/>
  <c r="L521" i="7"/>
  <c r="AF131" i="7"/>
  <c r="AF140" i="7"/>
  <c r="AF521" i="7"/>
  <c r="O131" i="7"/>
  <c r="O521" i="7"/>
  <c r="AG131" i="7"/>
  <c r="AG140" i="7"/>
  <c r="AG521" i="7"/>
  <c r="L612" i="7"/>
  <c r="L617" i="7"/>
  <c r="N612" i="7"/>
  <c r="N233" i="7"/>
  <c r="N617" i="7"/>
  <c r="M173" i="7"/>
  <c r="AA576" i="7"/>
  <c r="Q576" i="7"/>
  <c r="U576" i="7"/>
  <c r="K576" i="7"/>
  <c r="R576" i="7"/>
  <c r="I576" i="7"/>
  <c r="Z213" i="17"/>
  <c r="Y95" i="17"/>
  <c r="Q213" i="17"/>
  <c r="X213" i="17"/>
  <c r="V278" i="7"/>
  <c r="AO141" i="7"/>
  <c r="BE278" i="7"/>
  <c r="J657" i="7"/>
  <c r="AD278" i="7"/>
  <c r="AR278" i="7"/>
  <c r="AK278" i="7"/>
  <c r="S278" i="7"/>
  <c r="AE141" i="7"/>
  <c r="AX141" i="7"/>
  <c r="AJ141" i="7"/>
  <c r="I233" i="7"/>
  <c r="X500" i="7"/>
  <c r="I500" i="7"/>
  <c r="J278" i="7"/>
  <c r="M500" i="7"/>
  <c r="U500" i="7"/>
  <c r="U458" i="7"/>
  <c r="U141" i="7"/>
  <c r="AF278" i="7"/>
  <c r="I128" i="7"/>
  <c r="J500" i="7"/>
  <c r="L233" i="7"/>
  <c r="AB185" i="7"/>
  <c r="N185" i="7"/>
  <c r="T103" i="8"/>
  <c r="AL185" i="7"/>
  <c r="Q185" i="7"/>
  <c r="L500" i="7"/>
  <c r="AA500" i="7"/>
  <c r="Z77" i="17"/>
  <c r="I277" i="7"/>
  <c r="S277" i="7"/>
  <c r="AM277" i="7"/>
  <c r="AR277" i="7"/>
  <c r="AX277" i="7"/>
  <c r="AC277" i="7"/>
  <c r="AW277" i="7"/>
  <c r="O77" i="17"/>
  <c r="AI277" i="7"/>
  <c r="I77" i="17"/>
  <c r="U77" i="17"/>
  <c r="Q77" i="17"/>
  <c r="P77" i="17"/>
  <c r="V77" i="17"/>
  <c r="AA77" i="17"/>
  <c r="O500" i="7"/>
  <c r="O128" i="7"/>
  <c r="AK277" i="7"/>
  <c r="M77" i="17"/>
  <c r="K77" i="17"/>
  <c r="L77" i="17"/>
  <c r="AA277" i="7"/>
  <c r="W77" i="17"/>
  <c r="T77" i="17"/>
  <c r="J77" i="17"/>
  <c r="BC277" i="7"/>
  <c r="AV277" i="7"/>
  <c r="AP277" i="7"/>
  <c r="AH277" i="7"/>
  <c r="AD277" i="7"/>
  <c r="R505" i="7"/>
  <c r="R500" i="7"/>
  <c r="O140" i="7"/>
  <c r="I140" i="7"/>
  <c r="AD140" i="7"/>
  <c r="Q140" i="7"/>
  <c r="K140" i="7"/>
  <c r="U140" i="7"/>
  <c r="R140" i="7"/>
  <c r="G87" i="4"/>
  <c r="G97" i="4"/>
  <c r="T58" i="17"/>
  <c r="Z58" i="4"/>
  <c r="H58" i="17"/>
  <c r="L82" i="1"/>
  <c r="L81" i="1"/>
  <c r="N82" i="1"/>
  <c r="N81" i="1"/>
  <c r="O213" i="4"/>
  <c r="N191" i="23"/>
  <c r="O191" i="23"/>
  <c r="N179" i="23"/>
  <c r="O179" i="23"/>
  <c r="V93" i="8"/>
  <c r="N190" i="23"/>
  <c r="O190" i="23"/>
  <c r="M213" i="4"/>
  <c r="Z64" i="4"/>
  <c r="AA64" i="4"/>
  <c r="V64" i="4"/>
  <c r="X64" i="4"/>
  <c r="H129" i="7"/>
  <c r="H138" i="7"/>
  <c r="U126" i="7"/>
  <c r="BD715" i="7"/>
  <c r="BD710" i="7"/>
  <c r="BD278" i="7"/>
  <c r="L581" i="7"/>
  <c r="L576" i="7"/>
  <c r="BA131" i="7"/>
  <c r="BA140" i="7"/>
  <c r="BA521" i="7"/>
  <c r="BE659" i="7"/>
  <c r="BE654" i="7"/>
  <c r="AC736" i="7"/>
  <c r="AC731" i="7"/>
  <c r="AC278" i="7"/>
  <c r="O126" i="7"/>
  <c r="O458" i="7"/>
  <c r="O141" i="7"/>
  <c r="R171" i="7"/>
  <c r="I141" i="7"/>
  <c r="AL463" i="7"/>
  <c r="AL458" i="7"/>
  <c r="AL141" i="7"/>
  <c r="S136" i="7"/>
  <c r="BA136" i="7"/>
  <c r="H489" i="7"/>
  <c r="H130" i="7"/>
  <c r="H139" i="7"/>
  <c r="G483" i="7"/>
  <c r="G485" i="7"/>
  <c r="H482" i="7"/>
  <c r="H485" i="7"/>
  <c r="I482" i="7"/>
  <c r="I485" i="7"/>
  <c r="J482" i="7"/>
  <c r="J485" i="7"/>
  <c r="K482" i="7"/>
  <c r="K485" i="7"/>
  <c r="L482" i="7"/>
  <c r="AD463" i="7"/>
  <c r="AD458" i="7"/>
  <c r="AR505" i="7"/>
  <c r="AR500" i="7"/>
  <c r="AA659" i="7"/>
  <c r="AA654" i="7"/>
  <c r="BE560" i="7"/>
  <c r="BE555" i="7"/>
  <c r="N463" i="7"/>
  <c r="N458" i="7"/>
  <c r="K219" i="7"/>
  <c r="K633" i="7"/>
  <c r="K233" i="7"/>
  <c r="M659" i="7"/>
  <c r="M654" i="7"/>
  <c r="M233" i="7"/>
  <c r="Z218" i="7"/>
  <c r="Z612" i="7"/>
  <c r="Z233" i="7"/>
  <c r="AZ176" i="7"/>
  <c r="AZ185" i="7"/>
  <c r="AZ597" i="7"/>
  <c r="Q263" i="7"/>
  <c r="Q689" i="7"/>
  <c r="I694" i="7"/>
  <c r="I689" i="7"/>
  <c r="I278" i="7"/>
  <c r="AV484" i="7"/>
  <c r="AV479" i="7"/>
  <c r="M126" i="7"/>
  <c r="M458" i="7"/>
  <c r="M141" i="7"/>
  <c r="AG505" i="7"/>
  <c r="AG500" i="7"/>
  <c r="AG141" i="7"/>
  <c r="BB128" i="7"/>
  <c r="BA505" i="7"/>
  <c r="BA500" i="7"/>
  <c r="BA141" i="7"/>
  <c r="AM505" i="7"/>
  <c r="AM500" i="7"/>
  <c r="AM141" i="7"/>
  <c r="AZ128" i="7"/>
  <c r="AZ500" i="7"/>
  <c r="AZ141" i="7"/>
  <c r="AF128" i="7"/>
  <c r="AF500" i="7"/>
  <c r="AF141" i="7"/>
  <c r="AY505" i="7"/>
  <c r="AQ825" i="7"/>
  <c r="AQ216" i="7"/>
  <c r="X715" i="7"/>
  <c r="AL264" i="7"/>
  <c r="AL710" i="7"/>
  <c r="AL278" i="7"/>
  <c r="Q715" i="7"/>
  <c r="Q710" i="7"/>
  <c r="AK797" i="7"/>
  <c r="AK124" i="7"/>
  <c r="P581" i="7"/>
  <c r="P576" i="7"/>
  <c r="AW131" i="7"/>
  <c r="AW140" i="7"/>
  <c r="AW521" i="7"/>
  <c r="T223" i="7"/>
  <c r="T232" i="7"/>
  <c r="T675" i="7"/>
  <c r="AS223" i="7"/>
  <c r="AS232" i="7"/>
  <c r="AS675" i="7"/>
  <c r="Z566" i="7"/>
  <c r="Z175" i="7"/>
  <c r="Z184" i="7"/>
  <c r="AK566" i="7"/>
  <c r="AK175" i="7"/>
  <c r="AK184" i="7"/>
  <c r="BE566" i="7"/>
  <c r="BE175" i="7"/>
  <c r="BE184" i="7"/>
  <c r="AP566" i="7"/>
  <c r="AP175" i="7"/>
  <c r="AP184" i="7"/>
  <c r="AD566" i="7"/>
  <c r="AD175" i="7"/>
  <c r="AD184" i="7"/>
  <c r="Y566" i="7"/>
  <c r="Y175" i="7"/>
  <c r="Y184" i="7"/>
  <c r="U566" i="7"/>
  <c r="U175" i="7"/>
  <c r="U184" i="7"/>
  <c r="N566" i="7"/>
  <c r="N175" i="7"/>
  <c r="N184" i="7"/>
  <c r="AB566" i="7"/>
  <c r="AB175" i="7"/>
  <c r="AB184" i="7"/>
  <c r="W566" i="7"/>
  <c r="W175" i="7"/>
  <c r="W184" i="7"/>
  <c r="AT566" i="7"/>
  <c r="AT175" i="7"/>
  <c r="AT184" i="7"/>
  <c r="O566" i="7"/>
  <c r="O175" i="7"/>
  <c r="O184" i="7"/>
  <c r="AU566" i="7"/>
  <c r="AU175" i="7"/>
  <c r="AU184" i="7"/>
  <c r="BA566" i="7"/>
  <c r="BA175" i="7"/>
  <c r="BA184" i="7"/>
  <c r="AS566" i="7"/>
  <c r="AS175" i="7"/>
  <c r="AS184" i="7"/>
  <c r="P566" i="7"/>
  <c r="P175" i="7"/>
  <c r="P184" i="7"/>
  <c r="AA566" i="7"/>
  <c r="AA175" i="7"/>
  <c r="AA184" i="7"/>
  <c r="S566" i="7"/>
  <c r="S175" i="7"/>
  <c r="S184" i="7"/>
  <c r="AE566" i="7"/>
  <c r="AE175" i="7"/>
  <c r="AE184" i="7"/>
  <c r="AW566" i="7"/>
  <c r="AW175" i="7"/>
  <c r="AW184" i="7"/>
  <c r="BB566" i="7"/>
  <c r="BB175" i="7"/>
  <c r="BB184" i="7"/>
  <c r="H566" i="7"/>
  <c r="H175" i="7"/>
  <c r="H184" i="7"/>
  <c r="X566" i="7"/>
  <c r="X175" i="7"/>
  <c r="X184" i="7"/>
  <c r="AV566" i="7"/>
  <c r="AV175" i="7"/>
  <c r="AV184" i="7"/>
  <c r="R566" i="7"/>
  <c r="R175" i="7"/>
  <c r="R184" i="7"/>
  <c r="AC566" i="7"/>
  <c r="AC175" i="7"/>
  <c r="AC184" i="7"/>
  <c r="V566" i="7"/>
  <c r="V175" i="7"/>
  <c r="V184" i="7"/>
  <c r="AX566" i="7"/>
  <c r="AX175" i="7"/>
  <c r="AX184" i="7"/>
  <c r="K566" i="7"/>
  <c r="K175" i="7"/>
  <c r="K184" i="7"/>
  <c r="AZ566" i="7"/>
  <c r="AZ175" i="7"/>
  <c r="AZ184" i="7"/>
  <c r="BC566" i="7"/>
  <c r="BC175" i="7"/>
  <c r="BC184" i="7"/>
  <c r="T566" i="7"/>
  <c r="T175" i="7"/>
  <c r="T184" i="7"/>
  <c r="AH566" i="7"/>
  <c r="AH175" i="7"/>
  <c r="AH184" i="7"/>
  <c r="Q566" i="7"/>
  <c r="Q175" i="7"/>
  <c r="Q184" i="7"/>
  <c r="AQ566" i="7"/>
  <c r="AQ175" i="7"/>
  <c r="AQ184" i="7"/>
  <c r="AG566" i="7"/>
  <c r="AG175" i="7"/>
  <c r="AG184" i="7"/>
  <c r="I566" i="7"/>
  <c r="I175" i="7"/>
  <c r="I184" i="7"/>
  <c r="BD566" i="7"/>
  <c r="BD175" i="7"/>
  <c r="BD184" i="7"/>
  <c r="L263" i="7"/>
  <c r="AJ710" i="7"/>
  <c r="AJ278" i="7"/>
  <c r="AJ264" i="7"/>
  <c r="AB689" i="7"/>
  <c r="AB278" i="7"/>
  <c r="AC612" i="7"/>
  <c r="AC233" i="7"/>
  <c r="Y131" i="7"/>
  <c r="Y140" i="7"/>
  <c r="AO555" i="7"/>
  <c r="H654" i="7"/>
  <c r="S633" i="7"/>
  <c r="AD173" i="7"/>
  <c r="AK479" i="7"/>
  <c r="AK141" i="7"/>
  <c r="R654" i="7"/>
  <c r="W654" i="7"/>
  <c r="W233" i="7"/>
  <c r="AN566" i="7"/>
  <c r="AN175" i="7"/>
  <c r="AN184" i="7"/>
  <c r="AO566" i="7"/>
  <c r="AO175" i="7"/>
  <c r="AO184" i="7"/>
  <c r="U659" i="7"/>
  <c r="U654" i="7"/>
  <c r="W463" i="7"/>
  <c r="W458" i="7"/>
  <c r="AM566" i="7"/>
  <c r="AM175" i="7"/>
  <c r="AM184" i="7"/>
  <c r="J566" i="7"/>
  <c r="J175" i="7"/>
  <c r="J184" i="7"/>
  <c r="AL566" i="7"/>
  <c r="AL175" i="7"/>
  <c r="AL184" i="7"/>
  <c r="P219" i="7"/>
  <c r="P633" i="7"/>
  <c r="AC811" i="7"/>
  <c r="AC169" i="7"/>
  <c r="AF176" i="7"/>
  <c r="AF185" i="7"/>
  <c r="AF597" i="7"/>
  <c r="AW171" i="7"/>
  <c r="AM264" i="7"/>
  <c r="AM710" i="7"/>
  <c r="AM278" i="7"/>
  <c r="AY715" i="7"/>
  <c r="AY710" i="7"/>
  <c r="AY219" i="7"/>
  <c r="AY633" i="7"/>
  <c r="AG752" i="7"/>
  <c r="AG268" i="7"/>
  <c r="AG277" i="7"/>
  <c r="AB633" i="7"/>
  <c r="AB219" i="7"/>
  <c r="AZ638" i="7"/>
  <c r="AZ633" i="7"/>
  <c r="BE638" i="7"/>
  <c r="BE633" i="7"/>
  <c r="AK638" i="7"/>
  <c r="AK633" i="7"/>
  <c r="AH533" i="7"/>
  <c r="AH539" i="7"/>
  <c r="AQ533" i="7"/>
  <c r="AQ539" i="7"/>
  <c r="AI533" i="7"/>
  <c r="AI539" i="7"/>
  <c r="S532" i="7"/>
  <c r="BA532" i="7"/>
  <c r="M532" i="7"/>
  <c r="J532" i="7"/>
  <c r="R533" i="7"/>
  <c r="R539" i="7"/>
  <c r="AN533" i="7"/>
  <c r="AN539" i="7"/>
  <c r="Y532" i="7"/>
  <c r="BC532" i="7"/>
  <c r="AV532" i="7"/>
  <c r="K532" i="7"/>
  <c r="I533" i="7"/>
  <c r="I539" i="7"/>
  <c r="AE533" i="7"/>
  <c r="U533" i="7"/>
  <c r="U539" i="7"/>
  <c r="AG532" i="7"/>
  <c r="AK533" i="7"/>
  <c r="AK539" i="7"/>
  <c r="AS533" i="7"/>
  <c r="AS539" i="7"/>
  <c r="I532" i="7"/>
  <c r="AB533" i="7"/>
  <c r="AB539" i="7"/>
  <c r="AB532" i="7"/>
  <c r="BD532" i="7"/>
  <c r="AT533" i="7"/>
  <c r="AT539" i="7"/>
  <c r="T533" i="7"/>
  <c r="T539" i="7"/>
  <c r="X533" i="7"/>
  <c r="X539" i="7"/>
  <c r="X532" i="7"/>
  <c r="AS532" i="7"/>
  <c r="AY533" i="7"/>
  <c r="AY539" i="7"/>
  <c r="BC533" i="7"/>
  <c r="BC539" i="7"/>
  <c r="V532" i="7"/>
  <c r="AI532" i="7"/>
  <c r="AX532" i="7"/>
  <c r="AF532" i="7"/>
  <c r="N533" i="7"/>
  <c r="N539" i="7"/>
  <c r="AT532" i="7"/>
  <c r="Y533" i="7"/>
  <c r="Y539" i="7"/>
  <c r="AZ532" i="7"/>
  <c r="AG533" i="7"/>
  <c r="AG539" i="7"/>
  <c r="W532" i="7"/>
  <c r="AX533" i="7"/>
  <c r="AX539" i="7"/>
  <c r="AR532" i="7"/>
  <c r="AJ533" i="7"/>
  <c r="AJ539" i="7"/>
  <c r="AL532" i="7"/>
  <c r="BD533" i="7"/>
  <c r="BD539" i="7"/>
  <c r="P532" i="7"/>
  <c r="O532" i="7"/>
  <c r="Q532" i="7"/>
  <c r="AP532" i="7"/>
  <c r="AD533" i="7"/>
  <c r="AD539" i="7"/>
  <c r="BE532" i="7"/>
  <c r="K533" i="7"/>
  <c r="K539" i="7"/>
  <c r="W533" i="7"/>
  <c r="W539" i="7"/>
  <c r="AM533" i="7"/>
  <c r="AM539" i="7"/>
  <c r="AO533" i="7"/>
  <c r="AO539" i="7"/>
  <c r="AN532" i="7"/>
  <c r="S533" i="7"/>
  <c r="S539" i="7"/>
  <c r="H533" i="7"/>
  <c r="H539" i="7"/>
  <c r="H540" i="7"/>
  <c r="I537" i="7"/>
  <c r="I540" i="7"/>
  <c r="J537" i="7"/>
  <c r="J540" i="7"/>
  <c r="K537" i="7"/>
  <c r="K540" i="7"/>
  <c r="L537" i="7"/>
  <c r="L540" i="7"/>
  <c r="M537" i="7"/>
  <c r="M533" i="7"/>
  <c r="M539" i="7"/>
  <c r="M540" i="7"/>
  <c r="N537" i="7"/>
  <c r="N540" i="7"/>
  <c r="O537" i="7"/>
  <c r="O533" i="7"/>
  <c r="O539" i="7"/>
  <c r="O540" i="7"/>
  <c r="P537" i="7"/>
  <c r="P533" i="7"/>
  <c r="P539" i="7"/>
  <c r="P540" i="7"/>
  <c r="Q537" i="7"/>
  <c r="Q533" i="7"/>
  <c r="Q539" i="7"/>
  <c r="Q540" i="7"/>
  <c r="R537" i="7"/>
  <c r="R540" i="7"/>
  <c r="S537" i="7"/>
  <c r="S540" i="7"/>
  <c r="T537" i="7"/>
  <c r="T540" i="7"/>
  <c r="U537" i="7"/>
  <c r="U540" i="7"/>
  <c r="V537" i="7"/>
  <c r="V533" i="7"/>
  <c r="V539" i="7"/>
  <c r="V540" i="7"/>
  <c r="W537" i="7"/>
  <c r="W540" i="7"/>
  <c r="X537" i="7"/>
  <c r="X540" i="7"/>
  <c r="Y537" i="7"/>
  <c r="Y540" i="7"/>
  <c r="Z537" i="7"/>
  <c r="Z533" i="7"/>
  <c r="Z539" i="7"/>
  <c r="Z540" i="7"/>
  <c r="AA537" i="7"/>
  <c r="AD532" i="7"/>
  <c r="AC533" i="7"/>
  <c r="AC539" i="7"/>
  <c r="AP533" i="7"/>
  <c r="AP539" i="7"/>
  <c r="Z532" i="7"/>
  <c r="U532" i="7"/>
  <c r="AJ532" i="7"/>
  <c r="AU533" i="7"/>
  <c r="AU539" i="7"/>
  <c r="AO532" i="7"/>
  <c r="BB533" i="7"/>
  <c r="BB539" i="7"/>
  <c r="AV533" i="7"/>
  <c r="AV539" i="7"/>
  <c r="AR533" i="7"/>
  <c r="AR539" i="7"/>
  <c r="AA533" i="7"/>
  <c r="AL533" i="7"/>
  <c r="AL539" i="7"/>
  <c r="AQ532" i="7"/>
  <c r="AY532" i="7"/>
  <c r="AF533" i="7"/>
  <c r="AF539" i="7"/>
  <c r="AZ533" i="7"/>
  <c r="AZ539" i="7"/>
  <c r="AM532" i="7"/>
  <c r="H532" i="7"/>
  <c r="AW533" i="7"/>
  <c r="AW539" i="7"/>
  <c r="T532" i="7"/>
  <c r="AH532" i="7"/>
  <c r="L532" i="7"/>
  <c r="BB532" i="7"/>
  <c r="BE533" i="7"/>
  <c r="BE539" i="7"/>
  <c r="AU532" i="7"/>
  <c r="N532" i="7"/>
  <c r="AC532" i="7"/>
  <c r="BA533" i="7"/>
  <c r="BA539" i="7"/>
  <c r="AK532" i="7"/>
  <c r="H173" i="7"/>
  <c r="H576" i="7"/>
  <c r="AN839" i="7"/>
  <c r="AN261" i="7"/>
  <c r="V215" i="8"/>
  <c r="G279" i="17"/>
  <c r="AY566" i="7"/>
  <c r="AY175" i="7"/>
  <c r="AY184" i="7"/>
  <c r="AA458" i="7"/>
  <c r="AA141" i="7"/>
  <c r="AA126" i="7"/>
  <c r="R218" i="7"/>
  <c r="R612" i="7"/>
  <c r="R233" i="7"/>
  <c r="V479" i="7"/>
  <c r="V127" i="7"/>
  <c r="AH638" i="7"/>
  <c r="AH633" i="7"/>
  <c r="AB127" i="7"/>
  <c r="AB479" i="7"/>
  <c r="W597" i="7"/>
  <c r="W176" i="7"/>
  <c r="W185" i="7"/>
  <c r="U825" i="7"/>
  <c r="U216" i="7"/>
  <c r="AC484" i="7"/>
  <c r="AC479" i="7"/>
  <c r="AC141" i="7"/>
  <c r="AN715" i="7"/>
  <c r="AN710" i="7"/>
  <c r="AN278" i="7"/>
  <c r="AE581" i="7"/>
  <c r="AE576" i="7"/>
  <c r="AR463" i="7"/>
  <c r="AR458" i="7"/>
  <c r="AR141" i="7"/>
  <c r="AO173" i="7"/>
  <c r="AO576" i="7"/>
  <c r="AB581" i="7"/>
  <c r="AB576" i="7"/>
  <c r="BC576" i="7"/>
  <c r="BC173" i="7"/>
  <c r="L839" i="7"/>
  <c r="L261" i="7"/>
  <c r="AV173" i="7"/>
  <c r="AV576" i="7"/>
  <c r="Y581" i="7"/>
  <c r="Y576" i="7"/>
  <c r="AQ131" i="7"/>
  <c r="AQ140" i="7"/>
  <c r="AQ521" i="7"/>
  <c r="Y659" i="7"/>
  <c r="Y654" i="7"/>
  <c r="Y736" i="7"/>
  <c r="Y731" i="7"/>
  <c r="Y278" i="7"/>
  <c r="T736" i="7"/>
  <c r="T731" i="7"/>
  <c r="T278" i="7"/>
  <c r="AG265" i="7"/>
  <c r="AG731" i="7"/>
  <c r="K736" i="7"/>
  <c r="K737" i="7"/>
  <c r="L734" i="7"/>
  <c r="L737" i="7"/>
  <c r="M734" i="7"/>
  <c r="M737" i="7"/>
  <c r="N734" i="7"/>
  <c r="N737" i="7"/>
  <c r="O734" i="7"/>
  <c r="O737" i="7"/>
  <c r="P734" i="7"/>
  <c r="P737" i="7"/>
  <c r="Q734" i="7"/>
  <c r="Q737" i="7"/>
  <c r="R734" i="7"/>
  <c r="R737" i="7"/>
  <c r="S734" i="7"/>
  <c r="S737" i="7"/>
  <c r="T734" i="7"/>
  <c r="T737" i="7"/>
  <c r="U734" i="7"/>
  <c r="U737" i="7"/>
  <c r="V734" i="7"/>
  <c r="V737" i="7"/>
  <c r="W734" i="7"/>
  <c r="W737" i="7"/>
  <c r="X734" i="7"/>
  <c r="X737" i="7"/>
  <c r="Y734" i="7"/>
  <c r="Y737" i="7"/>
  <c r="Z734" i="7"/>
  <c r="Z737" i="7"/>
  <c r="AA734" i="7"/>
  <c r="AA737" i="7"/>
  <c r="AB734" i="7"/>
  <c r="AB737" i="7"/>
  <c r="AC734" i="7"/>
  <c r="AC737" i="7"/>
  <c r="AD734" i="7"/>
  <c r="AD737" i="7"/>
  <c r="AE734" i="7"/>
  <c r="AE737" i="7"/>
  <c r="AF734" i="7"/>
  <c r="AF737" i="7"/>
  <c r="AG734" i="7"/>
  <c r="AG737" i="7"/>
  <c r="AH734" i="7"/>
  <c r="AH737" i="7"/>
  <c r="AI734" i="7"/>
  <c r="AI737" i="7"/>
  <c r="AJ734" i="7"/>
  <c r="AJ737" i="7"/>
  <c r="AK734" i="7"/>
  <c r="AK737" i="7"/>
  <c r="AL734" i="7"/>
  <c r="AL737" i="7"/>
  <c r="AM734" i="7"/>
  <c r="AM737" i="7"/>
  <c r="AN734" i="7"/>
  <c r="AN737" i="7"/>
  <c r="AO734" i="7"/>
  <c r="AO737" i="7"/>
  <c r="AP734" i="7"/>
  <c r="AP736" i="7"/>
  <c r="AP737" i="7"/>
  <c r="AQ734" i="7"/>
  <c r="AQ737" i="7"/>
  <c r="AR734" i="7"/>
  <c r="AR737" i="7"/>
  <c r="AS734" i="7"/>
  <c r="AS737" i="7"/>
  <c r="AT734" i="7"/>
  <c r="AT737" i="7"/>
  <c r="AU734" i="7"/>
  <c r="AU737" i="7"/>
  <c r="AV734" i="7"/>
  <c r="AV737" i="7"/>
  <c r="AW734" i="7"/>
  <c r="K731" i="7"/>
  <c r="K278" i="7"/>
  <c r="AP731" i="7"/>
  <c r="AP278" i="7"/>
  <c r="AI265" i="7"/>
  <c r="AI731" i="7"/>
  <c r="AZ715" i="7"/>
  <c r="AZ710" i="7"/>
  <c r="AZ278" i="7"/>
  <c r="M710" i="7"/>
  <c r="H597" i="7"/>
  <c r="H176" i="7"/>
  <c r="H185" i="7"/>
  <c r="X98" i="8"/>
  <c r="X162" i="8"/>
  <c r="Z129" i="17"/>
  <c r="Z165" i="17"/>
  <c r="J129" i="17"/>
  <c r="J165" i="17"/>
  <c r="Z129" i="4"/>
  <c r="Z165" i="4"/>
  <c r="R129" i="4"/>
  <c r="R165" i="4"/>
  <c r="J129" i="4"/>
  <c r="J165" i="4"/>
  <c r="P190" i="23"/>
  <c r="Q190" i="23"/>
  <c r="T129" i="4"/>
  <c r="T165" i="4"/>
  <c r="G176" i="4"/>
  <c r="G177" i="4"/>
  <c r="G187" i="4"/>
  <c r="K833" i="7"/>
  <c r="K837" i="7"/>
  <c r="K839" i="7"/>
  <c r="K261" i="7"/>
  <c r="AR833" i="7"/>
  <c r="AR837" i="7"/>
  <c r="AR839" i="7"/>
  <c r="AR261" i="7"/>
  <c r="AK833" i="7"/>
  <c r="AK837" i="7"/>
  <c r="AK839" i="7"/>
  <c r="AK261" i="7"/>
  <c r="AT833" i="7"/>
  <c r="AT837" i="7"/>
  <c r="AT839" i="7"/>
  <c r="AT261" i="7"/>
  <c r="I833" i="7"/>
  <c r="I837" i="7"/>
  <c r="I839" i="7"/>
  <c r="I261" i="7"/>
  <c r="V833" i="7"/>
  <c r="V837" i="7"/>
  <c r="V839" i="7"/>
  <c r="V261" i="7"/>
  <c r="BD833" i="7"/>
  <c r="BD837" i="7"/>
  <c r="BD839" i="7"/>
  <c r="BD261" i="7"/>
  <c r="AA833" i="7"/>
  <c r="AA837" i="7"/>
  <c r="AA839" i="7"/>
  <c r="AA261" i="7"/>
  <c r="H833" i="7"/>
  <c r="H837" i="7"/>
  <c r="H839" i="7"/>
  <c r="H261" i="7"/>
  <c r="AH833" i="7"/>
  <c r="AH837" i="7"/>
  <c r="AH839" i="7"/>
  <c r="AH261" i="7"/>
  <c r="W833" i="7"/>
  <c r="W837" i="7"/>
  <c r="W839" i="7"/>
  <c r="W261" i="7"/>
  <c r="U833" i="7"/>
  <c r="U837" i="7"/>
  <c r="U839" i="7"/>
  <c r="U261" i="7"/>
  <c r="AS833" i="7"/>
  <c r="AS837" i="7"/>
  <c r="AS839" i="7"/>
  <c r="AS261" i="7"/>
  <c r="U183" i="8"/>
  <c r="I819" i="7"/>
  <c r="I823" i="7"/>
  <c r="I825" i="7"/>
  <c r="I216" i="7"/>
  <c r="I234" i="7"/>
  <c r="I235" i="7"/>
  <c r="P819" i="7"/>
  <c r="P823" i="7"/>
  <c r="P825" i="7"/>
  <c r="P216" i="7"/>
  <c r="AT819" i="7"/>
  <c r="AT823" i="7"/>
  <c r="AT825" i="7"/>
  <c r="AT216" i="7"/>
  <c r="AZ819" i="7"/>
  <c r="AZ823" i="7"/>
  <c r="AZ825" i="7"/>
  <c r="AZ216" i="7"/>
  <c r="AG819" i="7"/>
  <c r="AG823" i="7"/>
  <c r="AG825" i="7"/>
  <c r="AG216" i="7"/>
  <c r="AW819" i="7"/>
  <c r="AW823" i="7"/>
  <c r="AW825" i="7"/>
  <c r="AW216" i="7"/>
  <c r="AY819" i="7"/>
  <c r="AY823" i="7"/>
  <c r="AY825" i="7"/>
  <c r="AY216" i="7"/>
  <c r="BD819" i="7"/>
  <c r="BD823" i="7"/>
  <c r="BD825" i="7"/>
  <c r="BD216" i="7"/>
  <c r="AM819" i="7"/>
  <c r="AM823" i="7"/>
  <c r="AM825" i="7"/>
  <c r="AM216" i="7"/>
  <c r="W819" i="7"/>
  <c r="W823" i="7"/>
  <c r="W825" i="7"/>
  <c r="W216" i="7"/>
  <c r="AL819" i="7"/>
  <c r="AL823" i="7"/>
  <c r="AL825" i="7"/>
  <c r="AL216" i="7"/>
  <c r="AC819" i="7"/>
  <c r="AC823" i="7"/>
  <c r="AC825" i="7"/>
  <c r="AC216" i="7"/>
  <c r="Q819" i="7"/>
  <c r="Q823" i="7"/>
  <c r="Q825" i="7"/>
  <c r="Q216" i="7"/>
  <c r="BC819" i="7"/>
  <c r="BC823" i="7"/>
  <c r="BC825" i="7"/>
  <c r="BC216" i="7"/>
  <c r="BE819" i="7"/>
  <c r="BE823" i="7"/>
  <c r="BE825" i="7"/>
  <c r="BE216" i="7"/>
  <c r="AO819" i="7"/>
  <c r="AO823" i="7"/>
  <c r="AO825" i="7"/>
  <c r="AO216" i="7"/>
  <c r="AS819" i="7"/>
  <c r="AS823" i="7"/>
  <c r="AS825" i="7"/>
  <c r="AS216" i="7"/>
  <c r="BB819" i="7"/>
  <c r="BB823" i="7"/>
  <c r="BB825" i="7"/>
  <c r="BB216" i="7"/>
  <c r="AN819" i="7"/>
  <c r="AN823" i="7"/>
  <c r="AN825" i="7"/>
  <c r="AN216" i="7"/>
  <c r="AV819" i="7"/>
  <c r="AV823" i="7"/>
  <c r="AV825" i="7"/>
  <c r="AV216" i="7"/>
  <c r="AF819" i="7"/>
  <c r="AF823" i="7"/>
  <c r="AF825" i="7"/>
  <c r="AF216" i="7"/>
  <c r="V819" i="7"/>
  <c r="V823" i="7"/>
  <c r="V825" i="7"/>
  <c r="V216" i="7"/>
  <c r="AR819" i="7"/>
  <c r="AR823" i="7"/>
  <c r="AR825" i="7"/>
  <c r="AR216" i="7"/>
  <c r="AD819" i="7"/>
  <c r="AD823" i="7"/>
  <c r="AD825" i="7"/>
  <c r="AD216" i="7"/>
  <c r="AE819" i="7"/>
  <c r="AE823" i="7"/>
  <c r="AE825" i="7"/>
  <c r="AE216" i="7"/>
  <c r="H621" i="7"/>
  <c r="H221" i="7"/>
  <c r="H230" i="7"/>
  <c r="G616" i="7"/>
  <c r="G618" i="7"/>
  <c r="H615" i="7"/>
  <c r="H618" i="7"/>
  <c r="I615" i="7"/>
  <c r="I618" i="7"/>
  <c r="J615" i="7"/>
  <c r="R129" i="17"/>
  <c r="R165" i="17"/>
  <c r="AS805" i="7"/>
  <c r="AS809" i="7"/>
  <c r="AS811" i="7"/>
  <c r="AS169" i="7"/>
  <c r="P805" i="7"/>
  <c r="P809" i="7"/>
  <c r="P811" i="7"/>
  <c r="P169" i="7"/>
  <c r="Y805" i="7"/>
  <c r="Y809" i="7"/>
  <c r="Y811" i="7"/>
  <c r="Y169" i="7"/>
  <c r="AX805" i="7"/>
  <c r="AX809" i="7"/>
  <c r="AX811" i="7"/>
  <c r="AX169" i="7"/>
  <c r="W805" i="7"/>
  <c r="W809" i="7"/>
  <c r="W811" i="7"/>
  <c r="W169" i="7"/>
  <c r="J805" i="7"/>
  <c r="J809" i="7"/>
  <c r="J811" i="7"/>
  <c r="J169" i="7"/>
  <c r="AR805" i="7"/>
  <c r="AR809" i="7"/>
  <c r="AR811" i="7"/>
  <c r="AR169" i="7"/>
  <c r="BE805" i="7"/>
  <c r="BE809" i="7"/>
  <c r="BE811" i="7"/>
  <c r="BE169" i="7"/>
  <c r="AA805" i="7"/>
  <c r="AA809" i="7"/>
  <c r="AA811" i="7"/>
  <c r="AA169" i="7"/>
  <c r="BC805" i="7"/>
  <c r="BC809" i="7"/>
  <c r="BC811" i="7"/>
  <c r="BC169" i="7"/>
  <c r="K805" i="7"/>
  <c r="K809" i="7"/>
  <c r="K811" i="7"/>
  <c r="K169" i="7"/>
  <c r="N805" i="7"/>
  <c r="N809" i="7"/>
  <c r="N811" i="7"/>
  <c r="N169" i="7"/>
  <c r="Q805" i="7"/>
  <c r="Q809" i="7"/>
  <c r="Q811" i="7"/>
  <c r="Q169" i="7"/>
  <c r="AF805" i="7"/>
  <c r="AF809" i="7"/>
  <c r="AF811" i="7"/>
  <c r="AF169" i="7"/>
  <c r="T805" i="7"/>
  <c r="T809" i="7"/>
  <c r="T811" i="7"/>
  <c r="T169" i="7"/>
  <c r="AI805" i="7"/>
  <c r="AI809" i="7"/>
  <c r="AI811" i="7"/>
  <c r="AI169" i="7"/>
  <c r="S805" i="7"/>
  <c r="S809" i="7"/>
  <c r="S811" i="7"/>
  <c r="S169" i="7"/>
  <c r="AW805" i="7"/>
  <c r="AW809" i="7"/>
  <c r="AW811" i="7"/>
  <c r="AW169" i="7"/>
  <c r="AH805" i="7"/>
  <c r="AH809" i="7"/>
  <c r="AH811" i="7"/>
  <c r="AH169" i="7"/>
  <c r="BB805" i="7"/>
  <c r="BB809" i="7"/>
  <c r="BB811" i="7"/>
  <c r="BB169" i="7"/>
  <c r="V805" i="7"/>
  <c r="V809" i="7"/>
  <c r="V811" i="7"/>
  <c r="V169" i="7"/>
  <c r="I805" i="7"/>
  <c r="I809" i="7"/>
  <c r="I811" i="7"/>
  <c r="I169" i="7"/>
  <c r="AT805" i="7"/>
  <c r="AT809" i="7"/>
  <c r="AT811" i="7"/>
  <c r="AT169" i="7"/>
  <c r="Y183" i="8"/>
  <c r="H553" i="7"/>
  <c r="Q553" i="7"/>
  <c r="N553" i="7"/>
  <c r="H554" i="7"/>
  <c r="H560" i="7"/>
  <c r="H561" i="7"/>
  <c r="I558" i="7"/>
  <c r="L553" i="7"/>
  <c r="Q554" i="7"/>
  <c r="Q560" i="7"/>
  <c r="AK553" i="7"/>
  <c r="I554" i="7"/>
  <c r="L554" i="7"/>
  <c r="L560" i="7"/>
  <c r="N554" i="7"/>
  <c r="N560" i="7"/>
  <c r="AL554" i="7"/>
  <c r="R553" i="7"/>
  <c r="M553" i="7"/>
  <c r="M554" i="7"/>
  <c r="M560" i="7"/>
  <c r="J554" i="7"/>
  <c r="J560" i="7"/>
  <c r="J553" i="7"/>
  <c r="AT553" i="7"/>
  <c r="R554" i="7"/>
  <c r="R560" i="7"/>
  <c r="V554" i="7"/>
  <c r="AG610" i="7"/>
  <c r="BE611" i="7"/>
  <c r="BE617" i="7"/>
  <c r="AT611" i="7"/>
  <c r="AT617" i="7"/>
  <c r="AX611" i="7"/>
  <c r="AX617" i="7"/>
  <c r="AQ611" i="7"/>
  <c r="AW611" i="7"/>
  <c r="AF611" i="7"/>
  <c r="AM610" i="7"/>
  <c r="AU610" i="7"/>
  <c r="BB611" i="7"/>
  <c r="BB617" i="7"/>
  <c r="AH611" i="7"/>
  <c r="AH617" i="7"/>
  <c r="AM611" i="7"/>
  <c r="AM617" i="7"/>
  <c r="AU611" i="7"/>
  <c r="AU617" i="7"/>
  <c r="BA610" i="7"/>
  <c r="S611" i="7"/>
  <c r="AA611" i="7"/>
  <c r="AA617" i="7"/>
  <c r="AD610" i="7"/>
  <c r="AN610" i="7"/>
  <c r="Y611" i="7"/>
  <c r="Y617" i="7"/>
  <c r="AD611" i="7"/>
  <c r="AD617" i="7"/>
  <c r="AN611" i="7"/>
  <c r="AN617" i="7"/>
  <c r="AT610" i="7"/>
  <c r="AX610" i="7"/>
  <c r="U611" i="7"/>
  <c r="AE610" i="7"/>
  <c r="AJ610" i="7"/>
  <c r="AZ610" i="7"/>
  <c r="BB610" i="7"/>
  <c r="AP611" i="7"/>
  <c r="AP617" i="7"/>
  <c r="BC611" i="7"/>
  <c r="BC617" i="7"/>
  <c r="AS611" i="7"/>
  <c r="X611" i="7"/>
  <c r="AH610" i="7"/>
  <c r="AO611" i="7"/>
  <c r="AY610" i="7"/>
  <c r="AA610" i="7"/>
  <c r="AK610" i="7"/>
  <c r="AR610" i="7"/>
  <c r="AY611" i="7"/>
  <c r="AY617" i="7"/>
  <c r="BD610" i="7"/>
  <c r="Y610" i="7"/>
  <c r="AB610" i="7"/>
  <c r="AK611" i="7"/>
  <c r="AK617" i="7"/>
  <c r="T610" i="7"/>
  <c r="AB611" i="7"/>
  <c r="AB617" i="7"/>
  <c r="AI610" i="7"/>
  <c r="AP610" i="7"/>
  <c r="AV610" i="7"/>
  <c r="BC610" i="7"/>
  <c r="V610" i="7"/>
  <c r="AG611" i="7"/>
  <c r="AG617" i="7"/>
  <c r="AL610" i="7"/>
  <c r="BE610" i="7"/>
  <c r="V129" i="17"/>
  <c r="V165" i="17"/>
  <c r="P129" i="4"/>
  <c r="P165" i="4"/>
  <c r="AV89" i="7"/>
  <c r="AP80" i="7"/>
  <c r="AI422" i="7"/>
  <c r="AI81" i="7"/>
  <c r="AH80" i="7"/>
  <c r="AH401" i="7"/>
  <c r="AA81" i="7"/>
  <c r="Z80" i="7"/>
  <c r="W81" i="7"/>
  <c r="T89" i="7"/>
  <c r="O40" i="6"/>
  <c r="G100" i="7"/>
  <c r="G101" i="7"/>
  <c r="G102" i="7"/>
  <c r="M15" i="1"/>
  <c r="AY304" i="7"/>
  <c r="AY34" i="7"/>
  <c r="AR304" i="7"/>
  <c r="AR34" i="7"/>
  <c r="AD35" i="7"/>
  <c r="H355" i="7"/>
  <c r="I345" i="7"/>
  <c r="I351" i="7"/>
  <c r="O345" i="7"/>
  <c r="O351" i="7"/>
  <c r="Q345" i="7"/>
  <c r="Q351" i="7"/>
  <c r="H45" i="7"/>
  <c r="BE19" i="7"/>
  <c r="BE23" i="7"/>
  <c r="AO19" i="7"/>
  <c r="AO23" i="7"/>
  <c r="Y19" i="7"/>
  <c r="Y23" i="7"/>
  <c r="I19" i="7"/>
  <c r="I28" i="7"/>
  <c r="I25" i="7"/>
  <c r="I30" i="7"/>
  <c r="I45" i="7"/>
  <c r="I26" i="7"/>
  <c r="I23" i="7"/>
  <c r="G239" i="7"/>
  <c r="G240" i="7"/>
  <c r="G241" i="7"/>
  <c r="P15" i="1"/>
  <c r="AX80" i="7"/>
  <c r="AR89" i="7"/>
  <c r="AO79" i="7"/>
  <c r="AK783" i="7"/>
  <c r="AK77" i="7"/>
  <c r="AJ89" i="7"/>
  <c r="AG79" i="7"/>
  <c r="AB89" i="7"/>
  <c r="R80" i="7"/>
  <c r="G192" i="7"/>
  <c r="G193" i="7"/>
  <c r="G194" i="7"/>
  <c r="O15" i="1"/>
  <c r="BD89" i="7"/>
  <c r="AY81" i="7"/>
  <c r="AT80" i="7"/>
  <c r="AT401" i="7"/>
  <c r="AE422" i="7"/>
  <c r="AE81" i="7"/>
  <c r="AD80" i="7"/>
  <c r="AD401" i="7"/>
  <c r="X89" i="7"/>
  <c r="S81" i="7"/>
  <c r="I81" i="7"/>
  <c r="H379" i="7"/>
  <c r="H385" i="7"/>
  <c r="H386" i="7"/>
  <c r="I383" i="7"/>
  <c r="I379" i="7"/>
  <c r="I385" i="7"/>
  <c r="I386" i="7"/>
  <c r="J383" i="7"/>
  <c r="I378" i="7"/>
  <c r="L379" i="7"/>
  <c r="L385" i="7"/>
  <c r="M378" i="7"/>
  <c r="P379" i="7"/>
  <c r="P385" i="7"/>
  <c r="Q378" i="7"/>
  <c r="J378" i="7"/>
  <c r="M379" i="7"/>
  <c r="M385" i="7"/>
  <c r="N378" i="7"/>
  <c r="Q379" i="7"/>
  <c r="Q385" i="7"/>
  <c r="R378" i="7"/>
  <c r="H378" i="7"/>
  <c r="J379" i="7"/>
  <c r="J385" i="7"/>
  <c r="O379" i="7"/>
  <c r="O385" i="7"/>
  <c r="U379" i="7"/>
  <c r="U385" i="7"/>
  <c r="V378" i="7"/>
  <c r="Y379" i="7"/>
  <c r="Y385" i="7"/>
  <c r="Z378" i="7"/>
  <c r="AC379" i="7"/>
  <c r="AC385" i="7"/>
  <c r="AD378" i="7"/>
  <c r="AG379" i="7"/>
  <c r="AG385" i="7"/>
  <c r="AH378" i="7"/>
  <c r="AK379" i="7"/>
  <c r="AK380" i="7"/>
  <c r="AK385" i="7"/>
  <c r="AL378" i="7"/>
  <c r="AO379" i="7"/>
  <c r="AO385" i="7"/>
  <c r="AP378" i="7"/>
  <c r="AS379" i="7"/>
  <c r="AS385" i="7"/>
  <c r="AT378" i="7"/>
  <c r="AW379" i="7"/>
  <c r="AW385" i="7"/>
  <c r="AX378" i="7"/>
  <c r="BA379" i="7"/>
  <c r="BA385" i="7"/>
  <c r="BB378" i="7"/>
  <c r="BE379" i="7"/>
  <c r="BE385" i="7"/>
  <c r="K378" i="7"/>
  <c r="L378" i="7"/>
  <c r="R379" i="7"/>
  <c r="R385" i="7"/>
  <c r="S378" i="7"/>
  <c r="V379" i="7"/>
  <c r="V385" i="7"/>
  <c r="W378" i="7"/>
  <c r="Z379" i="7"/>
  <c r="Z385" i="7"/>
  <c r="AA378" i="7"/>
  <c r="AD379" i="7"/>
  <c r="AD385" i="7"/>
  <c r="AE378" i="7"/>
  <c r="AH379" i="7"/>
  <c r="AH385" i="7"/>
  <c r="AI378" i="7"/>
  <c r="AL379" i="7"/>
  <c r="AL385" i="7"/>
  <c r="AM378" i="7"/>
  <c r="AP379" i="7"/>
  <c r="AP385" i="7"/>
  <c r="AQ378" i="7"/>
  <c r="AT379" i="7"/>
  <c r="AT385" i="7"/>
  <c r="AU378" i="7"/>
  <c r="AX379" i="7"/>
  <c r="AX385" i="7"/>
  <c r="AY378" i="7"/>
  <c r="BB379" i="7"/>
  <c r="BB385" i="7"/>
  <c r="BC378" i="7"/>
  <c r="K379" i="7"/>
  <c r="K385" i="7"/>
  <c r="N379" i="7"/>
  <c r="N385" i="7"/>
  <c r="S379" i="7"/>
  <c r="S385" i="7"/>
  <c r="T378" i="7"/>
  <c r="W379" i="7"/>
  <c r="W385" i="7"/>
  <c r="X378" i="7"/>
  <c r="AA379" i="7"/>
  <c r="AA385" i="7"/>
  <c r="AB378" i="7"/>
  <c r="AE379" i="7"/>
  <c r="AE385" i="7"/>
  <c r="AF378" i="7"/>
  <c r="AI379" i="7"/>
  <c r="AI385" i="7"/>
  <c r="AJ378" i="7"/>
  <c r="AM379" i="7"/>
  <c r="AM385" i="7"/>
  <c r="AN378" i="7"/>
  <c r="AQ379" i="7"/>
  <c r="AQ385" i="7"/>
  <c r="AR378" i="7"/>
  <c r="AU379" i="7"/>
  <c r="AU385" i="7"/>
  <c r="AV378" i="7"/>
  <c r="AY379" i="7"/>
  <c r="AY385" i="7"/>
  <c r="AZ378" i="7"/>
  <c r="BC379" i="7"/>
  <c r="BC385" i="7"/>
  <c r="BD378" i="7"/>
  <c r="AL346" i="7"/>
  <c r="AL36" i="7"/>
  <c r="AI304" i="7"/>
  <c r="AI34" i="7"/>
  <c r="L345" i="7"/>
  <c r="L351" i="7"/>
  <c r="K768" i="7"/>
  <c r="O768" i="7"/>
  <c r="S768" i="7"/>
  <c r="W768" i="7"/>
  <c r="AA768" i="7"/>
  <c r="M768" i="7"/>
  <c r="P768" i="7"/>
  <c r="AD768" i="7"/>
  <c r="AH768" i="7"/>
  <c r="AL768" i="7"/>
  <c r="AL769" i="7"/>
  <c r="AL32" i="7"/>
  <c r="AP768" i="7"/>
  <c r="AT768" i="7"/>
  <c r="AX768" i="7"/>
  <c r="BB768" i="7"/>
  <c r="H768" i="7"/>
  <c r="J768" i="7"/>
  <c r="R768" i="7"/>
  <c r="U768" i="7"/>
  <c r="V768" i="7"/>
  <c r="Y768" i="7"/>
  <c r="Z768" i="7"/>
  <c r="AC768" i="7"/>
  <c r="AG768" i="7"/>
  <c r="AK768" i="7"/>
  <c r="AO768" i="7"/>
  <c r="AS768" i="7"/>
  <c r="AW768" i="7"/>
  <c r="BA768" i="7"/>
  <c r="BE768" i="7"/>
  <c r="N768" i="7"/>
  <c r="L768" i="7"/>
  <c r="AB768" i="7"/>
  <c r="AI768" i="7"/>
  <c r="AY768" i="7"/>
  <c r="I768" i="7"/>
  <c r="Q768" i="7"/>
  <c r="T768" i="7"/>
  <c r="AQ768" i="7"/>
  <c r="AR768" i="7"/>
  <c r="AU768" i="7"/>
  <c r="AZ768" i="7"/>
  <c r="BC768" i="7"/>
  <c r="AM768" i="7"/>
  <c r="AV768" i="7"/>
  <c r="O688" i="7"/>
  <c r="O694" i="7"/>
  <c r="L688" i="7"/>
  <c r="L694" i="7"/>
  <c r="O687" i="7"/>
  <c r="AI708" i="7"/>
  <c r="N709" i="7"/>
  <c r="O52" i="23"/>
  <c r="J53" i="23"/>
  <c r="G147" i="7"/>
  <c r="G148" i="7"/>
  <c r="G149" i="7"/>
  <c r="N15" i="1"/>
  <c r="AZ89" i="7"/>
  <c r="AO783" i="7"/>
  <c r="AO77" i="7"/>
  <c r="AN89" i="7"/>
  <c r="AK79" i="7"/>
  <c r="AG783" i="7"/>
  <c r="AG77" i="7"/>
  <c r="AF89" i="7"/>
  <c r="V80" i="7"/>
  <c r="AZ304" i="7"/>
  <c r="AZ34" i="7"/>
  <c r="AL44" i="7"/>
  <c r="Q194" i="23"/>
  <c r="BC401" i="7"/>
  <c r="O89" i="7"/>
  <c r="I421" i="7"/>
  <c r="I427" i="7"/>
  <c r="BC34" i="7"/>
  <c r="BB346" i="7"/>
  <c r="BB36" i="7"/>
  <c r="AU34" i="7"/>
  <c r="AT346" i="7"/>
  <c r="AT36" i="7"/>
  <c r="AQ34" i="7"/>
  <c r="AP346" i="7"/>
  <c r="AP36" i="7"/>
  <c r="AN304" i="7"/>
  <c r="AN34" i="7"/>
  <c r="AL35" i="7"/>
  <c r="AJ304" i="7"/>
  <c r="AJ34" i="7"/>
  <c r="AG36" i="7"/>
  <c r="AF304" i="7"/>
  <c r="AF34" i="7"/>
  <c r="AR23" i="7"/>
  <c r="AR19" i="7"/>
  <c r="AB19" i="7"/>
  <c r="AB23" i="7"/>
  <c r="L19" i="7"/>
  <c r="L23" i="7"/>
  <c r="Q420" i="7"/>
  <c r="P783" i="7"/>
  <c r="P77" i="7"/>
  <c r="N420" i="7"/>
  <c r="M412" i="7"/>
  <c r="M83" i="7"/>
  <c r="M92" i="7"/>
  <c r="H400" i="7"/>
  <c r="H406" i="7"/>
  <c r="H407" i="7"/>
  <c r="I404" i="7"/>
  <c r="I400" i="7"/>
  <c r="I406" i="7"/>
  <c r="I407" i="7"/>
  <c r="J404" i="7"/>
  <c r="J400" i="7"/>
  <c r="J406" i="7"/>
  <c r="J407" i="7"/>
  <c r="K404" i="7"/>
  <c r="J399" i="7"/>
  <c r="M400" i="7"/>
  <c r="M406" i="7"/>
  <c r="N399" i="7"/>
  <c r="Q400" i="7"/>
  <c r="Q406" i="7"/>
  <c r="K399" i="7"/>
  <c r="N400" i="7"/>
  <c r="N406" i="7"/>
  <c r="O399" i="7"/>
  <c r="L442" i="7"/>
  <c r="P442" i="7"/>
  <c r="I442" i="7"/>
  <c r="M442" i="7"/>
  <c r="Q442" i="7"/>
  <c r="BD304" i="7"/>
  <c r="BD34" i="7"/>
  <c r="AX346" i="7"/>
  <c r="AX36" i="7"/>
  <c r="AH346" i="7"/>
  <c r="AH36" i="7"/>
  <c r="I344" i="7"/>
  <c r="J345" i="7"/>
  <c r="J351" i="7"/>
  <c r="M344" i="7"/>
  <c r="N345" i="7"/>
  <c r="N351" i="7"/>
  <c r="Q344" i="7"/>
  <c r="R345" i="7"/>
  <c r="R351" i="7"/>
  <c r="H344" i="7"/>
  <c r="K345" i="7"/>
  <c r="K351" i="7"/>
  <c r="M345" i="7"/>
  <c r="M351" i="7"/>
  <c r="P345" i="7"/>
  <c r="P351" i="7"/>
  <c r="S345" i="7"/>
  <c r="S351" i="7"/>
  <c r="H345" i="7"/>
  <c r="H351" i="7"/>
  <c r="H352" i="7"/>
  <c r="I349" i="7"/>
  <c r="I352" i="7"/>
  <c r="J349" i="7"/>
  <c r="J352" i="7"/>
  <c r="K349" i="7"/>
  <c r="K352" i="7"/>
  <c r="L349" i="7"/>
  <c r="L352" i="7"/>
  <c r="M349" i="7"/>
  <c r="M352" i="7"/>
  <c r="N349" i="7"/>
  <c r="N352" i="7"/>
  <c r="O349" i="7"/>
  <c r="O352" i="7"/>
  <c r="P349" i="7"/>
  <c r="P352" i="7"/>
  <c r="Q349" i="7"/>
  <c r="Q352" i="7"/>
  <c r="R349" i="7"/>
  <c r="R352" i="7"/>
  <c r="S349" i="7"/>
  <c r="S352" i="7"/>
  <c r="T349" i="7"/>
  <c r="T352" i="7"/>
  <c r="U349" i="7"/>
  <c r="U352" i="7"/>
  <c r="V349" i="7"/>
  <c r="V352" i="7"/>
  <c r="W349" i="7"/>
  <c r="W352" i="7"/>
  <c r="X349" i="7"/>
  <c r="X352" i="7"/>
  <c r="Y349" i="7"/>
  <c r="Y352" i="7"/>
  <c r="Z349" i="7"/>
  <c r="Z352" i="7"/>
  <c r="AA349" i="7"/>
  <c r="AA352" i="7"/>
  <c r="AB349" i="7"/>
  <c r="AB352" i="7"/>
  <c r="AC349" i="7"/>
  <c r="AC352" i="7"/>
  <c r="AD349" i="7"/>
  <c r="AD352" i="7"/>
  <c r="AE349" i="7"/>
  <c r="AE352" i="7"/>
  <c r="AF349" i="7"/>
  <c r="AF352" i="7"/>
  <c r="AG349" i="7"/>
  <c r="AG352" i="7"/>
  <c r="AH349" i="7"/>
  <c r="AH352" i="7"/>
  <c r="AI349" i="7"/>
  <c r="AI352" i="7"/>
  <c r="AJ349" i="7"/>
  <c r="AJ352" i="7"/>
  <c r="AK349" i="7"/>
  <c r="AK352" i="7"/>
  <c r="AL349" i="7"/>
  <c r="AL352" i="7"/>
  <c r="AM349" i="7"/>
  <c r="AM352" i="7"/>
  <c r="AN349" i="7"/>
  <c r="AN352" i="7"/>
  <c r="AO349" i="7"/>
  <c r="AO352" i="7"/>
  <c r="AP349" i="7"/>
  <c r="AP352" i="7"/>
  <c r="AQ349" i="7"/>
  <c r="AQ352" i="7"/>
  <c r="AR349" i="7"/>
  <c r="AR352" i="7"/>
  <c r="AS349" i="7"/>
  <c r="AS352" i="7"/>
  <c r="AT349" i="7"/>
  <c r="AT352" i="7"/>
  <c r="AU349" i="7"/>
  <c r="AU352" i="7"/>
  <c r="AV349" i="7"/>
  <c r="AV352" i="7"/>
  <c r="AW349" i="7"/>
  <c r="AW352" i="7"/>
  <c r="AX349" i="7"/>
  <c r="AX352" i="7"/>
  <c r="AY349" i="7"/>
  <c r="AY352" i="7"/>
  <c r="AZ349" i="7"/>
  <c r="AZ352" i="7"/>
  <c r="BA349" i="7"/>
  <c r="BA352" i="7"/>
  <c r="BB349" i="7"/>
  <c r="BB352" i="7"/>
  <c r="BC349" i="7"/>
  <c r="BC352" i="7"/>
  <c r="BD349" i="7"/>
  <c r="BD352" i="7"/>
  <c r="BE349" i="7"/>
  <c r="BE352" i="7"/>
  <c r="J344" i="7"/>
  <c r="L344" i="7"/>
  <c r="O344" i="7"/>
  <c r="R344" i="7"/>
  <c r="K344" i="7"/>
  <c r="N344" i="7"/>
  <c r="P344" i="7"/>
  <c r="S344" i="7"/>
  <c r="AW19" i="7"/>
  <c r="AW23" i="7"/>
  <c r="AG19" i="7"/>
  <c r="AG23" i="7"/>
  <c r="Q19" i="7"/>
  <c r="Q23" i="7"/>
  <c r="K89" i="7"/>
  <c r="H420" i="7"/>
  <c r="J421" i="7"/>
  <c r="J427" i="7"/>
  <c r="K420" i="7"/>
  <c r="N421" i="7"/>
  <c r="N427" i="7"/>
  <c r="O420" i="7"/>
  <c r="H421" i="7"/>
  <c r="H427" i="7"/>
  <c r="H428" i="7"/>
  <c r="I425" i="7"/>
  <c r="I428" i="7"/>
  <c r="J425" i="7"/>
  <c r="J428" i="7"/>
  <c r="K425" i="7"/>
  <c r="K421" i="7"/>
  <c r="K427" i="7"/>
  <c r="K428" i="7"/>
  <c r="L425" i="7"/>
  <c r="L420" i="7"/>
  <c r="O421" i="7"/>
  <c r="O427" i="7"/>
  <c r="P420" i="7"/>
  <c r="K412" i="7"/>
  <c r="K83" i="7"/>
  <c r="K92" i="7"/>
  <c r="O412" i="7"/>
  <c r="O83" i="7"/>
  <c r="O92" i="7"/>
  <c r="H412" i="7"/>
  <c r="H83" i="7"/>
  <c r="L412" i="7"/>
  <c r="L83" i="7"/>
  <c r="L92" i="7"/>
  <c r="P412" i="7"/>
  <c r="P83" i="7"/>
  <c r="P92" i="7"/>
  <c r="BB35" i="7"/>
  <c r="AV304" i="7"/>
  <c r="AV34" i="7"/>
  <c r="AU769" i="7"/>
  <c r="AU32" i="7"/>
  <c r="AD346" i="7"/>
  <c r="AD36" i="7"/>
  <c r="N34" i="7"/>
  <c r="N304" i="7"/>
  <c r="N767" i="7"/>
  <c r="N769" i="7"/>
  <c r="N32" i="7"/>
  <c r="R767" i="7"/>
  <c r="R769" i="7"/>
  <c r="R32" i="7"/>
  <c r="Z767" i="7"/>
  <c r="Z769" i="7"/>
  <c r="Z32" i="7"/>
  <c r="AC767" i="7"/>
  <c r="AC769" i="7"/>
  <c r="AC32" i="7"/>
  <c r="AG767" i="7"/>
  <c r="AG769" i="7"/>
  <c r="AG32" i="7"/>
  <c r="AS767" i="7"/>
  <c r="AS769" i="7"/>
  <c r="AS32" i="7"/>
  <c r="BE767" i="7"/>
  <c r="BE769" i="7"/>
  <c r="BE32" i="7"/>
  <c r="X767" i="7"/>
  <c r="AN767" i="7"/>
  <c r="AV767" i="7"/>
  <c r="AV769" i="7"/>
  <c r="AV32" i="7"/>
  <c r="AZ767" i="7"/>
  <c r="AZ769" i="7"/>
  <c r="AZ32" i="7"/>
  <c r="K767" i="7"/>
  <c r="K769" i="7"/>
  <c r="K32" i="7"/>
  <c r="P767" i="7"/>
  <c r="P769" i="7"/>
  <c r="P32" i="7"/>
  <c r="S767" i="7"/>
  <c r="S769" i="7"/>
  <c r="S32" i="7"/>
  <c r="W767" i="7"/>
  <c r="W769" i="7"/>
  <c r="W32" i="7"/>
  <c r="AA767" i="7"/>
  <c r="AA769" i="7"/>
  <c r="AA32" i="7"/>
  <c r="H37" i="7"/>
  <c r="H46" i="7"/>
  <c r="AZ23" i="7"/>
  <c r="AZ19" i="7"/>
  <c r="AJ23" i="7"/>
  <c r="AJ19" i="7"/>
  <c r="T19" i="7"/>
  <c r="T23" i="7"/>
  <c r="H323" i="7"/>
  <c r="J323" i="7"/>
  <c r="K324" i="7"/>
  <c r="K330" i="7"/>
  <c r="N323" i="7"/>
  <c r="O324" i="7"/>
  <c r="O330" i="7"/>
  <c r="R323" i="7"/>
  <c r="S324" i="7"/>
  <c r="S330" i="7"/>
  <c r="V323" i="7"/>
  <c r="W324" i="7"/>
  <c r="W330" i="7"/>
  <c r="Z323" i="7"/>
  <c r="AA324" i="7"/>
  <c r="AA330" i="7"/>
  <c r="J169" i="23"/>
  <c r="AO324" i="7"/>
  <c r="AO330" i="7"/>
  <c r="AN323" i="7"/>
  <c r="AK324" i="7"/>
  <c r="AK330" i="7"/>
  <c r="AJ323" i="7"/>
  <c r="AG324" i="7"/>
  <c r="AG330" i="7"/>
  <c r="AF323" i="7"/>
  <c r="AC324" i="7"/>
  <c r="AC330" i="7"/>
  <c r="AA323" i="7"/>
  <c r="Z304" i="7"/>
  <c r="Y323" i="7"/>
  <c r="X35" i="7"/>
  <c r="W323" i="7"/>
  <c r="W23" i="7"/>
  <c r="V304" i="7"/>
  <c r="U323" i="7"/>
  <c r="S323" i="7"/>
  <c r="Q304" i="7"/>
  <c r="P323" i="7"/>
  <c r="N324" i="7"/>
  <c r="N330" i="7"/>
  <c r="M323" i="7"/>
  <c r="L35" i="7"/>
  <c r="K323" i="7"/>
  <c r="I304" i="7"/>
  <c r="H763" i="7"/>
  <c r="H767" i="7"/>
  <c r="H769" i="7"/>
  <c r="H32" i="7"/>
  <c r="I763" i="7"/>
  <c r="I767" i="7"/>
  <c r="I769" i="7"/>
  <c r="I32" i="7"/>
  <c r="M763" i="7"/>
  <c r="M767" i="7"/>
  <c r="M769" i="7"/>
  <c r="M32" i="7"/>
  <c r="Q763" i="7"/>
  <c r="Q767" i="7"/>
  <c r="Q769" i="7"/>
  <c r="Q32" i="7"/>
  <c r="U763" i="7"/>
  <c r="U767" i="7"/>
  <c r="U769" i="7"/>
  <c r="U32" i="7"/>
  <c r="Y763" i="7"/>
  <c r="Y767" i="7"/>
  <c r="Y769" i="7"/>
  <c r="Y32" i="7"/>
  <c r="H366" i="7"/>
  <c r="H367" i="7"/>
  <c r="L366" i="7"/>
  <c r="P366" i="7"/>
  <c r="T366" i="7"/>
  <c r="X366" i="7"/>
  <c r="AB366" i="7"/>
  <c r="H120" i="7"/>
  <c r="H117" i="7"/>
  <c r="H122" i="7"/>
  <c r="H118" i="7"/>
  <c r="H119" i="7"/>
  <c r="AP324" i="7"/>
  <c r="AP330" i="7"/>
  <c r="AO323" i="7"/>
  <c r="AL324" i="7"/>
  <c r="AL330" i="7"/>
  <c r="AK323" i="7"/>
  <c r="AH324" i="7"/>
  <c r="AH330" i="7"/>
  <c r="AG323" i="7"/>
  <c r="AD324" i="7"/>
  <c r="AD330" i="7"/>
  <c r="AC323" i="7"/>
  <c r="AB324" i="7"/>
  <c r="AB330" i="7"/>
  <c r="X324" i="7"/>
  <c r="X330" i="7"/>
  <c r="T324" i="7"/>
  <c r="T330" i="7"/>
  <c r="Q34" i="7"/>
  <c r="Q324" i="7"/>
  <c r="Q330" i="7"/>
  <c r="L763" i="7"/>
  <c r="L767" i="7"/>
  <c r="L769" i="7"/>
  <c r="L32" i="7"/>
  <c r="L324" i="7"/>
  <c r="L330" i="7"/>
  <c r="K366" i="7"/>
  <c r="J763" i="7"/>
  <c r="J767" i="7"/>
  <c r="J769" i="7"/>
  <c r="J32" i="7"/>
  <c r="I34" i="7"/>
  <c r="I324" i="7"/>
  <c r="I330" i="7"/>
  <c r="H324" i="7"/>
  <c r="H330" i="7"/>
  <c r="H331" i="7"/>
  <c r="I328" i="7"/>
  <c r="H302" i="7"/>
  <c r="K302" i="7"/>
  <c r="L303" i="7"/>
  <c r="O302" i="7"/>
  <c r="P303" i="7"/>
  <c r="P309" i="7"/>
  <c r="S302" i="7"/>
  <c r="T303" i="7"/>
  <c r="W302" i="7"/>
  <c r="X303" i="7"/>
  <c r="AA302" i="7"/>
  <c r="AB303" i="7"/>
  <c r="I336" i="7"/>
  <c r="I38" i="7"/>
  <c r="M336" i="7"/>
  <c r="M38" i="7"/>
  <c r="M47" i="7"/>
  <c r="Q336" i="7"/>
  <c r="Q38" i="7"/>
  <c r="Q47" i="7"/>
  <c r="U336" i="7"/>
  <c r="U38" i="7"/>
  <c r="U47" i="7"/>
  <c r="Y336" i="7"/>
  <c r="Y38" i="7"/>
  <c r="Y47" i="7"/>
  <c r="AC19" i="7"/>
  <c r="Z19" i="7"/>
  <c r="U19" i="7"/>
  <c r="R19" i="7"/>
  <c r="M19" i="7"/>
  <c r="J19" i="7"/>
  <c r="I120" i="7"/>
  <c r="I117" i="7"/>
  <c r="I122" i="7"/>
  <c r="H212" i="7"/>
  <c r="H209" i="7"/>
  <c r="H214" i="7"/>
  <c r="H210" i="7"/>
  <c r="H211" i="7"/>
  <c r="J134" i="6"/>
  <c r="I118" i="7"/>
  <c r="N134" i="6"/>
  <c r="I27" i="7"/>
  <c r="R134" i="6"/>
  <c r="I211" i="7"/>
  <c r="K134" i="6"/>
  <c r="I163" i="7"/>
  <c r="O134" i="6"/>
  <c r="I72" i="7"/>
  <c r="S134" i="6"/>
  <c r="L134" i="6"/>
  <c r="I210" i="7"/>
  <c r="J165" i="7"/>
  <c r="J162" i="7"/>
  <c r="J167" i="7"/>
  <c r="M134" i="6"/>
  <c r="I134" i="6"/>
  <c r="I71" i="7"/>
  <c r="P134" i="6"/>
  <c r="I119" i="7"/>
  <c r="I257" i="7"/>
  <c r="I254" i="7"/>
  <c r="I259" i="7"/>
  <c r="I256" i="7"/>
  <c r="J257" i="7"/>
  <c r="J254" i="7"/>
  <c r="J259" i="7"/>
  <c r="J212" i="7"/>
  <c r="J209" i="7"/>
  <c r="J214" i="7"/>
  <c r="I255" i="7"/>
  <c r="H257" i="7"/>
  <c r="H254" i="7"/>
  <c r="H259" i="7"/>
  <c r="H255" i="7"/>
  <c r="Q134" i="6"/>
  <c r="I164" i="7"/>
  <c r="H165" i="7"/>
  <c r="H162" i="7"/>
  <c r="H167" i="7"/>
  <c r="H163" i="7"/>
  <c r="P72" i="17"/>
  <c r="V72" i="17"/>
  <c r="I73" i="17"/>
  <c r="S255" i="4"/>
  <c r="AA255" i="4"/>
  <c r="H92" i="7"/>
  <c r="P271" i="4"/>
  <c r="AA271" i="4"/>
  <c r="S72" i="17"/>
  <c r="I213" i="17"/>
  <c r="H77" i="17"/>
  <c r="X304" i="7"/>
  <c r="X309" i="7"/>
  <c r="H34" i="7"/>
  <c r="H304" i="7"/>
  <c r="J26" i="7"/>
  <c r="T39" i="7"/>
  <c r="T48" i="7"/>
  <c r="T367" i="7"/>
  <c r="J28" i="7"/>
  <c r="J25" i="7"/>
  <c r="J30" i="7"/>
  <c r="U35" i="7"/>
  <c r="H35" i="7"/>
  <c r="H325" i="7"/>
  <c r="L81" i="7"/>
  <c r="AW44" i="7"/>
  <c r="N346" i="7"/>
  <c r="N36" i="7"/>
  <c r="L36" i="7"/>
  <c r="L346" i="7"/>
  <c r="I84" i="7"/>
  <c r="I443" i="7"/>
  <c r="N80" i="7"/>
  <c r="N401" i="7"/>
  <c r="N422" i="7"/>
  <c r="N81" i="7"/>
  <c r="Q422" i="7"/>
  <c r="Q81" i="7"/>
  <c r="J54" i="23"/>
  <c r="O53" i="23"/>
  <c r="O689" i="7"/>
  <c r="O278" i="7"/>
  <c r="O263" i="7"/>
  <c r="BB380" i="7"/>
  <c r="BB79" i="7"/>
  <c r="AT380" i="7"/>
  <c r="AT79" i="7"/>
  <c r="AL380" i="7"/>
  <c r="AL79" i="7"/>
  <c r="AD380" i="7"/>
  <c r="AD79" i="7"/>
  <c r="V380" i="7"/>
  <c r="V79" i="7"/>
  <c r="H79" i="7"/>
  <c r="H380" i="7"/>
  <c r="J386" i="7"/>
  <c r="K383" i="7"/>
  <c r="K386" i="7"/>
  <c r="L383" i="7"/>
  <c r="L386" i="7"/>
  <c r="M383" i="7"/>
  <c r="M386" i="7"/>
  <c r="N383" i="7"/>
  <c r="N386" i="7"/>
  <c r="O383" i="7"/>
  <c r="O386" i="7"/>
  <c r="P383" i="7"/>
  <c r="P386" i="7"/>
  <c r="Q383" i="7"/>
  <c r="Q386" i="7"/>
  <c r="R383" i="7"/>
  <c r="R386" i="7"/>
  <c r="S383" i="7"/>
  <c r="S386" i="7"/>
  <c r="T383" i="7"/>
  <c r="T386" i="7"/>
  <c r="U383" i="7"/>
  <c r="U386" i="7"/>
  <c r="V383" i="7"/>
  <c r="V386" i="7"/>
  <c r="W383" i="7"/>
  <c r="W386" i="7"/>
  <c r="X383" i="7"/>
  <c r="Y44" i="7"/>
  <c r="AO44" i="7"/>
  <c r="AD325" i="7"/>
  <c r="AD49" i="7"/>
  <c r="AP612" i="7"/>
  <c r="AP233" i="7"/>
  <c r="AP218" i="7"/>
  <c r="AY612" i="7"/>
  <c r="AY233" i="7"/>
  <c r="AY218" i="7"/>
  <c r="AS617" i="7"/>
  <c r="AS612" i="7"/>
  <c r="AZ218" i="7"/>
  <c r="AZ612" i="7"/>
  <c r="AZ233" i="7"/>
  <c r="AX218" i="7"/>
  <c r="AX612" i="7"/>
  <c r="AX233" i="7"/>
  <c r="S612" i="7"/>
  <c r="S233" i="7"/>
  <c r="S617" i="7"/>
  <c r="AF617" i="7"/>
  <c r="AF612" i="7"/>
  <c r="V560" i="7"/>
  <c r="V555" i="7"/>
  <c r="AL560" i="7"/>
  <c r="AL555" i="7"/>
  <c r="AK172" i="7"/>
  <c r="AK555" i="7"/>
  <c r="N172" i="7"/>
  <c r="N555" i="7"/>
  <c r="AU171" i="7"/>
  <c r="AU534" i="7"/>
  <c r="AU186" i="7"/>
  <c r="AH171" i="7"/>
  <c r="AH534" i="7"/>
  <c r="AM534" i="7"/>
  <c r="AM171" i="7"/>
  <c r="AO171" i="7"/>
  <c r="AO534" i="7"/>
  <c r="AO186" i="7"/>
  <c r="Z171" i="7"/>
  <c r="Z534" i="7"/>
  <c r="AP171" i="7"/>
  <c r="AP534" i="7"/>
  <c r="AX171" i="7"/>
  <c r="AX534" i="7"/>
  <c r="AX186" i="7"/>
  <c r="AG534" i="7"/>
  <c r="AG186" i="7"/>
  <c r="AG171" i="7"/>
  <c r="K171" i="7"/>
  <c r="K534" i="7"/>
  <c r="K186" i="7"/>
  <c r="BA171" i="7"/>
  <c r="BA534" i="7"/>
  <c r="BA186" i="7"/>
  <c r="W213" i="4"/>
  <c r="L213" i="4"/>
  <c r="I271" i="4"/>
  <c r="S271" i="4"/>
  <c r="T255" i="4"/>
  <c r="U213" i="4"/>
  <c r="Y213" i="4"/>
  <c r="P213" i="4"/>
  <c r="Y271" i="4"/>
  <c r="L271" i="4"/>
  <c r="Z255" i="4"/>
  <c r="R213" i="17"/>
  <c r="R68" i="17"/>
  <c r="R91" i="17"/>
  <c r="W304" i="7"/>
  <c r="W34" i="7"/>
  <c r="O34" i="7"/>
  <c r="O304" i="7"/>
  <c r="AG35" i="7"/>
  <c r="AG325" i="7"/>
  <c r="AG49" i="7"/>
  <c r="H137" i="7"/>
  <c r="H142" i="7"/>
  <c r="P39" i="7"/>
  <c r="P48" i="7"/>
  <c r="P367" i="7"/>
  <c r="K35" i="7"/>
  <c r="K325" i="7"/>
  <c r="Y35" i="7"/>
  <c r="AN35" i="7"/>
  <c r="J120" i="7"/>
  <c r="J117" i="7"/>
  <c r="J122" i="7"/>
  <c r="V35" i="7"/>
  <c r="N35" i="7"/>
  <c r="N325" i="7"/>
  <c r="N49" i="7"/>
  <c r="L325" i="7"/>
  <c r="T44" i="7"/>
  <c r="AZ44" i="7"/>
  <c r="K422" i="7"/>
  <c r="K81" i="7"/>
  <c r="Q401" i="7"/>
  <c r="K346" i="7"/>
  <c r="K36" i="7"/>
  <c r="J36" i="7"/>
  <c r="J346" i="7"/>
  <c r="Q346" i="7"/>
  <c r="Q36" i="7"/>
  <c r="I346" i="7"/>
  <c r="I36" i="7"/>
  <c r="P84" i="7"/>
  <c r="P93" i="7"/>
  <c r="P443" i="7"/>
  <c r="K80" i="7"/>
  <c r="L44" i="7"/>
  <c r="AB44" i="7"/>
  <c r="AL325" i="7"/>
  <c r="AL49" i="7"/>
  <c r="AZ79" i="7"/>
  <c r="AR79" i="7"/>
  <c r="AJ380" i="7"/>
  <c r="AJ79" i="7"/>
  <c r="AB79" i="7"/>
  <c r="T380" i="7"/>
  <c r="T79" i="7"/>
  <c r="BC79" i="7"/>
  <c r="BC380" i="7"/>
  <c r="AU79" i="7"/>
  <c r="AU380" i="7"/>
  <c r="AM79" i="7"/>
  <c r="AM380" i="7"/>
  <c r="AE79" i="7"/>
  <c r="AE380" i="7"/>
  <c r="AE94" i="7"/>
  <c r="W79" i="7"/>
  <c r="W380" i="7"/>
  <c r="L380" i="7"/>
  <c r="L79" i="7"/>
  <c r="R380" i="7"/>
  <c r="R79" i="7"/>
  <c r="J79" i="7"/>
  <c r="J380" i="7"/>
  <c r="M380" i="7"/>
  <c r="M79" i="7"/>
  <c r="AO380" i="7"/>
  <c r="V218" i="7"/>
  <c r="V612" i="7"/>
  <c r="V233" i="7"/>
  <c r="AI218" i="7"/>
  <c r="AI612" i="7"/>
  <c r="AB612" i="7"/>
  <c r="AB233" i="7"/>
  <c r="AB218" i="7"/>
  <c r="AR218" i="7"/>
  <c r="AR612" i="7"/>
  <c r="AR233" i="7"/>
  <c r="AO617" i="7"/>
  <c r="AO612" i="7"/>
  <c r="AO233" i="7"/>
  <c r="AJ218" i="7"/>
  <c r="AJ612" i="7"/>
  <c r="AT218" i="7"/>
  <c r="AT612" i="7"/>
  <c r="AN218" i="7"/>
  <c r="AN612" i="7"/>
  <c r="AN233" i="7"/>
  <c r="BA218" i="7"/>
  <c r="BA612" i="7"/>
  <c r="BA233" i="7"/>
  <c r="AW617" i="7"/>
  <c r="AW612" i="7"/>
  <c r="AW233" i="7"/>
  <c r="Q172" i="7"/>
  <c r="Q555" i="7"/>
  <c r="T171" i="7"/>
  <c r="T534" i="7"/>
  <c r="T186" i="7"/>
  <c r="AQ171" i="7"/>
  <c r="AQ534" i="7"/>
  <c r="AQ186" i="7"/>
  <c r="AN534" i="7"/>
  <c r="AN186" i="7"/>
  <c r="AN171" i="7"/>
  <c r="Q171" i="7"/>
  <c r="Q534" i="7"/>
  <c r="Q186" i="7"/>
  <c r="AL534" i="7"/>
  <c r="AL186" i="7"/>
  <c r="AL171" i="7"/>
  <c r="W534" i="7"/>
  <c r="W171" i="7"/>
  <c r="AT171" i="7"/>
  <c r="AT534" i="7"/>
  <c r="AI171" i="7"/>
  <c r="AI534" i="7"/>
  <c r="AI186" i="7"/>
  <c r="AS534" i="7"/>
  <c r="AS186" i="7"/>
  <c r="AS171" i="7"/>
  <c r="I171" i="7"/>
  <c r="I534" i="7"/>
  <c r="AV171" i="7"/>
  <c r="AV534" i="7"/>
  <c r="AV186" i="7"/>
  <c r="S171" i="7"/>
  <c r="S534" i="7"/>
  <c r="S186" i="7"/>
  <c r="Q278" i="7"/>
  <c r="S213" i="4"/>
  <c r="AA213" i="4"/>
  <c r="Q213" i="4"/>
  <c r="N271" i="4"/>
  <c r="W271" i="4"/>
  <c r="R271" i="4"/>
  <c r="J271" i="4"/>
  <c r="X255" i="4"/>
  <c r="O72" i="17"/>
  <c r="J213" i="17"/>
  <c r="M76" i="17"/>
  <c r="Z68" i="17"/>
  <c r="Z91" i="17"/>
  <c r="J135" i="6"/>
  <c r="N135" i="6"/>
  <c r="R135" i="6"/>
  <c r="J211" i="7"/>
  <c r="K135" i="6"/>
  <c r="O135" i="6"/>
  <c r="J72" i="7"/>
  <c r="S135" i="6"/>
  <c r="J256" i="7"/>
  <c r="P135" i="6"/>
  <c r="J119" i="7"/>
  <c r="I135" i="6"/>
  <c r="J71" i="7"/>
  <c r="Q135" i="6"/>
  <c r="J164" i="7"/>
  <c r="M135" i="6"/>
  <c r="J255" i="7"/>
  <c r="L135" i="6"/>
  <c r="J210" i="7"/>
  <c r="J163" i="7"/>
  <c r="K28" i="7"/>
  <c r="K25" i="7"/>
  <c r="K30" i="7"/>
  <c r="K26" i="7"/>
  <c r="J27" i="7"/>
  <c r="AB304" i="7"/>
  <c r="AB309" i="7"/>
  <c r="T304" i="7"/>
  <c r="T309" i="7"/>
  <c r="L304" i="7"/>
  <c r="L49" i="7"/>
  <c r="L309" i="7"/>
  <c r="L310" i="7"/>
  <c r="M307" i="7"/>
  <c r="M310" i="7"/>
  <c r="N307" i="7"/>
  <c r="N310" i="7"/>
  <c r="O307" i="7"/>
  <c r="O310" i="7"/>
  <c r="P307" i="7"/>
  <c r="P310" i="7"/>
  <c r="Q307" i="7"/>
  <c r="Q310" i="7"/>
  <c r="R307" i="7"/>
  <c r="R310" i="7"/>
  <c r="S307" i="7"/>
  <c r="S310" i="7"/>
  <c r="T307" i="7"/>
  <c r="T310" i="7"/>
  <c r="U307" i="7"/>
  <c r="U310" i="7"/>
  <c r="V307" i="7"/>
  <c r="V310" i="7"/>
  <c r="W307" i="7"/>
  <c r="W310" i="7"/>
  <c r="X307" i="7"/>
  <c r="X310" i="7"/>
  <c r="Y307" i="7"/>
  <c r="Y310" i="7"/>
  <c r="Z307" i="7"/>
  <c r="Z310" i="7"/>
  <c r="AA307" i="7"/>
  <c r="AA310" i="7"/>
  <c r="AB307" i="7"/>
  <c r="AB310" i="7"/>
  <c r="AC307" i="7"/>
  <c r="AC310" i="7"/>
  <c r="AD307" i="7"/>
  <c r="AD310" i="7"/>
  <c r="AE307" i="7"/>
  <c r="AE310" i="7"/>
  <c r="AF307" i="7"/>
  <c r="AF310" i="7"/>
  <c r="AG307" i="7"/>
  <c r="AG310" i="7"/>
  <c r="AH307" i="7"/>
  <c r="AH310" i="7"/>
  <c r="AI307" i="7"/>
  <c r="AI310" i="7"/>
  <c r="AJ307" i="7"/>
  <c r="AJ310" i="7"/>
  <c r="AK307" i="7"/>
  <c r="AK310" i="7"/>
  <c r="AL307" i="7"/>
  <c r="AL310" i="7"/>
  <c r="AM307" i="7"/>
  <c r="AM310" i="7"/>
  <c r="AN307" i="7"/>
  <c r="AN310" i="7"/>
  <c r="AO307" i="7"/>
  <c r="AO310" i="7"/>
  <c r="AP307" i="7"/>
  <c r="AP310" i="7"/>
  <c r="AQ307" i="7"/>
  <c r="AQ310" i="7"/>
  <c r="AR307" i="7"/>
  <c r="AR310" i="7"/>
  <c r="AS307" i="7"/>
  <c r="AS310" i="7"/>
  <c r="AT307" i="7"/>
  <c r="AT310" i="7"/>
  <c r="AU307" i="7"/>
  <c r="AU310" i="7"/>
  <c r="AV307" i="7"/>
  <c r="AV310" i="7"/>
  <c r="AW307" i="7"/>
  <c r="AW310" i="7"/>
  <c r="AX307" i="7"/>
  <c r="AX310" i="7"/>
  <c r="AY307" i="7"/>
  <c r="AY310" i="7"/>
  <c r="AZ307" i="7"/>
  <c r="AZ310" i="7"/>
  <c r="BA307" i="7"/>
  <c r="BA310" i="7"/>
  <c r="BB307" i="7"/>
  <c r="BB310" i="7"/>
  <c r="BC307" i="7"/>
  <c r="BC310" i="7"/>
  <c r="BD307" i="7"/>
  <c r="BD310" i="7"/>
  <c r="BE307" i="7"/>
  <c r="BE310" i="7"/>
  <c r="K39" i="7"/>
  <c r="K48" i="7"/>
  <c r="K367" i="7"/>
  <c r="AC35" i="7"/>
  <c r="AC325" i="7"/>
  <c r="AC49" i="7"/>
  <c r="AO35" i="7"/>
  <c r="AO325" i="7"/>
  <c r="J118" i="7"/>
  <c r="AB39" i="7"/>
  <c r="AB48" i="7"/>
  <c r="AB367" i="7"/>
  <c r="L39" i="7"/>
  <c r="L48" i="7"/>
  <c r="L367" i="7"/>
  <c r="P325" i="7"/>
  <c r="P35" i="7"/>
  <c r="S35" i="7"/>
  <c r="S325" i="7"/>
  <c r="W44" i="7"/>
  <c r="AJ35" i="7"/>
  <c r="K73" i="7"/>
  <c r="K70" i="7"/>
  <c r="K75" i="7"/>
  <c r="J73" i="7"/>
  <c r="J70" i="7"/>
  <c r="J75" i="7"/>
  <c r="AJ44" i="7"/>
  <c r="P81" i="7"/>
  <c r="Q44" i="7"/>
  <c r="AG44" i="7"/>
  <c r="S346" i="7"/>
  <c r="S36" i="7"/>
  <c r="R36" i="7"/>
  <c r="R346" i="7"/>
  <c r="Q84" i="7"/>
  <c r="Q93" i="7"/>
  <c r="Q443" i="7"/>
  <c r="L84" i="7"/>
  <c r="L93" i="7"/>
  <c r="L443" i="7"/>
  <c r="J80" i="7"/>
  <c r="J401" i="7"/>
  <c r="AR44" i="7"/>
  <c r="N715" i="7"/>
  <c r="N716" i="7"/>
  <c r="O713" i="7"/>
  <c r="O716" i="7"/>
  <c r="P713" i="7"/>
  <c r="P716" i="7"/>
  <c r="Q713" i="7"/>
  <c r="Q716" i="7"/>
  <c r="R713" i="7"/>
  <c r="R716" i="7"/>
  <c r="S713" i="7"/>
  <c r="S716" i="7"/>
  <c r="T713" i="7"/>
  <c r="T716" i="7"/>
  <c r="U713" i="7"/>
  <c r="U716" i="7"/>
  <c r="V713" i="7"/>
  <c r="V716" i="7"/>
  <c r="W713" i="7"/>
  <c r="W716" i="7"/>
  <c r="X713" i="7"/>
  <c r="X716" i="7"/>
  <c r="Y713" i="7"/>
  <c r="Y716" i="7"/>
  <c r="Z713" i="7"/>
  <c r="Z716" i="7"/>
  <c r="AA713" i="7"/>
  <c r="AA716" i="7"/>
  <c r="AB713" i="7"/>
  <c r="AB716" i="7"/>
  <c r="AC713" i="7"/>
  <c r="AC716" i="7"/>
  <c r="AD713" i="7"/>
  <c r="AD716" i="7"/>
  <c r="AE713" i="7"/>
  <c r="AE716" i="7"/>
  <c r="AF713" i="7"/>
  <c r="AF716" i="7"/>
  <c r="AG713" i="7"/>
  <c r="AG716" i="7"/>
  <c r="AH713" i="7"/>
  <c r="AH716" i="7"/>
  <c r="AI713" i="7"/>
  <c r="AI716" i="7"/>
  <c r="AJ713" i="7"/>
  <c r="AJ716" i="7"/>
  <c r="AK713" i="7"/>
  <c r="AK716" i="7"/>
  <c r="AL713" i="7"/>
  <c r="AL716" i="7"/>
  <c r="AM713" i="7"/>
  <c r="AM716" i="7"/>
  <c r="AN713" i="7"/>
  <c r="AN716" i="7"/>
  <c r="AO713" i="7"/>
  <c r="AO716" i="7"/>
  <c r="AP713" i="7"/>
  <c r="AP716" i="7"/>
  <c r="AQ713" i="7"/>
  <c r="AQ716" i="7"/>
  <c r="AR713" i="7"/>
  <c r="AR716" i="7"/>
  <c r="AS713" i="7"/>
  <c r="AS716" i="7"/>
  <c r="AT713" i="7"/>
  <c r="AT716" i="7"/>
  <c r="AU713" i="7"/>
  <c r="AU716" i="7"/>
  <c r="AV713" i="7"/>
  <c r="AV716" i="7"/>
  <c r="AW713" i="7"/>
  <c r="AW716" i="7"/>
  <c r="AX713" i="7"/>
  <c r="AX716" i="7"/>
  <c r="AY713" i="7"/>
  <c r="AY716" i="7"/>
  <c r="AZ713" i="7"/>
  <c r="AZ716" i="7"/>
  <c r="BA713" i="7"/>
  <c r="N710" i="7"/>
  <c r="K380" i="7"/>
  <c r="K79" i="7"/>
  <c r="AX380" i="7"/>
  <c r="AX79" i="7"/>
  <c r="AP380" i="7"/>
  <c r="AP79" i="7"/>
  <c r="AH380" i="7"/>
  <c r="AH79" i="7"/>
  <c r="Z380" i="7"/>
  <c r="Z79" i="7"/>
  <c r="I422" i="7"/>
  <c r="AG380" i="7"/>
  <c r="BE612" i="7"/>
  <c r="BE233" i="7"/>
  <c r="BE218" i="7"/>
  <c r="BC218" i="7"/>
  <c r="BC612" i="7"/>
  <c r="BC233" i="7"/>
  <c r="Y612" i="7"/>
  <c r="Y233" i="7"/>
  <c r="Y218" i="7"/>
  <c r="AK612" i="7"/>
  <c r="AK233" i="7"/>
  <c r="AK218" i="7"/>
  <c r="AH612" i="7"/>
  <c r="AH233" i="7"/>
  <c r="AH218" i="7"/>
  <c r="AE612" i="7"/>
  <c r="AE233" i="7"/>
  <c r="AE218" i="7"/>
  <c r="AD612" i="7"/>
  <c r="AD218" i="7"/>
  <c r="AU218" i="7"/>
  <c r="AU612" i="7"/>
  <c r="AU233" i="7"/>
  <c r="AQ612" i="7"/>
  <c r="AQ617" i="7"/>
  <c r="AG218" i="7"/>
  <c r="AG612" i="7"/>
  <c r="AG233" i="7"/>
  <c r="AT172" i="7"/>
  <c r="AT555" i="7"/>
  <c r="M172" i="7"/>
  <c r="M555" i="7"/>
  <c r="L555" i="7"/>
  <c r="L172" i="7"/>
  <c r="H555" i="7"/>
  <c r="H172" i="7"/>
  <c r="AC171" i="7"/>
  <c r="AC534" i="7"/>
  <c r="AC186" i="7"/>
  <c r="BB534" i="7"/>
  <c r="BB186" i="7"/>
  <c r="BB171" i="7"/>
  <c r="AJ171" i="7"/>
  <c r="AJ534" i="7"/>
  <c r="AJ186" i="7"/>
  <c r="AD171" i="7"/>
  <c r="AD534" i="7"/>
  <c r="AD186" i="7"/>
  <c r="BE171" i="7"/>
  <c r="BE534" i="7"/>
  <c r="O534" i="7"/>
  <c r="O171" i="7"/>
  <c r="V171" i="7"/>
  <c r="V534" i="7"/>
  <c r="V186" i="7"/>
  <c r="X534" i="7"/>
  <c r="X186" i="7"/>
  <c r="X171" i="7"/>
  <c r="BD171" i="7"/>
  <c r="BD534" i="7"/>
  <c r="AE539" i="7"/>
  <c r="AE534" i="7"/>
  <c r="AE186" i="7"/>
  <c r="BC534" i="7"/>
  <c r="BC171" i="7"/>
  <c r="J171" i="7"/>
  <c r="J534" i="7"/>
  <c r="R534" i="7"/>
  <c r="V255" i="4"/>
  <c r="N213" i="17"/>
  <c r="Q68" i="17"/>
  <c r="Q91" i="17"/>
  <c r="Y68" i="17"/>
  <c r="Y91" i="17"/>
  <c r="AA304" i="7"/>
  <c r="AA34" i="7"/>
  <c r="S304" i="7"/>
  <c r="S49" i="7"/>
  <c r="S34" i="7"/>
  <c r="K304" i="7"/>
  <c r="K49" i="7"/>
  <c r="K34" i="7"/>
  <c r="AK35" i="7"/>
  <c r="AK325" i="7"/>
  <c r="AK49" i="7"/>
  <c r="X39" i="7"/>
  <c r="X48" i="7"/>
  <c r="X367" i="7"/>
  <c r="M325" i="7"/>
  <c r="M346" i="7"/>
  <c r="M49" i="7"/>
  <c r="M35" i="7"/>
  <c r="W35" i="7"/>
  <c r="W325" i="7"/>
  <c r="AA35" i="7"/>
  <c r="AA325" i="7"/>
  <c r="AF35" i="7"/>
  <c r="Z35" i="7"/>
  <c r="R35" i="7"/>
  <c r="J325" i="7"/>
  <c r="J49" i="7"/>
  <c r="J35" i="7"/>
  <c r="X325" i="7"/>
  <c r="P304" i="7"/>
  <c r="O81" i="7"/>
  <c r="O422" i="7"/>
  <c r="H422" i="7"/>
  <c r="H81" i="7"/>
  <c r="P36" i="7"/>
  <c r="P346" i="7"/>
  <c r="O346" i="7"/>
  <c r="O36" i="7"/>
  <c r="H36" i="7"/>
  <c r="H346" i="7"/>
  <c r="M36" i="7"/>
  <c r="M84" i="7"/>
  <c r="M93" i="7"/>
  <c r="M443" i="7"/>
  <c r="O80" i="7"/>
  <c r="O401" i="7"/>
  <c r="AI264" i="7"/>
  <c r="AI710" i="7"/>
  <c r="AI278" i="7"/>
  <c r="BD79" i="7"/>
  <c r="AV380" i="7"/>
  <c r="AV79" i="7"/>
  <c r="AN79" i="7"/>
  <c r="AF79" i="7"/>
  <c r="X79" i="7"/>
  <c r="AY79" i="7"/>
  <c r="AY380" i="7"/>
  <c r="AQ79" i="7"/>
  <c r="AQ380" i="7"/>
  <c r="AI79" i="7"/>
  <c r="AI380" i="7"/>
  <c r="AA79" i="7"/>
  <c r="AA380" i="7"/>
  <c r="S79" i="7"/>
  <c r="S380" i="7"/>
  <c r="N79" i="7"/>
  <c r="N380" i="7"/>
  <c r="N94" i="7"/>
  <c r="Q380" i="7"/>
  <c r="Q94" i="7"/>
  <c r="Q79" i="7"/>
  <c r="I380" i="7"/>
  <c r="I79" i="7"/>
  <c r="H39" i="7"/>
  <c r="H48" i="7"/>
  <c r="I44" i="7"/>
  <c r="BE44" i="7"/>
  <c r="AL612" i="7"/>
  <c r="AL233" i="7"/>
  <c r="AL218" i="7"/>
  <c r="AV218" i="7"/>
  <c r="AV612" i="7"/>
  <c r="AV233" i="7"/>
  <c r="T218" i="7"/>
  <c r="T612" i="7"/>
  <c r="T233" i="7"/>
  <c r="BD218" i="7"/>
  <c r="BD612" i="7"/>
  <c r="BD233" i="7"/>
  <c r="AA218" i="7"/>
  <c r="AA612" i="7"/>
  <c r="AA233" i="7"/>
  <c r="X617" i="7"/>
  <c r="X612" i="7"/>
  <c r="X233" i="7"/>
  <c r="BB218" i="7"/>
  <c r="BB612" i="7"/>
  <c r="BB233" i="7"/>
  <c r="U617" i="7"/>
  <c r="U612" i="7"/>
  <c r="U233" i="7"/>
  <c r="AM218" i="7"/>
  <c r="AM612" i="7"/>
  <c r="AM233" i="7"/>
  <c r="J172" i="7"/>
  <c r="J555" i="7"/>
  <c r="R172" i="7"/>
  <c r="R555" i="7"/>
  <c r="I560" i="7"/>
  <c r="I555" i="7"/>
  <c r="I561" i="7"/>
  <c r="J558" i="7"/>
  <c r="J561" i="7"/>
  <c r="K558" i="7"/>
  <c r="K561" i="7"/>
  <c r="L558" i="7"/>
  <c r="L561" i="7"/>
  <c r="M558" i="7"/>
  <c r="M561" i="7"/>
  <c r="N558" i="7"/>
  <c r="N561" i="7"/>
  <c r="O558" i="7"/>
  <c r="O561" i="7"/>
  <c r="P558" i="7"/>
  <c r="P561" i="7"/>
  <c r="Q558" i="7"/>
  <c r="Q561" i="7"/>
  <c r="R558" i="7"/>
  <c r="R561" i="7"/>
  <c r="S558" i="7"/>
  <c r="S561" i="7"/>
  <c r="T558" i="7"/>
  <c r="T561" i="7"/>
  <c r="U558" i="7"/>
  <c r="AK171" i="7"/>
  <c r="AK534" i="7"/>
  <c r="AK186" i="7"/>
  <c r="N171" i="7"/>
  <c r="N534" i="7"/>
  <c r="N186" i="7"/>
  <c r="L171" i="7"/>
  <c r="L534" i="7"/>
  <c r="L186" i="7"/>
  <c r="H171" i="7"/>
  <c r="H534" i="7"/>
  <c r="H186" i="7"/>
  <c r="AY171" i="7"/>
  <c r="AY534" i="7"/>
  <c r="AY186" i="7"/>
  <c r="AA539" i="7"/>
  <c r="AA534" i="7"/>
  <c r="AA186" i="7"/>
  <c r="U171" i="7"/>
  <c r="U534" i="7"/>
  <c r="AA540" i="7"/>
  <c r="AB537" i="7"/>
  <c r="AB540" i="7"/>
  <c r="AC537" i="7"/>
  <c r="AC540" i="7"/>
  <c r="AD537" i="7"/>
  <c r="AD540" i="7"/>
  <c r="AE537" i="7"/>
  <c r="AE540" i="7"/>
  <c r="AF537" i="7"/>
  <c r="AF540" i="7"/>
  <c r="AG537" i="7"/>
  <c r="AG540" i="7"/>
  <c r="AH537" i="7"/>
  <c r="AH540" i="7"/>
  <c r="AI537" i="7"/>
  <c r="AI540" i="7"/>
  <c r="AJ537" i="7"/>
  <c r="AJ540" i="7"/>
  <c r="AK537" i="7"/>
  <c r="AK540" i="7"/>
  <c r="AL537" i="7"/>
  <c r="AL540" i="7"/>
  <c r="AM537" i="7"/>
  <c r="AM540" i="7"/>
  <c r="AN537" i="7"/>
  <c r="AN540" i="7"/>
  <c r="AO537" i="7"/>
  <c r="AO540" i="7"/>
  <c r="AP537" i="7"/>
  <c r="AP540" i="7"/>
  <c r="AQ537" i="7"/>
  <c r="AQ540" i="7"/>
  <c r="AR537" i="7"/>
  <c r="AR540" i="7"/>
  <c r="AS537" i="7"/>
  <c r="AS540" i="7"/>
  <c r="AT537" i="7"/>
  <c r="AT540" i="7"/>
  <c r="AU537" i="7"/>
  <c r="AU540" i="7"/>
  <c r="AV537" i="7"/>
  <c r="AV540" i="7"/>
  <c r="AW537" i="7"/>
  <c r="AW540" i="7"/>
  <c r="AX537" i="7"/>
  <c r="AX540" i="7"/>
  <c r="AY537" i="7"/>
  <c r="AY540" i="7"/>
  <c r="AZ537" i="7"/>
  <c r="AZ540" i="7"/>
  <c r="BA537" i="7"/>
  <c r="BA540" i="7"/>
  <c r="BB537" i="7"/>
  <c r="BB540" i="7"/>
  <c r="BC537" i="7"/>
  <c r="BC540" i="7"/>
  <c r="BD537" i="7"/>
  <c r="BD540" i="7"/>
  <c r="BE537" i="7"/>
  <c r="BE540" i="7"/>
  <c r="P171" i="7"/>
  <c r="P534" i="7"/>
  <c r="P186" i="7"/>
  <c r="AR534" i="7"/>
  <c r="AR171" i="7"/>
  <c r="AZ534" i="7"/>
  <c r="AZ186" i="7"/>
  <c r="AZ171" i="7"/>
  <c r="AF534" i="7"/>
  <c r="AF186" i="7"/>
  <c r="AF171" i="7"/>
  <c r="AB171" i="7"/>
  <c r="AB534" i="7"/>
  <c r="Y171" i="7"/>
  <c r="Y534" i="7"/>
  <c r="Y186" i="7"/>
  <c r="M534" i="7"/>
  <c r="M186" i="7"/>
  <c r="M171" i="7"/>
  <c r="AW534" i="7"/>
  <c r="L689" i="7"/>
  <c r="L278" i="7"/>
  <c r="P49" i="7"/>
  <c r="N77" i="4"/>
  <c r="I186" i="7"/>
  <c r="R186" i="7"/>
  <c r="W49" i="7"/>
  <c r="O54" i="23"/>
  <c r="J55" i="23"/>
  <c r="X49" i="7"/>
  <c r="AA49" i="7"/>
  <c r="J136" i="6"/>
  <c r="K118" i="7"/>
  <c r="N136" i="6"/>
  <c r="K27" i="7"/>
  <c r="R136" i="6"/>
  <c r="K136" i="6"/>
  <c r="K163" i="7"/>
  <c r="O136" i="6"/>
  <c r="K72" i="7"/>
  <c r="S136" i="6"/>
  <c r="L136" i="6"/>
  <c r="K210" i="7"/>
  <c r="M136" i="6"/>
  <c r="Q136" i="6"/>
  <c r="K164" i="7"/>
  <c r="I136" i="6"/>
  <c r="K71" i="7"/>
  <c r="P136" i="6"/>
  <c r="K119" i="7"/>
  <c r="K256" i="7"/>
  <c r="K255" i="7"/>
  <c r="K257" i="7"/>
  <c r="K254" i="7"/>
  <c r="K259" i="7"/>
  <c r="K120" i="7"/>
  <c r="K117" i="7"/>
  <c r="K122" i="7"/>
  <c r="K211" i="7"/>
  <c r="K212" i="7"/>
  <c r="K209" i="7"/>
  <c r="K214" i="7"/>
  <c r="L73" i="7"/>
  <c r="L70" i="7"/>
  <c r="L75" i="7"/>
  <c r="L212" i="7"/>
  <c r="L209" i="7"/>
  <c r="L214" i="7"/>
  <c r="L257" i="7"/>
  <c r="L254" i="7"/>
  <c r="L259" i="7"/>
  <c r="L165" i="7"/>
  <c r="L162" i="7"/>
  <c r="L167" i="7"/>
  <c r="H49" i="7"/>
  <c r="L120" i="7"/>
  <c r="L117" i="7"/>
  <c r="L122" i="7"/>
  <c r="K165" i="7"/>
  <c r="K162" i="7"/>
  <c r="K167" i="7"/>
  <c r="Y77" i="4"/>
  <c r="L26" i="7"/>
  <c r="I93" i="7"/>
  <c r="J137" i="6"/>
  <c r="L118" i="7"/>
  <c r="N137" i="6"/>
  <c r="R137" i="6"/>
  <c r="L211" i="7"/>
  <c r="K137" i="6"/>
  <c r="O137" i="6"/>
  <c r="S137" i="6"/>
  <c r="L256" i="7"/>
  <c r="P137" i="6"/>
  <c r="L119" i="7"/>
  <c r="I137" i="6"/>
  <c r="L71" i="7"/>
  <c r="Q137" i="6"/>
  <c r="L137" i="6"/>
  <c r="L210" i="7"/>
  <c r="M137" i="6"/>
  <c r="L255" i="7"/>
  <c r="M120" i="7"/>
  <c r="M117" i="7"/>
  <c r="M122" i="7"/>
  <c r="L164" i="7"/>
  <c r="L72" i="7"/>
  <c r="L28" i="7"/>
  <c r="L25" i="7"/>
  <c r="L30" i="7"/>
  <c r="L27" i="7"/>
  <c r="O55" i="23"/>
  <c r="J56" i="23"/>
  <c r="L163" i="7"/>
  <c r="J57" i="23"/>
  <c r="O56" i="23"/>
  <c r="M73" i="7"/>
  <c r="M70" i="7"/>
  <c r="M75" i="7"/>
  <c r="J138" i="6"/>
  <c r="M118" i="7"/>
  <c r="N138" i="6"/>
  <c r="M27" i="7"/>
  <c r="R138" i="6"/>
  <c r="K138" i="6"/>
  <c r="M163" i="7"/>
  <c r="O138" i="6"/>
  <c r="S138" i="6"/>
  <c r="L138" i="6"/>
  <c r="M210" i="7"/>
  <c r="N165" i="7"/>
  <c r="N162" i="7"/>
  <c r="N167" i="7"/>
  <c r="M138" i="6"/>
  <c r="I138" i="6"/>
  <c r="M71" i="7"/>
  <c r="P138" i="6"/>
  <c r="M119" i="7"/>
  <c r="Q138" i="6"/>
  <c r="M164" i="7"/>
  <c r="M165" i="7"/>
  <c r="M162" i="7"/>
  <c r="M167" i="7"/>
  <c r="M212" i="7"/>
  <c r="M209" i="7"/>
  <c r="M214" i="7"/>
  <c r="M255" i="7"/>
  <c r="M256" i="7"/>
  <c r="N120" i="7"/>
  <c r="N117" i="7"/>
  <c r="N122" i="7"/>
  <c r="M257" i="7"/>
  <c r="M254" i="7"/>
  <c r="M259" i="7"/>
  <c r="N212" i="7"/>
  <c r="N209" i="7"/>
  <c r="N214" i="7"/>
  <c r="M211" i="7"/>
  <c r="N73" i="7"/>
  <c r="N70" i="7"/>
  <c r="N75" i="7"/>
  <c r="N90" i="7"/>
  <c r="J139" i="6"/>
  <c r="N118" i="7"/>
  <c r="N139" i="6"/>
  <c r="N27" i="7"/>
  <c r="R139" i="6"/>
  <c r="N211" i="7"/>
  <c r="K139" i="6"/>
  <c r="N163" i="7"/>
  <c r="O139" i="6"/>
  <c r="S139" i="6"/>
  <c r="N256" i="7"/>
  <c r="P139" i="6"/>
  <c r="N119" i="7"/>
  <c r="I139" i="6"/>
  <c r="Q139" i="6"/>
  <c r="N164" i="7"/>
  <c r="M139" i="6"/>
  <c r="O165" i="7"/>
  <c r="L139" i="6"/>
  <c r="N210" i="7"/>
  <c r="N72" i="7"/>
  <c r="O162" i="7"/>
  <c r="O167" i="7"/>
  <c r="O182" i="7"/>
  <c r="N255" i="7"/>
  <c r="N28" i="7"/>
  <c r="N25" i="7"/>
  <c r="N26" i="7"/>
  <c r="O73" i="7"/>
  <c r="O70" i="7"/>
  <c r="O75" i="7"/>
  <c r="N71" i="7"/>
  <c r="O57" i="23"/>
  <c r="J58" i="23"/>
  <c r="J59" i="23"/>
  <c r="N137" i="7"/>
  <c r="O187" i="7"/>
  <c r="O58" i="23"/>
  <c r="O90" i="7"/>
  <c r="J140" i="6"/>
  <c r="N140" i="6"/>
  <c r="O27" i="7"/>
  <c r="R140" i="6"/>
  <c r="O211" i="7"/>
  <c r="K140" i="6"/>
  <c r="O163" i="7"/>
  <c r="O140" i="6"/>
  <c r="O72" i="7"/>
  <c r="S140" i="6"/>
  <c r="L140" i="6"/>
  <c r="M140" i="6"/>
  <c r="O255" i="7"/>
  <c r="Q140" i="6"/>
  <c r="O164" i="7"/>
  <c r="I140" i="6"/>
  <c r="O71" i="7"/>
  <c r="P140" i="6"/>
  <c r="O119" i="7"/>
  <c r="O210" i="7"/>
  <c r="P120" i="7"/>
  <c r="P117" i="7"/>
  <c r="P122" i="7"/>
  <c r="P257" i="7"/>
  <c r="P254" i="7"/>
  <c r="P259" i="7"/>
  <c r="P212" i="7"/>
  <c r="P209" i="7"/>
  <c r="P214" i="7"/>
  <c r="O212" i="7"/>
  <c r="O209" i="7"/>
  <c r="O214" i="7"/>
  <c r="O256" i="7"/>
  <c r="O28" i="7"/>
  <c r="O25" i="7"/>
  <c r="O120" i="7"/>
  <c r="O117" i="7"/>
  <c r="O122" i="7"/>
  <c r="P165" i="7"/>
  <c r="P162" i="7"/>
  <c r="P167" i="7"/>
  <c r="O257" i="7"/>
  <c r="O254" i="7"/>
  <c r="O259" i="7"/>
  <c r="J141" i="6"/>
  <c r="P118" i="7"/>
  <c r="N141" i="6"/>
  <c r="R141" i="6"/>
  <c r="P211" i="7"/>
  <c r="K141" i="6"/>
  <c r="P163" i="7"/>
  <c r="O141" i="6"/>
  <c r="S141" i="6"/>
  <c r="P256" i="7"/>
  <c r="P141" i="6"/>
  <c r="I141" i="6"/>
  <c r="Q141" i="6"/>
  <c r="P164" i="7"/>
  <c r="L141" i="6"/>
  <c r="P210" i="7"/>
  <c r="M141" i="6"/>
  <c r="P255" i="7"/>
  <c r="Q73" i="7"/>
  <c r="Q70" i="7"/>
  <c r="Q75" i="7"/>
  <c r="P71" i="7"/>
  <c r="P28" i="7"/>
  <c r="P25" i="7"/>
  <c r="Q26" i="7"/>
  <c r="P119" i="7"/>
  <c r="P72" i="7"/>
  <c r="P27" i="7"/>
  <c r="J60" i="23"/>
  <c r="J61" i="23"/>
  <c r="O59" i="23"/>
  <c r="J142" i="6"/>
  <c r="Q118" i="7"/>
  <c r="N142" i="6"/>
  <c r="Q27" i="7"/>
  <c r="R142" i="6"/>
  <c r="Q211" i="7"/>
  <c r="K142" i="6"/>
  <c r="O142" i="6"/>
  <c r="S142" i="6"/>
  <c r="Q256" i="7"/>
  <c r="L142" i="6"/>
  <c r="Q210" i="7"/>
  <c r="M142" i="6"/>
  <c r="Q255" i="7"/>
  <c r="I142" i="6"/>
  <c r="Q71" i="7"/>
  <c r="P142" i="6"/>
  <c r="Q142" i="6"/>
  <c r="R165" i="7"/>
  <c r="R162" i="7"/>
  <c r="R167" i="7"/>
  <c r="Q165" i="7"/>
  <c r="Q162" i="7"/>
  <c r="Q167" i="7"/>
  <c r="Q257" i="7"/>
  <c r="Q254" i="7"/>
  <c r="Q259" i="7"/>
  <c r="R212" i="7"/>
  <c r="R209" i="7"/>
  <c r="R214" i="7"/>
  <c r="R257" i="7"/>
  <c r="R254" i="7"/>
  <c r="R259" i="7"/>
  <c r="J143" i="6"/>
  <c r="N143" i="6"/>
  <c r="R143" i="6"/>
  <c r="K143" i="6"/>
  <c r="R163" i="7"/>
  <c r="O143" i="6"/>
  <c r="S143" i="6"/>
  <c r="P143" i="6"/>
  <c r="I143" i="6"/>
  <c r="R71" i="7"/>
  <c r="Q143" i="6"/>
  <c r="M143" i="6"/>
  <c r="L143" i="6"/>
  <c r="S26" i="7"/>
  <c r="R72" i="7"/>
  <c r="S120" i="7"/>
  <c r="S117" i="7"/>
  <c r="S122" i="7"/>
  <c r="R27" i="7"/>
  <c r="R118" i="7"/>
  <c r="S257" i="7"/>
  <c r="S254" i="7"/>
  <c r="S259" i="7"/>
  <c r="S28" i="7"/>
  <c r="S25" i="7"/>
  <c r="J144" i="6"/>
  <c r="N144" i="6"/>
  <c r="R144" i="6"/>
  <c r="K144" i="6"/>
  <c r="O144" i="6"/>
  <c r="S144" i="6"/>
  <c r="L144" i="6"/>
  <c r="M144" i="6"/>
  <c r="Q144" i="6"/>
  <c r="I144" i="6"/>
  <c r="P144" i="6"/>
  <c r="J145" i="6"/>
  <c r="N145" i="6"/>
  <c r="R145" i="6"/>
  <c r="K145" i="6"/>
  <c r="O145" i="6"/>
  <c r="S145" i="6"/>
  <c r="P145" i="6"/>
  <c r="I145" i="6"/>
  <c r="Q145" i="6"/>
  <c r="L145" i="6"/>
  <c r="M145" i="6"/>
  <c r="J146" i="6"/>
  <c r="N146" i="6"/>
  <c r="R146" i="6"/>
  <c r="K146" i="6"/>
  <c r="O146" i="6"/>
  <c r="S146" i="6"/>
  <c r="I146" i="6"/>
  <c r="Q146" i="6"/>
  <c r="L146" i="6"/>
  <c r="M147" i="6"/>
  <c r="V255" i="7"/>
  <c r="P146" i="6"/>
  <c r="M146" i="6"/>
  <c r="I147" i="6"/>
  <c r="N147" i="6"/>
  <c r="O147" i="6"/>
  <c r="R73" i="7"/>
  <c r="R70" i="7"/>
  <c r="R75" i="7"/>
  <c r="R90" i="7"/>
  <c r="U72" i="7"/>
  <c r="M72" i="7"/>
  <c r="U210" i="7"/>
  <c r="P26" i="7"/>
  <c r="O118" i="7"/>
  <c r="U119" i="7"/>
  <c r="R28" i="7"/>
  <c r="R25" i="7"/>
  <c r="R30" i="7"/>
  <c r="R26" i="7"/>
  <c r="U165" i="7"/>
  <c r="U162" i="7"/>
  <c r="U167" i="7"/>
  <c r="T118" i="7"/>
  <c r="V73" i="7"/>
  <c r="V70" i="7"/>
  <c r="V75" i="7"/>
  <c r="V90" i="7"/>
  <c r="Q164" i="7"/>
  <c r="R119" i="7"/>
  <c r="P73" i="7"/>
  <c r="P70" i="7"/>
  <c r="P75" i="7"/>
  <c r="T256" i="7"/>
  <c r="T26" i="7"/>
  <c r="T73" i="7"/>
  <c r="T70" i="7"/>
  <c r="T75" i="7"/>
  <c r="T90" i="7"/>
  <c r="T120" i="7"/>
  <c r="T117" i="7"/>
  <c r="T122" i="7"/>
  <c r="Q163" i="7"/>
  <c r="Q28" i="7"/>
  <c r="Q25" i="7"/>
  <c r="Q30" i="7"/>
  <c r="Q45" i="7"/>
  <c r="Q212" i="7"/>
  <c r="Q209" i="7"/>
  <c r="Q214" i="7"/>
  <c r="Q229" i="7"/>
  <c r="S165" i="7"/>
  <c r="S162" i="7"/>
  <c r="S167" i="7"/>
  <c r="S187" i="7"/>
  <c r="U120" i="7"/>
  <c r="U117" i="7"/>
  <c r="U122" i="7"/>
  <c r="V165" i="7"/>
  <c r="V162" i="7"/>
  <c r="V167" i="7"/>
  <c r="U28" i="7"/>
  <c r="U25" i="7"/>
  <c r="U30" i="7"/>
  <c r="Q119" i="7"/>
  <c r="T28" i="7"/>
  <c r="T25" i="7"/>
  <c r="T30" i="7"/>
  <c r="T45" i="7"/>
  <c r="U211" i="7"/>
  <c r="S212" i="7"/>
  <c r="S209" i="7"/>
  <c r="S214" i="7"/>
  <c r="U212" i="7"/>
  <c r="U209" i="7"/>
  <c r="U214" i="7"/>
  <c r="U229" i="7"/>
  <c r="R120" i="7"/>
  <c r="R117" i="7"/>
  <c r="R122" i="7"/>
  <c r="R137" i="7"/>
  <c r="R210" i="7"/>
  <c r="V120" i="7"/>
  <c r="V117" i="7"/>
  <c r="V122" i="7"/>
  <c r="V137" i="7"/>
  <c r="T119" i="7"/>
  <c r="S256" i="7"/>
  <c r="Q72" i="7"/>
  <c r="S118" i="7"/>
  <c r="S71" i="7"/>
  <c r="T257" i="7"/>
  <c r="T254" i="7"/>
  <c r="T259" i="7"/>
  <c r="T279" i="7"/>
  <c r="S210" i="7"/>
  <c r="U164" i="7"/>
  <c r="U257" i="7"/>
  <c r="U254" i="7"/>
  <c r="U259" i="7"/>
  <c r="U274" i="7"/>
  <c r="S211" i="7"/>
  <c r="R255" i="7"/>
  <c r="T163" i="7"/>
  <c r="T164" i="7"/>
  <c r="T165" i="7"/>
  <c r="T162" i="7"/>
  <c r="T167" i="7"/>
  <c r="T182" i="7"/>
  <c r="T212" i="7"/>
  <c r="T209" i="7"/>
  <c r="T214" i="7"/>
  <c r="S255" i="7"/>
  <c r="T210" i="7"/>
  <c r="V257" i="7"/>
  <c r="V254" i="7"/>
  <c r="V259" i="7"/>
  <c r="V274" i="7"/>
  <c r="R164" i="7"/>
  <c r="R256" i="7"/>
  <c r="R211" i="7"/>
  <c r="U163" i="7"/>
  <c r="U256" i="7"/>
  <c r="S73" i="7"/>
  <c r="S70" i="7"/>
  <c r="S75" i="7"/>
  <c r="T255" i="7"/>
  <c r="V212" i="7"/>
  <c r="V209" i="7"/>
  <c r="V214" i="7"/>
  <c r="V229" i="7"/>
  <c r="V234" i="7"/>
  <c r="V235" i="7"/>
  <c r="U255" i="7"/>
  <c r="S119" i="7"/>
  <c r="T27" i="7"/>
  <c r="V26" i="7"/>
  <c r="V71" i="7"/>
  <c r="T72" i="7"/>
  <c r="V72" i="7"/>
  <c r="S163" i="7"/>
  <c r="T71" i="7"/>
  <c r="S164" i="7"/>
  <c r="U118" i="7"/>
  <c r="U71" i="7"/>
  <c r="V27" i="7"/>
  <c r="S27" i="7"/>
  <c r="V28" i="7"/>
  <c r="V25" i="7"/>
  <c r="T211" i="7"/>
  <c r="U26" i="7"/>
  <c r="U73" i="7"/>
  <c r="U70" i="7"/>
  <c r="U75" i="7"/>
  <c r="U90" i="7"/>
  <c r="U27" i="7"/>
  <c r="S72" i="7"/>
  <c r="S90" i="7"/>
  <c r="T187" i="7"/>
  <c r="V279" i="7"/>
  <c r="U45" i="7"/>
  <c r="U137" i="7"/>
  <c r="S182" i="7"/>
  <c r="R142" i="7"/>
  <c r="T137" i="7"/>
  <c r="R45" i="7"/>
  <c r="T229" i="7"/>
  <c r="S229" i="7"/>
  <c r="S234" i="7"/>
  <c r="V182" i="7"/>
  <c r="V187" i="7"/>
  <c r="V188" i="7"/>
  <c r="P90" i="7"/>
  <c r="U182" i="7"/>
  <c r="U187" i="7"/>
  <c r="V280" i="7"/>
  <c r="T188" i="7"/>
  <c r="S235" i="7"/>
  <c r="S188" i="7"/>
  <c r="T274" i="7"/>
  <c r="T280" i="7"/>
  <c r="V19" i="7"/>
  <c r="V30" i="7"/>
  <c r="R274" i="7"/>
  <c r="R279" i="7"/>
  <c r="Q182" i="7"/>
  <c r="Q187" i="7"/>
  <c r="Q188" i="7"/>
  <c r="O274" i="7"/>
  <c r="O279" i="7"/>
  <c r="P229" i="7"/>
  <c r="P234" i="7"/>
  <c r="O61" i="23"/>
  <c r="J62" i="23"/>
  <c r="O229" i="7"/>
  <c r="S137" i="7"/>
  <c r="R234" i="7"/>
  <c r="R229" i="7"/>
  <c r="R235" i="7"/>
  <c r="Q274" i="7"/>
  <c r="Q279" i="7"/>
  <c r="Q280" i="7"/>
  <c r="O137" i="7"/>
  <c r="O142" i="7"/>
  <c r="P137" i="7"/>
  <c r="P142" i="7"/>
  <c r="P500" i="7"/>
  <c r="P141" i="7"/>
  <c r="P143" i="7"/>
  <c r="S274" i="7"/>
  <c r="S279" i="7"/>
  <c r="R182" i="7"/>
  <c r="R187" i="7"/>
  <c r="R188" i="7"/>
  <c r="Q95" i="7"/>
  <c r="Q90" i="7"/>
  <c r="Q96" i="7"/>
  <c r="P182" i="7"/>
  <c r="P187" i="7"/>
  <c r="P188" i="7"/>
  <c r="P274" i="7"/>
  <c r="P279" i="7"/>
  <c r="M229" i="7"/>
  <c r="M234" i="7"/>
  <c r="L45" i="7"/>
  <c r="L50" i="7"/>
  <c r="L51" i="7"/>
  <c r="K182" i="7"/>
  <c r="K187" i="7"/>
  <c r="L274" i="7"/>
  <c r="L279" i="7"/>
  <c r="L280" i="7"/>
  <c r="K142" i="7"/>
  <c r="K137" i="7"/>
  <c r="AQ633" i="7"/>
  <c r="AQ233" i="7"/>
  <c r="AJ654" i="7"/>
  <c r="AJ233" i="7"/>
  <c r="I274" i="7"/>
  <c r="I279" i="7"/>
  <c r="J187" i="7"/>
  <c r="J182" i="7"/>
  <c r="I137" i="7"/>
  <c r="I142" i="7"/>
  <c r="P147" i="6"/>
  <c r="V119" i="7"/>
  <c r="J147" i="6"/>
  <c r="V118" i="7"/>
  <c r="Q120" i="7"/>
  <c r="Q117" i="7"/>
  <c r="Q122" i="7"/>
  <c r="M182" i="7"/>
  <c r="M187" i="7"/>
  <c r="M188" i="7"/>
  <c r="M90" i="7"/>
  <c r="L137" i="7"/>
  <c r="L142" i="7"/>
  <c r="K229" i="7"/>
  <c r="K234" i="7"/>
  <c r="K274" i="7"/>
  <c r="K279" i="7"/>
  <c r="K280" i="7"/>
  <c r="U555" i="7"/>
  <c r="U186" i="7"/>
  <c r="U188" i="7"/>
  <c r="J90" i="7"/>
  <c r="J137" i="7"/>
  <c r="J142" i="7"/>
  <c r="J229" i="7"/>
  <c r="J223" i="7"/>
  <c r="J234" i="7"/>
  <c r="I47" i="7"/>
  <c r="I331" i="7"/>
  <c r="J328" i="7"/>
  <c r="J331" i="7"/>
  <c r="K328" i="7"/>
  <c r="K331" i="7"/>
  <c r="L328" i="7"/>
  <c r="L331" i="7"/>
  <c r="M328" i="7"/>
  <c r="M331" i="7"/>
  <c r="N328" i="7"/>
  <c r="N331" i="7"/>
  <c r="O328" i="7"/>
  <c r="O331" i="7"/>
  <c r="P328" i="7"/>
  <c r="P331" i="7"/>
  <c r="Q328" i="7"/>
  <c r="Q331" i="7"/>
  <c r="R328" i="7"/>
  <c r="K147" i="6"/>
  <c r="V163" i="7"/>
  <c r="L147" i="6"/>
  <c r="V210" i="7"/>
  <c r="Q147" i="6"/>
  <c r="V164" i="7"/>
  <c r="O60" i="23"/>
  <c r="N229" i="7"/>
  <c r="N234" i="7"/>
  <c r="N235" i="7"/>
  <c r="L187" i="7"/>
  <c r="L182" i="7"/>
  <c r="L188" i="7"/>
  <c r="L229" i="7"/>
  <c r="AW576" i="7"/>
  <c r="AW186" i="7"/>
  <c r="K45" i="7"/>
  <c r="K50" i="7"/>
  <c r="K51" i="7"/>
  <c r="J45" i="7"/>
  <c r="J274" i="7"/>
  <c r="J279" i="7"/>
  <c r="H234" i="7"/>
  <c r="H229" i="7"/>
  <c r="S147" i="6"/>
  <c r="V256" i="7"/>
  <c r="R147" i="6"/>
  <c r="V211" i="7"/>
  <c r="M274" i="7"/>
  <c r="N182" i="7"/>
  <c r="N187" i="7"/>
  <c r="M142" i="7"/>
  <c r="M137" i="7"/>
  <c r="L90" i="7"/>
  <c r="L95" i="7"/>
  <c r="K90" i="7"/>
  <c r="H187" i="7"/>
  <c r="H182" i="7"/>
  <c r="H274" i="7"/>
  <c r="N257" i="7"/>
  <c r="N254" i="7"/>
  <c r="N259" i="7"/>
  <c r="M28" i="7"/>
  <c r="M25" i="7"/>
  <c r="M30" i="7"/>
  <c r="J617" i="7"/>
  <c r="J618" i="7"/>
  <c r="K615" i="7"/>
  <c r="K618" i="7"/>
  <c r="L615" i="7"/>
  <c r="L618" i="7"/>
  <c r="M615" i="7"/>
  <c r="M618" i="7"/>
  <c r="N615" i="7"/>
  <c r="N618" i="7"/>
  <c r="O615" i="7"/>
  <c r="O618" i="7"/>
  <c r="P615" i="7"/>
  <c r="AW736" i="7"/>
  <c r="AW737" i="7"/>
  <c r="AX734" i="7"/>
  <c r="AX737" i="7"/>
  <c r="AY734" i="7"/>
  <c r="AY737" i="7"/>
  <c r="AZ734" i="7"/>
  <c r="AZ737" i="7"/>
  <c r="BA734" i="7"/>
  <c r="BA737" i="7"/>
  <c r="BB734" i="7"/>
  <c r="BB737" i="7"/>
  <c r="BC734" i="7"/>
  <c r="BC737" i="7"/>
  <c r="BD734" i="7"/>
  <c r="BD737" i="7"/>
  <c r="BE734" i="7"/>
  <c r="BE737" i="7"/>
  <c r="O26" i="7"/>
  <c r="M26" i="7"/>
  <c r="AB500" i="7"/>
  <c r="AB141" i="7"/>
  <c r="L85" i="1"/>
  <c r="L66" i="16"/>
  <c r="S128" i="7"/>
  <c r="S142" i="7"/>
  <c r="S500" i="7"/>
  <c r="Z128" i="7"/>
  <c r="Z500" i="7"/>
  <c r="Z141" i="7"/>
  <c r="K500" i="7"/>
  <c r="K141" i="7"/>
  <c r="W173" i="7"/>
  <c r="W576" i="7"/>
  <c r="W186" i="7"/>
  <c r="AC131" i="7"/>
  <c r="AC140" i="7"/>
  <c r="AC521" i="7"/>
  <c r="J232" i="7"/>
  <c r="J675" i="7"/>
  <c r="P617" i="7"/>
  <c r="P612" i="7"/>
  <c r="P233" i="7"/>
  <c r="AV694" i="7"/>
  <c r="AV689" i="7"/>
  <c r="AV278" i="7"/>
  <c r="AY694" i="7"/>
  <c r="AY689" i="7"/>
  <c r="AY278" i="7"/>
  <c r="BC560" i="7"/>
  <c r="BC555" i="7"/>
  <c r="BC186" i="7"/>
  <c r="BD172" i="7"/>
  <c r="BD555" i="7"/>
  <c r="BD186" i="7"/>
  <c r="AB560" i="7"/>
  <c r="AB555" i="7"/>
  <c r="AB186" i="7"/>
  <c r="U263" i="7"/>
  <c r="U279" i="7"/>
  <c r="U689" i="7"/>
  <c r="U278" i="7"/>
  <c r="U280" i="7"/>
  <c r="M263" i="7"/>
  <c r="M279" i="7"/>
  <c r="M689" i="7"/>
  <c r="M278" i="7"/>
  <c r="AP581" i="7"/>
  <c r="AP576" i="7"/>
  <c r="AP186" i="7"/>
  <c r="AD659" i="7"/>
  <c r="AD654" i="7"/>
  <c r="AD233" i="7"/>
  <c r="AT581" i="7"/>
  <c r="AT576" i="7"/>
  <c r="AT186" i="7"/>
  <c r="AJ659" i="7"/>
  <c r="AW731" i="7"/>
  <c r="J660" i="7"/>
  <c r="K657" i="7"/>
  <c r="K660" i="7"/>
  <c r="L657" i="7"/>
  <c r="L660" i="7"/>
  <c r="M657" i="7"/>
  <c r="M660" i="7"/>
  <c r="N657" i="7"/>
  <c r="N660" i="7"/>
  <c r="O657" i="7"/>
  <c r="O660" i="7"/>
  <c r="P657" i="7"/>
  <c r="P660" i="7"/>
  <c r="Q657" i="7"/>
  <c r="Q660" i="7"/>
  <c r="R657" i="7"/>
  <c r="R660" i="7"/>
  <c r="S657" i="7"/>
  <c r="S660" i="7"/>
  <c r="T657" i="7"/>
  <c r="T660" i="7"/>
  <c r="U657" i="7"/>
  <c r="U660" i="7"/>
  <c r="V657" i="7"/>
  <c r="V660" i="7"/>
  <c r="W657" i="7"/>
  <c r="W660" i="7"/>
  <c r="X657" i="7"/>
  <c r="X660" i="7"/>
  <c r="Y657" i="7"/>
  <c r="Y660" i="7"/>
  <c r="Z657" i="7"/>
  <c r="Z660" i="7"/>
  <c r="AA657" i="7"/>
  <c r="AA660" i="7"/>
  <c r="AB657" i="7"/>
  <c r="AB660" i="7"/>
  <c r="AC657" i="7"/>
  <c r="AC660" i="7"/>
  <c r="AD657" i="7"/>
  <c r="AD660" i="7"/>
  <c r="AE657" i="7"/>
  <c r="AE660" i="7"/>
  <c r="AF657" i="7"/>
  <c r="AF660" i="7"/>
  <c r="AG657" i="7"/>
  <c r="AG660" i="7"/>
  <c r="AH657" i="7"/>
  <c r="AH660" i="7"/>
  <c r="AI657" i="7"/>
  <c r="AI660" i="7"/>
  <c r="AJ657" i="7"/>
  <c r="AJ660" i="7"/>
  <c r="AK657" i="7"/>
  <c r="AK660" i="7"/>
  <c r="AL657" i="7"/>
  <c r="AL660" i="7"/>
  <c r="AM657" i="7"/>
  <c r="AM660" i="7"/>
  <c r="AN657" i="7"/>
  <c r="AN660" i="7"/>
  <c r="AO657" i="7"/>
  <c r="AO660" i="7"/>
  <c r="AP657" i="7"/>
  <c r="AP660" i="7"/>
  <c r="AQ657" i="7"/>
  <c r="AQ660" i="7"/>
  <c r="AR657" i="7"/>
  <c r="AR660" i="7"/>
  <c r="AS657" i="7"/>
  <c r="AS659" i="7"/>
  <c r="AS660" i="7"/>
  <c r="AT657" i="7"/>
  <c r="AT660" i="7"/>
  <c r="AU657" i="7"/>
  <c r="AU660" i="7"/>
  <c r="AV657" i="7"/>
  <c r="AV660" i="7"/>
  <c r="AW657" i="7"/>
  <c r="AW660" i="7"/>
  <c r="AX657" i="7"/>
  <c r="AX660" i="7"/>
  <c r="AY657" i="7"/>
  <c r="AY660" i="7"/>
  <c r="AZ657" i="7"/>
  <c r="AZ660" i="7"/>
  <c r="BA657" i="7"/>
  <c r="BA660" i="7"/>
  <c r="BB657" i="7"/>
  <c r="BB660" i="7"/>
  <c r="BC657" i="7"/>
  <c r="BC660" i="7"/>
  <c r="BD657" i="7"/>
  <c r="BD660" i="7"/>
  <c r="BE657" i="7"/>
  <c r="BE660" i="7"/>
  <c r="H505" i="7"/>
  <c r="H506" i="7"/>
  <c r="I503" i="7"/>
  <c r="I506" i="7"/>
  <c r="J503" i="7"/>
  <c r="J506" i="7"/>
  <c r="K503" i="7"/>
  <c r="K506" i="7"/>
  <c r="L503" i="7"/>
  <c r="L506" i="7"/>
  <c r="M503" i="7"/>
  <c r="M506" i="7"/>
  <c r="N503" i="7"/>
  <c r="N506" i="7"/>
  <c r="O503" i="7"/>
  <c r="O506" i="7"/>
  <c r="P503" i="7"/>
  <c r="P506" i="7"/>
  <c r="Q503" i="7"/>
  <c r="Q505" i="7"/>
  <c r="Q506" i="7"/>
  <c r="R503" i="7"/>
  <c r="R506" i="7"/>
  <c r="S503" i="7"/>
  <c r="S506" i="7"/>
  <c r="T503" i="7"/>
  <c r="T506" i="7"/>
  <c r="U503" i="7"/>
  <c r="U506" i="7"/>
  <c r="V503" i="7"/>
  <c r="V505" i="7"/>
  <c r="V506" i="7"/>
  <c r="W503" i="7"/>
  <c r="W506" i="7"/>
  <c r="X503" i="7"/>
  <c r="X506" i="7"/>
  <c r="Y503" i="7"/>
  <c r="Y505" i="7"/>
  <c r="Y506" i="7"/>
  <c r="Z503" i="7"/>
  <c r="Z506" i="7"/>
  <c r="AA503" i="7"/>
  <c r="AA506" i="7"/>
  <c r="AB503" i="7"/>
  <c r="AB505" i="7"/>
  <c r="AB506" i="7"/>
  <c r="AC503" i="7"/>
  <c r="AC506" i="7"/>
  <c r="AD503" i="7"/>
  <c r="AD505" i="7"/>
  <c r="AD506" i="7"/>
  <c r="AE503" i="7"/>
  <c r="AE506" i="7"/>
  <c r="AF503" i="7"/>
  <c r="AF506" i="7"/>
  <c r="AG503" i="7"/>
  <c r="AG506" i="7"/>
  <c r="AH503" i="7"/>
  <c r="AH506" i="7"/>
  <c r="AI503" i="7"/>
  <c r="AI506" i="7"/>
  <c r="AJ503" i="7"/>
  <c r="AJ506" i="7"/>
  <c r="AK503" i="7"/>
  <c r="AK506" i="7"/>
  <c r="AL503" i="7"/>
  <c r="AL506" i="7"/>
  <c r="AM503" i="7"/>
  <c r="AM506" i="7"/>
  <c r="AN503" i="7"/>
  <c r="AN506" i="7"/>
  <c r="AO503" i="7"/>
  <c r="AO506" i="7"/>
  <c r="AP503" i="7"/>
  <c r="AP506" i="7"/>
  <c r="AQ503" i="7"/>
  <c r="AQ506" i="7"/>
  <c r="AR503" i="7"/>
  <c r="AR506" i="7"/>
  <c r="AS503" i="7"/>
  <c r="AS506" i="7"/>
  <c r="AT503" i="7"/>
  <c r="AT506" i="7"/>
  <c r="AU503" i="7"/>
  <c r="AU506" i="7"/>
  <c r="AV503" i="7"/>
  <c r="AV505" i="7"/>
  <c r="AV506" i="7"/>
  <c r="AW503" i="7"/>
  <c r="AW505" i="7"/>
  <c r="AW506" i="7"/>
  <c r="AX503" i="7"/>
  <c r="AX506" i="7"/>
  <c r="AY503" i="7"/>
  <c r="AY506" i="7"/>
  <c r="AZ503" i="7"/>
  <c r="AZ506" i="7"/>
  <c r="BA503" i="7"/>
  <c r="BA506" i="7"/>
  <c r="BB503" i="7"/>
  <c r="BB506" i="7"/>
  <c r="BC503" i="7"/>
  <c r="BC506" i="7"/>
  <c r="BD503" i="7"/>
  <c r="BD506" i="7"/>
  <c r="BE503" i="7"/>
  <c r="BE506" i="7"/>
  <c r="Q500" i="7"/>
  <c r="Q141" i="7"/>
  <c r="AG689" i="7"/>
  <c r="AG278" i="7"/>
  <c r="AI172" i="7"/>
  <c r="J654" i="7"/>
  <c r="Y500" i="7"/>
  <c r="Y141" i="7"/>
  <c r="T500" i="7"/>
  <c r="T128" i="7"/>
  <c r="H500" i="7"/>
  <c r="H141" i="7"/>
  <c r="H143" i="7"/>
  <c r="AM576" i="7"/>
  <c r="AM186" i="7"/>
  <c r="N689" i="7"/>
  <c r="N278" i="7"/>
  <c r="AI128" i="7"/>
  <c r="AI500" i="7"/>
  <c r="J612" i="7"/>
  <c r="J233" i="7"/>
  <c r="Q218" i="7"/>
  <c r="Q234" i="7"/>
  <c r="Q612" i="7"/>
  <c r="Q233" i="7"/>
  <c r="Q235" i="7"/>
  <c r="AV500" i="7"/>
  <c r="AV141" i="7"/>
  <c r="W797" i="7"/>
  <c r="W124" i="7"/>
  <c r="BC694" i="7"/>
  <c r="BC689" i="7"/>
  <c r="BC278" i="7"/>
  <c r="AS263" i="7"/>
  <c r="AS689" i="7"/>
  <c r="AS278" i="7"/>
  <c r="Z560" i="7"/>
  <c r="Z555" i="7"/>
  <c r="Z186" i="7"/>
  <c r="U560" i="7"/>
  <c r="U561" i="7"/>
  <c r="V558" i="7"/>
  <c r="V561" i="7"/>
  <c r="W558" i="7"/>
  <c r="W561" i="7"/>
  <c r="X558" i="7"/>
  <c r="X561" i="7"/>
  <c r="Y558" i="7"/>
  <c r="Y561" i="7"/>
  <c r="Z558" i="7"/>
  <c r="Z561" i="7"/>
  <c r="AA558" i="7"/>
  <c r="AA561" i="7"/>
  <c r="AB558" i="7"/>
  <c r="AB561" i="7"/>
  <c r="AC558" i="7"/>
  <c r="AC561" i="7"/>
  <c r="AD558" i="7"/>
  <c r="AD561" i="7"/>
  <c r="AE558" i="7"/>
  <c r="AE561" i="7"/>
  <c r="AF558" i="7"/>
  <c r="AF561" i="7"/>
  <c r="AG558" i="7"/>
  <c r="AG561" i="7"/>
  <c r="AH558" i="7"/>
  <c r="AH561" i="7"/>
  <c r="AI558" i="7"/>
  <c r="AI561" i="7"/>
  <c r="AJ558" i="7"/>
  <c r="AJ561" i="7"/>
  <c r="AK558" i="7"/>
  <c r="AK561" i="7"/>
  <c r="AL558" i="7"/>
  <c r="AL561" i="7"/>
  <c r="AM558" i="7"/>
  <c r="AM561" i="7"/>
  <c r="AN558" i="7"/>
  <c r="AN561" i="7"/>
  <c r="AO558" i="7"/>
  <c r="AO561" i="7"/>
  <c r="AP558" i="7"/>
  <c r="AP561" i="7"/>
  <c r="AQ558" i="7"/>
  <c r="AQ561" i="7"/>
  <c r="AR558" i="7"/>
  <c r="AR560" i="7"/>
  <c r="AR561" i="7"/>
  <c r="AS558" i="7"/>
  <c r="AS561" i="7"/>
  <c r="AT558" i="7"/>
  <c r="AT561" i="7"/>
  <c r="AU558" i="7"/>
  <c r="AU561" i="7"/>
  <c r="AV558" i="7"/>
  <c r="AV561" i="7"/>
  <c r="AW558" i="7"/>
  <c r="AW561" i="7"/>
  <c r="AX558" i="7"/>
  <c r="AX561" i="7"/>
  <c r="AY558" i="7"/>
  <c r="AY561" i="7"/>
  <c r="AZ558" i="7"/>
  <c r="AZ561" i="7"/>
  <c r="BA558" i="7"/>
  <c r="BA561" i="7"/>
  <c r="BB558" i="7"/>
  <c r="BB561" i="7"/>
  <c r="BC558" i="7"/>
  <c r="BC561" i="7"/>
  <c r="BD558" i="7"/>
  <c r="BD561" i="7"/>
  <c r="BE558" i="7"/>
  <c r="BE561" i="7"/>
  <c r="BB752" i="7"/>
  <c r="BB268" i="7"/>
  <c r="BB277" i="7"/>
  <c r="Y752" i="7"/>
  <c r="Y268" i="7"/>
  <c r="Y277" i="7"/>
  <c r="AS268" i="7"/>
  <c r="AS277" i="7"/>
  <c r="AS752" i="7"/>
  <c r="BB597" i="7"/>
  <c r="BB176" i="7"/>
  <c r="BB185" i="7"/>
  <c r="AN484" i="7"/>
  <c r="AN479" i="7"/>
  <c r="AN141" i="7"/>
  <c r="BC128" i="7"/>
  <c r="BC500" i="7"/>
  <c r="AW500" i="7"/>
  <c r="AS654" i="7"/>
  <c r="AS233" i="7"/>
  <c r="L223" i="7"/>
  <c r="L232" i="7"/>
  <c r="L675" i="7"/>
  <c r="BB223" i="7"/>
  <c r="BB232" i="7"/>
  <c r="BB675" i="7"/>
  <c r="AT689" i="7"/>
  <c r="AT278" i="7"/>
  <c r="W128" i="7"/>
  <c r="W500" i="7"/>
  <c r="W141" i="7"/>
  <c r="R141" i="7"/>
  <c r="R143" i="7"/>
  <c r="AI654" i="7"/>
  <c r="AI233" i="7"/>
  <c r="H633" i="7"/>
  <c r="H233" i="7"/>
  <c r="O581" i="7"/>
  <c r="O576" i="7"/>
  <c r="O186" i="7"/>
  <c r="O188" i="7"/>
  <c r="H228" i="17"/>
  <c r="H234" i="17"/>
  <c r="H235" i="17"/>
  <c r="I232" i="17"/>
  <c r="AD500" i="7"/>
  <c r="AD141" i="7"/>
  <c r="O218" i="7"/>
  <c r="O234" i="7"/>
  <c r="O612" i="7"/>
  <c r="O233" i="7"/>
  <c r="T126" i="7"/>
  <c r="T142" i="7"/>
  <c r="T458" i="7"/>
  <c r="J463" i="7"/>
  <c r="J464" i="7"/>
  <c r="K461" i="7"/>
  <c r="K464" i="7"/>
  <c r="L461" i="7"/>
  <c r="L464" i="7"/>
  <c r="M461" i="7"/>
  <c r="M464" i="7"/>
  <c r="N461" i="7"/>
  <c r="N464" i="7"/>
  <c r="O461" i="7"/>
  <c r="O464" i="7"/>
  <c r="P461" i="7"/>
  <c r="P464" i="7"/>
  <c r="Q461" i="7"/>
  <c r="Q464" i="7"/>
  <c r="R461" i="7"/>
  <c r="R464" i="7"/>
  <c r="S461" i="7"/>
  <c r="S463" i="7"/>
  <c r="S464" i="7"/>
  <c r="T461" i="7"/>
  <c r="T464" i="7"/>
  <c r="U461" i="7"/>
  <c r="U464" i="7"/>
  <c r="V461" i="7"/>
  <c r="V464" i="7"/>
  <c r="W461" i="7"/>
  <c r="W464" i="7"/>
  <c r="X461" i="7"/>
  <c r="X464" i="7"/>
  <c r="Y461" i="7"/>
  <c r="Y464" i="7"/>
  <c r="Z461" i="7"/>
  <c r="Z464" i="7"/>
  <c r="AA461" i="7"/>
  <c r="AA464" i="7"/>
  <c r="AB461" i="7"/>
  <c r="AB464" i="7"/>
  <c r="AC461" i="7"/>
  <c r="AC464" i="7"/>
  <c r="AD461" i="7"/>
  <c r="AD464" i="7"/>
  <c r="AE461" i="7"/>
  <c r="AE464" i="7"/>
  <c r="AF461" i="7"/>
  <c r="AF464" i="7"/>
  <c r="AG461" i="7"/>
  <c r="AG464" i="7"/>
  <c r="AH461" i="7"/>
  <c r="AH464" i="7"/>
  <c r="AI461" i="7"/>
  <c r="AI464" i="7"/>
  <c r="AJ461" i="7"/>
  <c r="AJ464" i="7"/>
  <c r="AK461" i="7"/>
  <c r="AK464" i="7"/>
  <c r="AL461" i="7"/>
  <c r="AL464" i="7"/>
  <c r="AM461" i="7"/>
  <c r="AM464" i="7"/>
  <c r="AN461" i="7"/>
  <c r="AN464" i="7"/>
  <c r="AO461" i="7"/>
  <c r="AO464" i="7"/>
  <c r="AP461" i="7"/>
  <c r="AP464" i="7"/>
  <c r="AQ461" i="7"/>
  <c r="AQ464" i="7"/>
  <c r="AR461" i="7"/>
  <c r="AR464" i="7"/>
  <c r="AS461" i="7"/>
  <c r="AS464" i="7"/>
  <c r="AT461" i="7"/>
  <c r="AT463" i="7"/>
  <c r="AT464" i="7"/>
  <c r="AU461" i="7"/>
  <c r="AU464" i="7"/>
  <c r="AV461" i="7"/>
  <c r="AV464" i="7"/>
  <c r="AW461" i="7"/>
  <c r="AW463" i="7"/>
  <c r="AW464" i="7"/>
  <c r="AX461" i="7"/>
  <c r="AX464" i="7"/>
  <c r="AY461" i="7"/>
  <c r="AY464" i="7"/>
  <c r="AZ461" i="7"/>
  <c r="AZ464" i="7"/>
  <c r="BA461" i="7"/>
  <c r="BA464" i="7"/>
  <c r="BB461" i="7"/>
  <c r="BB464" i="7"/>
  <c r="BC461" i="7"/>
  <c r="BC464" i="7"/>
  <c r="BD461" i="7"/>
  <c r="BD464" i="7"/>
  <c r="BE461" i="7"/>
  <c r="BE464" i="7"/>
  <c r="J458" i="7"/>
  <c r="J141" i="7"/>
  <c r="W131" i="7"/>
  <c r="W140" i="7"/>
  <c r="W521" i="7"/>
  <c r="AR555" i="7"/>
  <c r="AR186" i="7"/>
  <c r="AI126" i="7"/>
  <c r="AI458" i="7"/>
  <c r="X127" i="7"/>
  <c r="X479" i="7"/>
  <c r="X141" i="7"/>
  <c r="BA715" i="7"/>
  <c r="BA716" i="7"/>
  <c r="BB713" i="7"/>
  <c r="BB716" i="7"/>
  <c r="BC713" i="7"/>
  <c r="BC716" i="7"/>
  <c r="BD713" i="7"/>
  <c r="BD716" i="7"/>
  <c r="BE713" i="7"/>
  <c r="BE716" i="7"/>
  <c r="BA710" i="7"/>
  <c r="BA278" i="7"/>
  <c r="AL839" i="7"/>
  <c r="AL261" i="7"/>
  <c r="AQ219" i="7"/>
  <c r="AP126" i="7"/>
  <c r="AP458" i="7"/>
  <c r="AP141" i="7"/>
  <c r="AT458" i="7"/>
  <c r="AT141" i="7"/>
  <c r="AF220" i="7"/>
  <c r="AF654" i="7"/>
  <c r="AF233" i="7"/>
  <c r="L90" i="1"/>
  <c r="N128" i="7"/>
  <c r="N142" i="7"/>
  <c r="N500" i="7"/>
  <c r="N141" i="7"/>
  <c r="G176" i="17"/>
  <c r="G177" i="17"/>
  <c r="G187" i="17"/>
  <c r="BC479" i="7"/>
  <c r="BC141" i="7"/>
  <c r="AW278" i="7"/>
  <c r="U223" i="7"/>
  <c r="U232" i="7"/>
  <c r="J581" i="7"/>
  <c r="J576" i="7"/>
  <c r="J186" i="7"/>
  <c r="H582" i="7"/>
  <c r="I579" i="7"/>
  <c r="I582" i="7"/>
  <c r="J579" i="7"/>
  <c r="J582" i="7"/>
  <c r="K579" i="7"/>
  <c r="K582" i="7"/>
  <c r="L579" i="7"/>
  <c r="L582" i="7"/>
  <c r="M579" i="7"/>
  <c r="M582" i="7"/>
  <c r="N579" i="7"/>
  <c r="N582" i="7"/>
  <c r="O579" i="7"/>
  <c r="O582" i="7"/>
  <c r="P579" i="7"/>
  <c r="P582" i="7"/>
  <c r="Q579" i="7"/>
  <c r="Q582" i="7"/>
  <c r="R579" i="7"/>
  <c r="R582" i="7"/>
  <c r="S579" i="7"/>
  <c r="S582" i="7"/>
  <c r="T579" i="7"/>
  <c r="T582" i="7"/>
  <c r="U579" i="7"/>
  <c r="U582" i="7"/>
  <c r="V579" i="7"/>
  <c r="V582" i="7"/>
  <c r="W579" i="7"/>
  <c r="W582" i="7"/>
  <c r="X579" i="7"/>
  <c r="X582" i="7"/>
  <c r="Y579" i="7"/>
  <c r="Y582" i="7"/>
  <c r="Z579" i="7"/>
  <c r="Z582" i="7"/>
  <c r="AA579" i="7"/>
  <c r="AA582" i="7"/>
  <c r="AB579" i="7"/>
  <c r="AB582" i="7"/>
  <c r="AC579" i="7"/>
  <c r="AC582" i="7"/>
  <c r="AD579" i="7"/>
  <c r="AD582" i="7"/>
  <c r="AE579" i="7"/>
  <c r="AE582" i="7"/>
  <c r="AF579" i="7"/>
  <c r="AF582" i="7"/>
  <c r="AG579" i="7"/>
  <c r="AG582" i="7"/>
  <c r="AH579" i="7"/>
  <c r="AH582" i="7"/>
  <c r="AI579" i="7"/>
  <c r="AI582" i="7"/>
  <c r="AJ579" i="7"/>
  <c r="AJ582" i="7"/>
  <c r="AK579" i="7"/>
  <c r="AK582" i="7"/>
  <c r="AL579" i="7"/>
  <c r="AL582" i="7"/>
  <c r="AM579" i="7"/>
  <c r="AM582" i="7"/>
  <c r="AN579" i="7"/>
  <c r="AN582" i="7"/>
  <c r="AO579" i="7"/>
  <c r="AO582" i="7"/>
  <c r="AP579" i="7"/>
  <c r="AP582" i="7"/>
  <c r="AQ579" i="7"/>
  <c r="AQ582" i="7"/>
  <c r="AR579" i="7"/>
  <c r="AR582" i="7"/>
  <c r="AS579" i="7"/>
  <c r="AS582" i="7"/>
  <c r="AT579" i="7"/>
  <c r="AT582" i="7"/>
  <c r="AU579" i="7"/>
  <c r="AU582" i="7"/>
  <c r="AV579" i="7"/>
  <c r="AV582" i="7"/>
  <c r="AW579" i="7"/>
  <c r="AW582" i="7"/>
  <c r="AX579" i="7"/>
  <c r="AX582" i="7"/>
  <c r="AY579" i="7"/>
  <c r="AY582" i="7"/>
  <c r="AZ579" i="7"/>
  <c r="AZ582" i="7"/>
  <c r="BA579" i="7"/>
  <c r="BA582" i="7"/>
  <c r="BB579" i="7"/>
  <c r="BB582" i="7"/>
  <c r="BC579" i="7"/>
  <c r="BC582" i="7"/>
  <c r="BD579" i="7"/>
  <c r="BD582" i="7"/>
  <c r="BE579" i="7"/>
  <c r="BE582" i="7"/>
  <c r="L484" i="7"/>
  <c r="L485" i="7"/>
  <c r="M482" i="7"/>
  <c r="M485" i="7"/>
  <c r="N482" i="7"/>
  <c r="N485" i="7"/>
  <c r="O482" i="7"/>
  <c r="O485" i="7"/>
  <c r="P482" i="7"/>
  <c r="P485" i="7"/>
  <c r="Q482" i="7"/>
  <c r="Q485" i="7"/>
  <c r="R482" i="7"/>
  <c r="R485" i="7"/>
  <c r="S482" i="7"/>
  <c r="S485" i="7"/>
  <c r="T482" i="7"/>
  <c r="T485" i="7"/>
  <c r="U482" i="7"/>
  <c r="U485" i="7"/>
  <c r="V482" i="7"/>
  <c r="V485" i="7"/>
  <c r="W482" i="7"/>
  <c r="W485" i="7"/>
  <c r="X482" i="7"/>
  <c r="X485" i="7"/>
  <c r="Y482" i="7"/>
  <c r="Y485" i="7"/>
  <c r="Z482" i="7"/>
  <c r="Z485" i="7"/>
  <c r="AA482" i="7"/>
  <c r="AA485" i="7"/>
  <c r="AB482" i="7"/>
  <c r="AB485" i="7"/>
  <c r="AC482" i="7"/>
  <c r="AC485" i="7"/>
  <c r="AD482" i="7"/>
  <c r="AD485" i="7"/>
  <c r="AE482" i="7"/>
  <c r="AE485" i="7"/>
  <c r="AF482" i="7"/>
  <c r="AF485" i="7"/>
  <c r="AG482" i="7"/>
  <c r="AG485" i="7"/>
  <c r="AH482" i="7"/>
  <c r="AH485" i="7"/>
  <c r="AI482" i="7"/>
  <c r="AI485" i="7"/>
  <c r="AJ482" i="7"/>
  <c r="AJ485" i="7"/>
  <c r="AK482" i="7"/>
  <c r="AK485" i="7"/>
  <c r="AL482" i="7"/>
  <c r="AL485" i="7"/>
  <c r="AM482" i="7"/>
  <c r="AM485" i="7"/>
  <c r="AN482" i="7"/>
  <c r="AN485" i="7"/>
  <c r="AO482" i="7"/>
  <c r="AO485" i="7"/>
  <c r="AP482" i="7"/>
  <c r="AP485" i="7"/>
  <c r="AQ482" i="7"/>
  <c r="AQ485" i="7"/>
  <c r="AR482" i="7"/>
  <c r="AR485" i="7"/>
  <c r="AS482" i="7"/>
  <c r="AS485" i="7"/>
  <c r="AT482" i="7"/>
  <c r="AT485" i="7"/>
  <c r="AU482" i="7"/>
  <c r="AU485" i="7"/>
  <c r="AV482" i="7"/>
  <c r="AV485" i="7"/>
  <c r="AW482" i="7"/>
  <c r="AW485" i="7"/>
  <c r="AX482" i="7"/>
  <c r="AX485" i="7"/>
  <c r="AY482" i="7"/>
  <c r="AY485" i="7"/>
  <c r="AZ482" i="7"/>
  <c r="AZ485" i="7"/>
  <c r="BA482" i="7"/>
  <c r="BA485" i="7"/>
  <c r="BB482" i="7"/>
  <c r="BB485" i="7"/>
  <c r="BC482" i="7"/>
  <c r="BC485" i="7"/>
  <c r="BD482" i="7"/>
  <c r="BD485" i="7"/>
  <c r="BE482" i="7"/>
  <c r="BE484" i="7"/>
  <c r="BE485" i="7"/>
  <c r="L479" i="7"/>
  <c r="L141" i="7"/>
  <c r="S458" i="7"/>
  <c r="S141" i="7"/>
  <c r="V126" i="7"/>
  <c r="V142" i="7"/>
  <c r="V458" i="7"/>
  <c r="V141" i="7"/>
  <c r="V143" i="7"/>
  <c r="AT638" i="7"/>
  <c r="AT633" i="7"/>
  <c r="AT233" i="7"/>
  <c r="AZ797" i="7"/>
  <c r="AZ124" i="7"/>
  <c r="AT797" i="7"/>
  <c r="AT124" i="7"/>
  <c r="T825" i="7"/>
  <c r="T216" i="7"/>
  <c r="T234" i="7"/>
  <c r="T235" i="7"/>
  <c r="AW458" i="7"/>
  <c r="BE173" i="7"/>
  <c r="BE576" i="7"/>
  <c r="BE186" i="7"/>
  <c r="AH173" i="7"/>
  <c r="AH576" i="7"/>
  <c r="AH186" i="7"/>
  <c r="AW173" i="7"/>
  <c r="AX797" i="7"/>
  <c r="AX124" i="7"/>
  <c r="Z797" i="7"/>
  <c r="Z124" i="7"/>
  <c r="BE479" i="7"/>
  <c r="BE141" i="7"/>
  <c r="H639" i="7"/>
  <c r="I636" i="7"/>
  <c r="I639" i="7"/>
  <c r="J636" i="7"/>
  <c r="J639" i="7"/>
  <c r="K636" i="7"/>
  <c r="K639" i="7"/>
  <c r="L636" i="7"/>
  <c r="L639" i="7"/>
  <c r="M636" i="7"/>
  <c r="M639" i="7"/>
  <c r="N636" i="7"/>
  <c r="N639" i="7"/>
  <c r="O636" i="7"/>
  <c r="O639" i="7"/>
  <c r="P636" i="7"/>
  <c r="P639" i="7"/>
  <c r="Q636" i="7"/>
  <c r="Q639" i="7"/>
  <c r="R636" i="7"/>
  <c r="R639" i="7"/>
  <c r="S636" i="7"/>
  <c r="S639" i="7"/>
  <c r="T636" i="7"/>
  <c r="T639" i="7"/>
  <c r="U636" i="7"/>
  <c r="U639" i="7"/>
  <c r="V636" i="7"/>
  <c r="V639" i="7"/>
  <c r="W636" i="7"/>
  <c r="W639" i="7"/>
  <c r="X636" i="7"/>
  <c r="X639" i="7"/>
  <c r="Y636" i="7"/>
  <c r="Y639" i="7"/>
  <c r="Z636" i="7"/>
  <c r="Z639" i="7"/>
  <c r="AA636" i="7"/>
  <c r="AA639" i="7"/>
  <c r="AB636" i="7"/>
  <c r="AB639" i="7"/>
  <c r="AC636" i="7"/>
  <c r="AC639" i="7"/>
  <c r="AD636" i="7"/>
  <c r="AD639" i="7"/>
  <c r="AE636" i="7"/>
  <c r="AE639" i="7"/>
  <c r="AF636" i="7"/>
  <c r="AF639" i="7"/>
  <c r="AG636" i="7"/>
  <c r="AG639" i="7"/>
  <c r="AH636" i="7"/>
  <c r="AH639" i="7"/>
  <c r="AI636" i="7"/>
  <c r="AI639" i="7"/>
  <c r="AJ636" i="7"/>
  <c r="AJ639" i="7"/>
  <c r="AK636" i="7"/>
  <c r="AK639" i="7"/>
  <c r="AL636" i="7"/>
  <c r="AL639" i="7"/>
  <c r="AM636" i="7"/>
  <c r="AM639" i="7"/>
  <c r="AN636" i="7"/>
  <c r="AN639" i="7"/>
  <c r="AO636" i="7"/>
  <c r="AO639" i="7"/>
  <c r="AP636" i="7"/>
  <c r="AP639" i="7"/>
  <c r="AQ636" i="7"/>
  <c r="AQ639" i="7"/>
  <c r="AR636" i="7"/>
  <c r="AR639" i="7"/>
  <c r="AS636" i="7"/>
  <c r="AS639" i="7"/>
  <c r="AT636" i="7"/>
  <c r="AT639" i="7"/>
  <c r="AU636" i="7"/>
  <c r="AU639" i="7"/>
  <c r="AV636" i="7"/>
  <c r="AV639" i="7"/>
  <c r="AW636" i="7"/>
  <c r="AW639" i="7"/>
  <c r="AX636" i="7"/>
  <c r="AX639" i="7"/>
  <c r="AY636" i="7"/>
  <c r="AY639" i="7"/>
  <c r="AZ636" i="7"/>
  <c r="AZ639" i="7"/>
  <c r="BA636" i="7"/>
  <c r="BA639" i="7"/>
  <c r="BB636" i="7"/>
  <c r="BB639" i="7"/>
  <c r="BC636" i="7"/>
  <c r="BC639" i="7"/>
  <c r="BD636" i="7"/>
  <c r="BD639" i="7"/>
  <c r="BE636" i="7"/>
  <c r="BE639" i="7"/>
  <c r="H698" i="7"/>
  <c r="H266" i="7"/>
  <c r="H275" i="7"/>
  <c r="G693" i="7"/>
  <c r="G695" i="7"/>
  <c r="H692" i="7"/>
  <c r="H695" i="7"/>
  <c r="I692" i="7"/>
  <c r="I695" i="7"/>
  <c r="J692" i="7"/>
  <c r="J695" i="7"/>
  <c r="K692" i="7"/>
  <c r="K695" i="7"/>
  <c r="L692" i="7"/>
  <c r="L695" i="7"/>
  <c r="M692" i="7"/>
  <c r="M695" i="7"/>
  <c r="N692" i="7"/>
  <c r="N695" i="7"/>
  <c r="O692" i="7"/>
  <c r="O695" i="7"/>
  <c r="P692" i="7"/>
  <c r="P695" i="7"/>
  <c r="Q692" i="7"/>
  <c r="Q695" i="7"/>
  <c r="R692" i="7"/>
  <c r="R695" i="7"/>
  <c r="S692" i="7"/>
  <c r="S695" i="7"/>
  <c r="T692" i="7"/>
  <c r="T695" i="7"/>
  <c r="U692" i="7"/>
  <c r="U695" i="7"/>
  <c r="V692" i="7"/>
  <c r="V695" i="7"/>
  <c r="W692" i="7"/>
  <c r="W695" i="7"/>
  <c r="X692" i="7"/>
  <c r="X695" i="7"/>
  <c r="Y692" i="7"/>
  <c r="Y695" i="7"/>
  <c r="Z692" i="7"/>
  <c r="Z695" i="7"/>
  <c r="AA692" i="7"/>
  <c r="AA695" i="7"/>
  <c r="AB692" i="7"/>
  <c r="AB695" i="7"/>
  <c r="AC692" i="7"/>
  <c r="AC695" i="7"/>
  <c r="AD692" i="7"/>
  <c r="AD695" i="7"/>
  <c r="AE692" i="7"/>
  <c r="AE695" i="7"/>
  <c r="AF692" i="7"/>
  <c r="AF695" i="7"/>
  <c r="AG692" i="7"/>
  <c r="AG695" i="7"/>
  <c r="AH692" i="7"/>
  <c r="AH695" i="7"/>
  <c r="AI692" i="7"/>
  <c r="AI695" i="7"/>
  <c r="AJ692" i="7"/>
  <c r="AJ695" i="7"/>
  <c r="AK692" i="7"/>
  <c r="AK695" i="7"/>
  <c r="AL692" i="7"/>
  <c r="AL695" i="7"/>
  <c r="AM692" i="7"/>
  <c r="AM695" i="7"/>
  <c r="AN692" i="7"/>
  <c r="AN695" i="7"/>
  <c r="AO692" i="7"/>
  <c r="AO695" i="7"/>
  <c r="AP692" i="7"/>
  <c r="AP695" i="7"/>
  <c r="AQ692" i="7"/>
  <c r="AQ695" i="7"/>
  <c r="AR692" i="7"/>
  <c r="AR695" i="7"/>
  <c r="AS692" i="7"/>
  <c r="AS695" i="7"/>
  <c r="AT692" i="7"/>
  <c r="AT695" i="7"/>
  <c r="AU692" i="7"/>
  <c r="AU695" i="7"/>
  <c r="AV692" i="7"/>
  <c r="AV695" i="7"/>
  <c r="AW692" i="7"/>
  <c r="AW695" i="7"/>
  <c r="AX692" i="7"/>
  <c r="AX695" i="7"/>
  <c r="AY692" i="7"/>
  <c r="AY695" i="7"/>
  <c r="AZ692" i="7"/>
  <c r="AZ695" i="7"/>
  <c r="BA692" i="7"/>
  <c r="BA695" i="7"/>
  <c r="BB692" i="7"/>
  <c r="BB695" i="7"/>
  <c r="BC692" i="7"/>
  <c r="BC695" i="7"/>
  <c r="BD692" i="7"/>
  <c r="BD695" i="7"/>
  <c r="BE692" i="7"/>
  <c r="BE695" i="7"/>
  <c r="U797" i="7"/>
  <c r="U124" i="7"/>
  <c r="U142" i="7"/>
  <c r="U143" i="7"/>
  <c r="AV839" i="7"/>
  <c r="AV261" i="7"/>
  <c r="AK421" i="7"/>
  <c r="AK422" i="7"/>
  <c r="L197" i="23"/>
  <c r="L172" i="23"/>
  <c r="M192" i="8"/>
  <c r="M202" i="8"/>
  <c r="BB421" i="7"/>
  <c r="BB422" i="7"/>
  <c r="P378" i="7"/>
  <c r="AB379" i="7"/>
  <c r="AC378" i="7"/>
  <c r="AR379" i="7"/>
  <c r="AS378" i="7"/>
  <c r="AZ379" i="7"/>
  <c r="BA378" i="7"/>
  <c r="BD379" i="7"/>
  <c r="BE378" i="7"/>
  <c r="AM304" i="7"/>
  <c r="AM34" i="7"/>
  <c r="X768" i="7"/>
  <c r="X769" i="7"/>
  <c r="X32" i="7"/>
  <c r="AN768" i="7"/>
  <c r="AN769" i="7"/>
  <c r="AN32" i="7"/>
  <c r="AF768" i="7"/>
  <c r="AH767" i="7"/>
  <c r="AH769" i="7"/>
  <c r="AH32" i="7"/>
  <c r="AM767" i="7"/>
  <c r="AM769" i="7"/>
  <c r="AM32" i="7"/>
  <c r="AP767" i="7"/>
  <c r="AP769" i="7"/>
  <c r="AP32" i="7"/>
  <c r="BC767" i="7"/>
  <c r="BC769" i="7"/>
  <c r="BC32" i="7"/>
  <c r="I323" i="7"/>
  <c r="Q323" i="7"/>
  <c r="AB323" i="7"/>
  <c r="AF324" i="7"/>
  <c r="AH323" i="7"/>
  <c r="AP323" i="7"/>
  <c r="AQ324" i="7"/>
  <c r="AQ330" i="7"/>
  <c r="AT323" i="7"/>
  <c r="AU323" i="7"/>
  <c r="AY323" i="7"/>
  <c r="AZ323" i="7"/>
  <c r="BD324" i="7"/>
  <c r="BD330" i="7"/>
  <c r="BE323" i="7"/>
  <c r="V324" i="7"/>
  <c r="Y324" i="7"/>
  <c r="AE323" i="7"/>
  <c r="AJ324" i="7"/>
  <c r="AS323" i="7"/>
  <c r="AT324" i="7"/>
  <c r="AT330" i="7"/>
  <c r="AU324" i="7"/>
  <c r="AU330" i="7"/>
  <c r="AV323" i="7"/>
  <c r="AX323" i="7"/>
  <c r="AZ324" i="7"/>
  <c r="AZ330" i="7"/>
  <c r="BE324" i="7"/>
  <c r="BE330" i="7"/>
  <c r="H71" i="7"/>
  <c r="H73" i="7"/>
  <c r="H70" i="7"/>
  <c r="H75" i="7"/>
  <c r="N19" i="7"/>
  <c r="N30" i="7"/>
  <c r="P19" i="7"/>
  <c r="P30" i="7"/>
  <c r="W19" i="7"/>
  <c r="AI19" i="7"/>
  <c r="AP19" i="7"/>
  <c r="AY19" i="7"/>
  <c r="O19" i="7"/>
  <c r="O30" i="7"/>
  <c r="AL19" i="7"/>
  <c r="AN19" i="7"/>
  <c r="AQ19" i="7"/>
  <c r="AX19" i="7"/>
  <c r="BA19" i="7"/>
  <c r="BC19" i="7"/>
  <c r="AE19" i="7"/>
  <c r="AM19" i="7"/>
  <c r="BB19" i="7"/>
  <c r="S19" i="7"/>
  <c r="S30" i="7"/>
  <c r="X19" i="7"/>
  <c r="AH19" i="7"/>
  <c r="AK19" i="7"/>
  <c r="AT19" i="7"/>
  <c r="AV19" i="7"/>
  <c r="BC783" i="7"/>
  <c r="BC77" i="7"/>
  <c r="AU401" i="7"/>
  <c r="AJ81" i="7"/>
  <c r="Z81" i="7"/>
  <c r="T422" i="7"/>
  <c r="T81" i="7"/>
  <c r="O378" i="7"/>
  <c r="P421" i="7"/>
  <c r="S421" i="7"/>
  <c r="U421" i="7"/>
  <c r="U427" i="7"/>
  <c r="W421" i="7"/>
  <c r="Y421" i="7"/>
  <c r="Y427" i="7"/>
  <c r="AA421" i="7"/>
  <c r="AC420" i="7"/>
  <c r="AD420" i="7"/>
  <c r="AF420" i="7"/>
  <c r="AH421" i="7"/>
  <c r="AH427" i="7"/>
  <c r="AK427" i="7"/>
  <c r="AM420" i="7"/>
  <c r="AN421" i="7"/>
  <c r="AN427" i="7"/>
  <c r="AQ421" i="7"/>
  <c r="AQ427" i="7"/>
  <c r="AS420" i="7"/>
  <c r="AT420" i="7"/>
  <c r="AV420" i="7"/>
  <c r="AY421" i="7"/>
  <c r="AZ420" i="7"/>
  <c r="BA420" i="7"/>
  <c r="BC420" i="7"/>
  <c r="BD420" i="7"/>
  <c r="BE420" i="7"/>
  <c r="J420" i="7"/>
  <c r="L421" i="7"/>
  <c r="AW304" i="7"/>
  <c r="AW34" i="7"/>
  <c r="AQ323" i="7"/>
  <c r="AO304" i="7"/>
  <c r="AO49" i="7"/>
  <c r="AO34" i="7"/>
  <c r="AM324" i="7"/>
  <c r="AM330" i="7"/>
  <c r="AE324" i="7"/>
  <c r="AE330" i="7"/>
  <c r="AD763" i="7"/>
  <c r="AD767" i="7"/>
  <c r="AD769" i="7"/>
  <c r="AD32" i="7"/>
  <c r="Z324" i="7"/>
  <c r="Y346" i="7"/>
  <c r="U324" i="7"/>
  <c r="T323" i="7"/>
  <c r="R324" i="7"/>
  <c r="AA29" i="17"/>
  <c r="AA73" i="17"/>
  <c r="Q185" i="23"/>
  <c r="BE401" i="7"/>
  <c r="BB81" i="7"/>
  <c r="BA401" i="7"/>
  <c r="AX421" i="7"/>
  <c r="AX427" i="7"/>
  <c r="AW421" i="7"/>
  <c r="AW427" i="7"/>
  <c r="AW378" i="7"/>
  <c r="AU421" i="7"/>
  <c r="AU427" i="7"/>
  <c r="AT421" i="7"/>
  <c r="AT427" i="7"/>
  <c r="AS421" i="7"/>
  <c r="AS427" i="7"/>
  <c r="AR420" i="7"/>
  <c r="AP420" i="7"/>
  <c r="AN420" i="7"/>
  <c r="AN379" i="7"/>
  <c r="AL81" i="7"/>
  <c r="AH420" i="7"/>
  <c r="AF379" i="7"/>
  <c r="AB81" i="7"/>
  <c r="AB421" i="7"/>
  <c r="AB427" i="7"/>
  <c r="X421" i="7"/>
  <c r="X427" i="7"/>
  <c r="X379" i="7"/>
  <c r="V420" i="7"/>
  <c r="U378" i="7"/>
  <c r="T783" i="7"/>
  <c r="T77" i="7"/>
  <c r="M421" i="7"/>
  <c r="M427" i="7"/>
  <c r="K783" i="7"/>
  <c r="K77" i="7"/>
  <c r="K95" i="7"/>
  <c r="R442" i="7"/>
  <c r="T442" i="7"/>
  <c r="U442" i="7"/>
  <c r="V442" i="7"/>
  <c r="X442" i="7"/>
  <c r="Y442" i="7"/>
  <c r="Z442" i="7"/>
  <c r="AE442" i="7"/>
  <c r="AF442" i="7"/>
  <c r="AG442" i="7"/>
  <c r="AP442" i="7"/>
  <c r="AU442" i="7"/>
  <c r="AV442" i="7"/>
  <c r="AW442" i="7"/>
  <c r="AX442" i="7"/>
  <c r="BD346" i="7"/>
  <c r="BD36" i="7"/>
  <c r="BC323" i="7"/>
  <c r="BB34" i="7"/>
  <c r="BB304" i="7"/>
  <c r="BA34" i="7"/>
  <c r="BA324" i="7"/>
  <c r="BA330" i="7"/>
  <c r="AY346" i="7"/>
  <c r="AY36" i="7"/>
  <c r="AX304" i="7"/>
  <c r="AW324" i="7"/>
  <c r="AW330" i="7"/>
  <c r="AR324" i="7"/>
  <c r="AR330" i="7"/>
  <c r="AM323" i="7"/>
  <c r="AJ346" i="7"/>
  <c r="AI324" i="7"/>
  <c r="AI330" i="7"/>
  <c r="S366" i="7"/>
  <c r="O323" i="7"/>
  <c r="J34" i="7"/>
  <c r="AS19" i="7"/>
  <c r="X30" i="17"/>
  <c r="X74" i="17"/>
  <c r="Q208" i="17"/>
  <c r="Q28" i="17"/>
  <c r="Q72" i="17"/>
  <c r="BD421" i="7"/>
  <c r="BD427" i="7"/>
  <c r="BC421" i="7"/>
  <c r="BC427" i="7"/>
  <c r="BB427" i="7"/>
  <c r="AZ421" i="7"/>
  <c r="AZ427" i="7"/>
  <c r="AX420" i="7"/>
  <c r="AW420" i="7"/>
  <c r="AV421" i="7"/>
  <c r="AV427" i="7"/>
  <c r="AU420" i="7"/>
  <c r="AQ420" i="7"/>
  <c r="AO421" i="7"/>
  <c r="AO427" i="7"/>
  <c r="AO401" i="7"/>
  <c r="AO80" i="7"/>
  <c r="AM421" i="7"/>
  <c r="AM427" i="7"/>
  <c r="AL421" i="7"/>
  <c r="AL427" i="7"/>
  <c r="AJ421" i="7"/>
  <c r="AJ427" i="7"/>
  <c r="AG422" i="7"/>
  <c r="AB401" i="7"/>
  <c r="Z421" i="7"/>
  <c r="Z427" i="7"/>
  <c r="Y378" i="7"/>
  <c r="X420" i="7"/>
  <c r="U420" i="7"/>
  <c r="R420" i="7"/>
  <c r="M420" i="7"/>
  <c r="H399" i="7"/>
  <c r="I399" i="7"/>
  <c r="L400" i="7"/>
  <c r="M399" i="7"/>
  <c r="R400" i="7"/>
  <c r="S399" i="7"/>
  <c r="T399" i="7"/>
  <c r="U399" i="7"/>
  <c r="V400" i="7"/>
  <c r="W399" i="7"/>
  <c r="X399" i="7"/>
  <c r="Y399" i="7"/>
  <c r="Z400" i="7"/>
  <c r="AA399" i="7"/>
  <c r="AF399" i="7"/>
  <c r="AG399" i="7"/>
  <c r="AI400" i="7"/>
  <c r="AK400" i="7"/>
  <c r="AL399" i="7"/>
  <c r="AN400" i="7"/>
  <c r="AN406" i="7"/>
  <c r="AP400" i="7"/>
  <c r="AQ399" i="7"/>
  <c r="AV399" i="7"/>
  <c r="AW399" i="7"/>
  <c r="AX400" i="7"/>
  <c r="AY399" i="7"/>
  <c r="BB399" i="7"/>
  <c r="K400" i="7"/>
  <c r="H84" i="7"/>
  <c r="H93" i="7"/>
  <c r="N412" i="7"/>
  <c r="N83" i="7"/>
  <c r="N92" i="7"/>
  <c r="AD412" i="7"/>
  <c r="AD83" i="7"/>
  <c r="AD92" i="7"/>
  <c r="AI412" i="7"/>
  <c r="AI83" i="7"/>
  <c r="AI92" i="7"/>
  <c r="AJ412" i="7"/>
  <c r="AJ83" i="7"/>
  <c r="AJ92" i="7"/>
  <c r="AK412" i="7"/>
  <c r="AK83" i="7"/>
  <c r="AK92" i="7"/>
  <c r="AT412" i="7"/>
  <c r="AT83" i="7"/>
  <c r="AT92" i="7"/>
  <c r="J412" i="7"/>
  <c r="J83" i="7"/>
  <c r="J92" i="7"/>
  <c r="I412" i="7"/>
  <c r="I83" i="7"/>
  <c r="I92" i="7"/>
  <c r="BD323" i="7"/>
  <c r="BB767" i="7"/>
  <c r="BB769" i="7"/>
  <c r="BB32" i="7"/>
  <c r="BB324" i="7"/>
  <c r="BA323" i="7"/>
  <c r="AZ36" i="7"/>
  <c r="AZ346" i="7"/>
  <c r="AY767" i="7"/>
  <c r="AY769" i="7"/>
  <c r="AY32" i="7"/>
  <c r="AY324" i="7"/>
  <c r="AY330" i="7"/>
  <c r="AW323" i="7"/>
  <c r="AR323" i="7"/>
  <c r="AN324" i="7"/>
  <c r="AK34" i="7"/>
  <c r="AJ36" i="7"/>
  <c r="AI323" i="7"/>
  <c r="AB346" i="7"/>
  <c r="Y36" i="7"/>
  <c r="Y304" i="7"/>
  <c r="R34" i="7"/>
  <c r="T763" i="7"/>
  <c r="T767" i="7"/>
  <c r="T769" i="7"/>
  <c r="T32" i="7"/>
  <c r="AE763" i="7"/>
  <c r="AE767" i="7"/>
  <c r="AE769" i="7"/>
  <c r="AE32" i="7"/>
  <c r="AF763" i="7"/>
  <c r="AF767" i="7"/>
  <c r="AF769" i="7"/>
  <c r="AF32" i="7"/>
  <c r="AI763" i="7"/>
  <c r="AI767" i="7"/>
  <c r="AI769" i="7"/>
  <c r="AI32" i="7"/>
  <c r="AO763" i="7"/>
  <c r="AO767" i="7"/>
  <c r="AO769" i="7"/>
  <c r="AO32" i="7"/>
  <c r="AR763" i="7"/>
  <c r="AR767" i="7"/>
  <c r="AR769" i="7"/>
  <c r="AR32" i="7"/>
  <c r="AT763" i="7"/>
  <c r="AT767" i="7"/>
  <c r="AT769" i="7"/>
  <c r="AT32" i="7"/>
  <c r="AW763" i="7"/>
  <c r="AW767" i="7"/>
  <c r="AW769" i="7"/>
  <c r="AW32" i="7"/>
  <c r="O763" i="7"/>
  <c r="O767" i="7"/>
  <c r="O769" i="7"/>
  <c r="O32" i="7"/>
  <c r="V763" i="7"/>
  <c r="V767" i="7"/>
  <c r="V769" i="7"/>
  <c r="V32" i="7"/>
  <c r="AB763" i="7"/>
  <c r="AB767" i="7"/>
  <c r="AB769" i="7"/>
  <c r="AB32" i="7"/>
  <c r="AJ763" i="7"/>
  <c r="AJ767" i="7"/>
  <c r="AJ769" i="7"/>
  <c r="AJ32" i="7"/>
  <c r="AK763" i="7"/>
  <c r="AK767" i="7"/>
  <c r="AK769" i="7"/>
  <c r="AK32" i="7"/>
  <c r="AQ763" i="7"/>
  <c r="AQ767" i="7"/>
  <c r="AQ769" i="7"/>
  <c r="AQ32" i="7"/>
  <c r="AX763" i="7"/>
  <c r="AX767" i="7"/>
  <c r="AX769" i="7"/>
  <c r="AX32" i="7"/>
  <c r="BA763" i="7"/>
  <c r="BA767" i="7"/>
  <c r="BA769" i="7"/>
  <c r="BA32" i="7"/>
  <c r="BD763" i="7"/>
  <c r="BD767" i="7"/>
  <c r="BD769" i="7"/>
  <c r="BD32" i="7"/>
  <c r="M366" i="7"/>
  <c r="W366" i="7"/>
  <c r="AA366" i="7"/>
  <c r="AD366" i="7"/>
  <c r="AG366" i="7"/>
  <c r="AJ366" i="7"/>
  <c r="AM366" i="7"/>
  <c r="AV366" i="7"/>
  <c r="BA366" i="7"/>
  <c r="BB366" i="7"/>
  <c r="BC366" i="7"/>
  <c r="U366" i="7"/>
  <c r="Z366" i="7"/>
  <c r="AC366" i="7"/>
  <c r="AI366" i="7"/>
  <c r="AL366" i="7"/>
  <c r="AQ366" i="7"/>
  <c r="AR366" i="7"/>
  <c r="J336" i="7"/>
  <c r="J38" i="7"/>
  <c r="J47" i="7"/>
  <c r="O336" i="7"/>
  <c r="O38" i="7"/>
  <c r="O47" i="7"/>
  <c r="R336" i="7"/>
  <c r="R38" i="7"/>
  <c r="R47" i="7"/>
  <c r="S336" i="7"/>
  <c r="S38" i="7"/>
  <c r="S47" i="7"/>
  <c r="V336" i="7"/>
  <c r="V38" i="7"/>
  <c r="V47" i="7"/>
  <c r="AE336" i="7"/>
  <c r="AE38" i="7"/>
  <c r="AE47" i="7"/>
  <c r="AF336" i="7"/>
  <c r="AF38" i="7"/>
  <c r="AF47" i="7"/>
  <c r="AK336" i="7"/>
  <c r="AK38" i="7"/>
  <c r="AK47" i="7"/>
  <c r="AO336" i="7"/>
  <c r="AO38" i="7"/>
  <c r="AO47" i="7"/>
  <c r="AW336" i="7"/>
  <c r="AW38" i="7"/>
  <c r="AW47" i="7"/>
  <c r="AX336" i="7"/>
  <c r="AX38" i="7"/>
  <c r="AX47" i="7"/>
  <c r="AY336" i="7"/>
  <c r="AY38" i="7"/>
  <c r="AY47" i="7"/>
  <c r="AZ336" i="7"/>
  <c r="AZ38" i="7"/>
  <c r="AZ47" i="7"/>
  <c r="W336" i="7"/>
  <c r="W38" i="7"/>
  <c r="W47" i="7"/>
  <c r="X336" i="7"/>
  <c r="X38" i="7"/>
  <c r="X47" i="7"/>
  <c r="AA336" i="7"/>
  <c r="AA38" i="7"/>
  <c r="AA47" i="7"/>
  <c r="AD336" i="7"/>
  <c r="AD38" i="7"/>
  <c r="AD47" i="7"/>
  <c r="AG336" i="7"/>
  <c r="AG38" i="7"/>
  <c r="AG47" i="7"/>
  <c r="AJ336" i="7"/>
  <c r="AJ38" i="7"/>
  <c r="AJ47" i="7"/>
  <c r="AM336" i="7"/>
  <c r="AM38" i="7"/>
  <c r="AM47" i="7"/>
  <c r="AV336" i="7"/>
  <c r="AV38" i="7"/>
  <c r="AV47" i="7"/>
  <c r="BA336" i="7"/>
  <c r="BA38" i="7"/>
  <c r="BA47" i="7"/>
  <c r="BB336" i="7"/>
  <c r="BB38" i="7"/>
  <c r="BB47" i="7"/>
  <c r="BC336" i="7"/>
  <c r="BC38" i="7"/>
  <c r="BC47" i="7"/>
  <c r="AU19" i="7"/>
  <c r="AD19" i="7"/>
  <c r="AA19" i="7"/>
  <c r="H72" i="7"/>
  <c r="S29" i="17"/>
  <c r="S73" i="17"/>
  <c r="I165" i="7"/>
  <c r="I162" i="7"/>
  <c r="I167" i="7"/>
  <c r="AX777" i="7"/>
  <c r="AX781" i="7"/>
  <c r="AX783" i="7"/>
  <c r="AX77" i="7"/>
  <c r="AU777" i="7"/>
  <c r="AU781" i="7"/>
  <c r="AU783" i="7"/>
  <c r="AU77" i="7"/>
  <c r="AS777" i="7"/>
  <c r="AS781" i="7"/>
  <c r="AS783" i="7"/>
  <c r="AS77" i="7"/>
  <c r="AR777" i="7"/>
  <c r="AR781" i="7"/>
  <c r="AR783" i="7"/>
  <c r="AR77" i="7"/>
  <c r="AP777" i="7"/>
  <c r="AP781" i="7"/>
  <c r="AP783" i="7"/>
  <c r="AP77" i="7"/>
  <c r="AE777" i="7"/>
  <c r="AE781" i="7"/>
  <c r="AE783" i="7"/>
  <c r="AE77" i="7"/>
  <c r="AC777" i="7"/>
  <c r="AC781" i="7"/>
  <c r="AC783" i="7"/>
  <c r="AC77" i="7"/>
  <c r="AB777" i="7"/>
  <c r="AB781" i="7"/>
  <c r="AB783" i="7"/>
  <c r="AB77" i="7"/>
  <c r="H38" i="7"/>
  <c r="Z28" i="17"/>
  <c r="Z72" i="17"/>
  <c r="Z208" i="17"/>
  <c r="Y28" i="17"/>
  <c r="Y72" i="17"/>
  <c r="W30" i="17"/>
  <c r="W74" i="17"/>
  <c r="R28" i="17"/>
  <c r="R72" i="17"/>
  <c r="R208" i="17"/>
  <c r="J208" i="17"/>
  <c r="J28" i="17"/>
  <c r="J72" i="17"/>
  <c r="J359" i="17"/>
  <c r="J363" i="17"/>
  <c r="J365" i="17"/>
  <c r="J26" i="17"/>
  <c r="L359" i="17"/>
  <c r="L363" i="17"/>
  <c r="L365" i="17"/>
  <c r="L26" i="17"/>
  <c r="H229" i="17"/>
  <c r="H29" i="17"/>
  <c r="H73" i="17"/>
  <c r="J240" i="17"/>
  <c r="J32" i="17"/>
  <c r="L240" i="17"/>
  <c r="L32" i="17"/>
  <c r="H240" i="17"/>
  <c r="H32" i="17"/>
  <c r="K240" i="4"/>
  <c r="K32" i="4"/>
  <c r="O240" i="4"/>
  <c r="O32" i="4"/>
  <c r="S240" i="4"/>
  <c r="S32" i="4"/>
  <c r="W240" i="4"/>
  <c r="W32" i="4"/>
  <c r="AA240" i="4"/>
  <c r="AA32" i="4"/>
  <c r="I73" i="7"/>
  <c r="I70" i="7"/>
  <c r="I75" i="7"/>
  <c r="AA240" i="17"/>
  <c r="AA32" i="17"/>
  <c r="Y229" i="17"/>
  <c r="X359" i="17"/>
  <c r="X363" i="17"/>
  <c r="X365" i="17"/>
  <c r="X26" i="17"/>
  <c r="X240" i="17"/>
  <c r="X32" i="17"/>
  <c r="W359" i="17"/>
  <c r="W363" i="17"/>
  <c r="W365" i="17"/>
  <c r="W26" i="17"/>
  <c r="S240" i="17"/>
  <c r="S32" i="17"/>
  <c r="Q229" i="17"/>
  <c r="P359" i="17"/>
  <c r="P363" i="17"/>
  <c r="P365" i="17"/>
  <c r="P26" i="17"/>
  <c r="P240" i="17"/>
  <c r="P32" i="17"/>
  <c r="O359" i="17"/>
  <c r="O363" i="17"/>
  <c r="O365" i="17"/>
  <c r="O26" i="17"/>
  <c r="K359" i="17"/>
  <c r="K363" i="17"/>
  <c r="K364" i="17"/>
  <c r="K365" i="17"/>
  <c r="K26" i="17"/>
  <c r="I359" i="17"/>
  <c r="I363" i="17"/>
  <c r="I228" i="17"/>
  <c r="K228" i="17"/>
  <c r="L227" i="17"/>
  <c r="N227" i="17"/>
  <c r="P227" i="17"/>
  <c r="R227" i="17"/>
  <c r="T227" i="17"/>
  <c r="V227" i="17"/>
  <c r="X227" i="17"/>
  <c r="Z227" i="17"/>
  <c r="X38" i="4"/>
  <c r="T38" i="4"/>
  <c r="P38" i="4"/>
  <c r="L38" i="4"/>
  <c r="I240" i="4"/>
  <c r="I32" i="4"/>
  <c r="J364" i="4"/>
  <c r="N364" i="4"/>
  <c r="R364" i="4"/>
  <c r="V364" i="4"/>
  <c r="Z364" i="4"/>
  <c r="K359" i="4"/>
  <c r="K363" i="4"/>
  <c r="O359" i="4"/>
  <c r="O363" i="4"/>
  <c r="S359" i="4"/>
  <c r="S363" i="4"/>
  <c r="W359" i="4"/>
  <c r="W363" i="4"/>
  <c r="AA359" i="4"/>
  <c r="AA363" i="4"/>
  <c r="H373" i="17"/>
  <c r="H377" i="17"/>
  <c r="H378" i="17"/>
  <c r="H379" i="17"/>
  <c r="H116" i="17"/>
  <c r="K373" i="17"/>
  <c r="O373" i="17"/>
  <c r="S373" i="17"/>
  <c r="W373" i="17"/>
  <c r="W377" i="17"/>
  <c r="W378" i="17"/>
  <c r="W379" i="17"/>
  <c r="W116" i="17"/>
  <c r="AA373" i="17"/>
  <c r="M373" i="17"/>
  <c r="R373" i="17"/>
  <c r="X373" i="17"/>
  <c r="X377" i="17"/>
  <c r="X378" i="17"/>
  <c r="X379" i="17"/>
  <c r="X116" i="17"/>
  <c r="I373" i="17"/>
  <c r="N373" i="17"/>
  <c r="T373" i="17"/>
  <c r="T377" i="17"/>
  <c r="T378" i="17"/>
  <c r="T379" i="17"/>
  <c r="T116" i="17"/>
  <c r="Y373" i="17"/>
  <c r="Y240" i="17"/>
  <c r="Y32" i="17"/>
  <c r="X228" i="17"/>
  <c r="W227" i="17"/>
  <c r="V359" i="17"/>
  <c r="V363" i="17"/>
  <c r="V365" i="17"/>
  <c r="V26" i="17"/>
  <c r="V240" i="17"/>
  <c r="V32" i="17"/>
  <c r="U359" i="17"/>
  <c r="U363" i="17"/>
  <c r="U365" i="17"/>
  <c r="U26" i="17"/>
  <c r="U228" i="17"/>
  <c r="Q240" i="17"/>
  <c r="Q32" i="17"/>
  <c r="P228" i="17"/>
  <c r="O227" i="17"/>
  <c r="N359" i="17"/>
  <c r="N363" i="17"/>
  <c r="N365" i="17"/>
  <c r="N26" i="17"/>
  <c r="N240" i="17"/>
  <c r="N32" i="17"/>
  <c r="M359" i="17"/>
  <c r="M363" i="17"/>
  <c r="M365" i="17"/>
  <c r="M26" i="17"/>
  <c r="M228" i="17"/>
  <c r="J227" i="17"/>
  <c r="H28" i="17"/>
  <c r="H72" i="17"/>
  <c r="T249" i="17"/>
  <c r="V249" i="17"/>
  <c r="X249" i="17"/>
  <c r="X250" i="17"/>
  <c r="X208" i="17"/>
  <c r="X229" i="17"/>
  <c r="X42" i="17"/>
  <c r="Z249" i="17"/>
  <c r="AA30" i="4"/>
  <c r="AA74" i="4"/>
  <c r="Z240" i="4"/>
  <c r="Z32" i="4"/>
  <c r="X359" i="4"/>
  <c r="X363" i="4"/>
  <c r="W30" i="4"/>
  <c r="W74" i="4"/>
  <c r="V240" i="4"/>
  <c r="V32" i="4"/>
  <c r="T359" i="4"/>
  <c r="T363" i="4"/>
  <c r="S30" i="4"/>
  <c r="S74" i="4"/>
  <c r="R240" i="4"/>
  <c r="R32" i="4"/>
  <c r="P359" i="4"/>
  <c r="P363" i="4"/>
  <c r="N240" i="4"/>
  <c r="N32" i="4"/>
  <c r="L359" i="4"/>
  <c r="L363" i="4"/>
  <c r="H38" i="4"/>
  <c r="Z373" i="17"/>
  <c r="P373" i="17"/>
  <c r="I377" i="17"/>
  <c r="I378" i="17"/>
  <c r="I379" i="17"/>
  <c r="I116" i="17"/>
  <c r="M377" i="17"/>
  <c r="Q377" i="17"/>
  <c r="U377" i="17"/>
  <c r="J377" i="17"/>
  <c r="N377" i="17"/>
  <c r="Y377" i="17"/>
  <c r="Y378" i="17"/>
  <c r="Y379" i="17"/>
  <c r="Y116" i="17"/>
  <c r="K377" i="17"/>
  <c r="Z377" i="17"/>
  <c r="Z378" i="17"/>
  <c r="Z379" i="17"/>
  <c r="Z116" i="17"/>
  <c r="AA377" i="17"/>
  <c r="O377" i="17"/>
  <c r="O378" i="17"/>
  <c r="O379" i="17"/>
  <c r="O116" i="17"/>
  <c r="P377" i="17"/>
  <c r="P378" i="17"/>
  <c r="P379" i="17"/>
  <c r="P116" i="17"/>
  <c r="R377" i="17"/>
  <c r="K378" i="17"/>
  <c r="L378" i="17"/>
  <c r="R378" i="17"/>
  <c r="U378" i="17"/>
  <c r="J378" i="17"/>
  <c r="N378" i="17"/>
  <c r="Q378" i="17"/>
  <c r="S378" i="17"/>
  <c r="V378" i="17"/>
  <c r="AA378" i="17"/>
  <c r="H315" i="4"/>
  <c r="H303" i="4"/>
  <c r="J303" i="4"/>
  <c r="K304" i="4"/>
  <c r="K310" i="4"/>
  <c r="N303" i="4"/>
  <c r="O304" i="4"/>
  <c r="O310" i="4"/>
  <c r="R303" i="4"/>
  <c r="S304" i="4"/>
  <c r="S310" i="4"/>
  <c r="H304" i="4"/>
  <c r="H310" i="4"/>
  <c r="I303" i="4"/>
  <c r="J304" i="4"/>
  <c r="J310" i="4"/>
  <c r="M303" i="4"/>
  <c r="M119" i="4"/>
  <c r="M163" i="4"/>
  <c r="N304" i="4"/>
  <c r="N310" i="4"/>
  <c r="Q303" i="4"/>
  <c r="R304" i="4"/>
  <c r="L304" i="4"/>
  <c r="L310" i="4"/>
  <c r="O303" i="4"/>
  <c r="T303" i="4"/>
  <c r="U304" i="4"/>
  <c r="U310" i="4"/>
  <c r="X303" i="4"/>
  <c r="Y304" i="4"/>
  <c r="Y310" i="4"/>
  <c r="M304" i="4"/>
  <c r="M310" i="4"/>
  <c r="P303" i="4"/>
  <c r="T304" i="4"/>
  <c r="T310" i="4"/>
  <c r="W303" i="4"/>
  <c r="X304" i="4"/>
  <c r="X310" i="4"/>
  <c r="K303" i="4"/>
  <c r="W304" i="4"/>
  <c r="W310" i="4"/>
  <c r="AA303" i="4"/>
  <c r="Q304" i="4"/>
  <c r="Q310" i="4"/>
  <c r="U303" i="4"/>
  <c r="Z303" i="4"/>
  <c r="AA304" i="4"/>
  <c r="AA310" i="4"/>
  <c r="P304" i="4"/>
  <c r="P310" i="4"/>
  <c r="V303" i="4"/>
  <c r="H314" i="4"/>
  <c r="I304" i="4"/>
  <c r="I310" i="4"/>
  <c r="V304" i="4"/>
  <c r="V310" i="4"/>
  <c r="Y303" i="4"/>
  <c r="S303" i="4"/>
  <c r="Z304" i="4"/>
  <c r="Z310" i="4"/>
  <c r="L303" i="4"/>
  <c r="H110" i="4"/>
  <c r="H148" i="4"/>
  <c r="J110" i="4"/>
  <c r="J148" i="4"/>
  <c r="L110" i="4"/>
  <c r="L148" i="4"/>
  <c r="N110" i="4"/>
  <c r="N148" i="4"/>
  <c r="P110" i="4"/>
  <c r="P148" i="4"/>
  <c r="R110" i="4"/>
  <c r="R148" i="4"/>
  <c r="T110" i="4"/>
  <c r="T148" i="4"/>
  <c r="V110" i="4"/>
  <c r="V148" i="4"/>
  <c r="X110" i="4"/>
  <c r="X148" i="4"/>
  <c r="Z110" i="4"/>
  <c r="Z148" i="4"/>
  <c r="I110" i="4"/>
  <c r="I148" i="4"/>
  <c r="Q110" i="4"/>
  <c r="Q148" i="4"/>
  <c r="Y110" i="4"/>
  <c r="Y148" i="4"/>
  <c r="I110" i="17"/>
  <c r="I148" i="17"/>
  <c r="K110" i="17"/>
  <c r="K148" i="17"/>
  <c r="M110" i="17"/>
  <c r="M148" i="17"/>
  <c r="O110" i="17"/>
  <c r="O148" i="17"/>
  <c r="Q110" i="17"/>
  <c r="Q148" i="17"/>
  <c r="S110" i="17"/>
  <c r="S148" i="17"/>
  <c r="U110" i="17"/>
  <c r="U148" i="17"/>
  <c r="W110" i="17"/>
  <c r="W148" i="17"/>
  <c r="Y110" i="17"/>
  <c r="Y148" i="17"/>
  <c r="AA110" i="17"/>
  <c r="AA148" i="17"/>
  <c r="O110" i="4"/>
  <c r="O148" i="4"/>
  <c r="W110" i="4"/>
  <c r="W148" i="4"/>
  <c r="S110" i="4"/>
  <c r="S148" i="4"/>
  <c r="H110" i="17"/>
  <c r="H148" i="17"/>
  <c r="P110" i="17"/>
  <c r="P148" i="17"/>
  <c r="X110" i="17"/>
  <c r="X148" i="17"/>
  <c r="M110" i="4"/>
  <c r="M148" i="4"/>
  <c r="N110" i="17"/>
  <c r="N148" i="17"/>
  <c r="V110" i="17"/>
  <c r="V148" i="17"/>
  <c r="I20" i="4"/>
  <c r="I58" i="4"/>
  <c r="K20" i="4"/>
  <c r="K58" i="4"/>
  <c r="M20" i="4"/>
  <c r="M58" i="4"/>
  <c r="O20" i="4"/>
  <c r="O58" i="4"/>
  <c r="Q20" i="4"/>
  <c r="Q58" i="4"/>
  <c r="S20" i="4"/>
  <c r="S58" i="4"/>
  <c r="U20" i="4"/>
  <c r="U58" i="4"/>
  <c r="W20" i="4"/>
  <c r="W58" i="4"/>
  <c r="Y20" i="4"/>
  <c r="Y58" i="4"/>
  <c r="AA20" i="4"/>
  <c r="AA58" i="4"/>
  <c r="I20" i="17"/>
  <c r="I58" i="17"/>
  <c r="K20" i="17"/>
  <c r="K58" i="17"/>
  <c r="M20" i="17"/>
  <c r="M58" i="17"/>
  <c r="O20" i="17"/>
  <c r="O58" i="17"/>
  <c r="Q20" i="17"/>
  <c r="Q58" i="17"/>
  <c r="S20" i="17"/>
  <c r="S58" i="17"/>
  <c r="U20" i="17"/>
  <c r="U58" i="17"/>
  <c r="W20" i="17"/>
  <c r="W58" i="17"/>
  <c r="Y20" i="17"/>
  <c r="Y58" i="17"/>
  <c r="AA20" i="17"/>
  <c r="AA58" i="17"/>
  <c r="K110" i="4"/>
  <c r="K148" i="4"/>
  <c r="J110" i="17"/>
  <c r="J148" i="17"/>
  <c r="Z110" i="17"/>
  <c r="Z148" i="17"/>
  <c r="T110" i="17"/>
  <c r="T148" i="17"/>
  <c r="H20" i="4"/>
  <c r="P20" i="4"/>
  <c r="P58" i="4"/>
  <c r="X20" i="4"/>
  <c r="X58" i="4"/>
  <c r="J20" i="17"/>
  <c r="J58" i="17"/>
  <c r="R20" i="17"/>
  <c r="R58" i="17"/>
  <c r="Z20" i="17"/>
  <c r="Z58" i="17"/>
  <c r="AA110" i="4"/>
  <c r="AA148" i="4"/>
  <c r="R110" i="17"/>
  <c r="R148" i="17"/>
  <c r="M378" i="17"/>
  <c r="U110" i="4"/>
  <c r="U148" i="4"/>
  <c r="AA128" i="4"/>
  <c r="K10" i="27"/>
  <c r="K11" i="27"/>
  <c r="AA359" i="17"/>
  <c r="AA363" i="17"/>
  <c r="AA365" i="17"/>
  <c r="AA26" i="17"/>
  <c r="AA228" i="17"/>
  <c r="Z248" i="17"/>
  <c r="Z250" i="17"/>
  <c r="Z229" i="17"/>
  <c r="Z42" i="17"/>
  <c r="Y29" i="17"/>
  <c r="Y73" i="17"/>
  <c r="Y248" i="17"/>
  <c r="W249" i="17"/>
  <c r="W95" i="17"/>
  <c r="W240" i="17"/>
  <c r="W32" i="17"/>
  <c r="V228" i="17"/>
  <c r="U250" i="17"/>
  <c r="U227" i="17"/>
  <c r="U229" i="17"/>
  <c r="U42" i="17"/>
  <c r="T359" i="17"/>
  <c r="T363" i="17"/>
  <c r="T365" i="17"/>
  <c r="T26" i="17"/>
  <c r="T240" i="17"/>
  <c r="T32" i="17"/>
  <c r="S359" i="17"/>
  <c r="S363" i="17"/>
  <c r="S365" i="17"/>
  <c r="S26" i="17"/>
  <c r="S228" i="17"/>
  <c r="Q29" i="17"/>
  <c r="Q73" i="17"/>
  <c r="P208" i="17"/>
  <c r="O240" i="17"/>
  <c r="O32" i="17"/>
  <c r="N228" i="17"/>
  <c r="M227" i="17"/>
  <c r="L208" i="17"/>
  <c r="K240" i="17"/>
  <c r="K32" i="17"/>
  <c r="I240" i="17"/>
  <c r="I32" i="17"/>
  <c r="H359" i="17"/>
  <c r="H363" i="17"/>
  <c r="H365" i="17"/>
  <c r="H26" i="17"/>
  <c r="P20" i="17"/>
  <c r="V20" i="17"/>
  <c r="G48" i="17"/>
  <c r="V58" i="17"/>
  <c r="P58" i="17"/>
  <c r="R20" i="4"/>
  <c r="R58" i="4"/>
  <c r="L20" i="4"/>
  <c r="L58" i="4"/>
  <c r="Y240" i="4"/>
  <c r="Y32" i="4"/>
  <c r="X240" i="4"/>
  <c r="X32" i="4"/>
  <c r="U240" i="4"/>
  <c r="U32" i="4"/>
  <c r="T240" i="4"/>
  <c r="T32" i="4"/>
  <c r="Q240" i="4"/>
  <c r="Q32" i="4"/>
  <c r="P240" i="4"/>
  <c r="P32" i="4"/>
  <c r="P40" i="4"/>
  <c r="M240" i="4"/>
  <c r="M32" i="4"/>
  <c r="L240" i="4"/>
  <c r="L32" i="4"/>
  <c r="U249" i="4"/>
  <c r="U255" i="4"/>
  <c r="V248" i="4"/>
  <c r="Y249" i="4"/>
  <c r="Y255" i="4"/>
  <c r="Z248" i="4"/>
  <c r="Z250" i="4"/>
  <c r="H240" i="4"/>
  <c r="H32" i="4"/>
  <c r="H40" i="4"/>
  <c r="V373" i="17"/>
  <c r="V377" i="17"/>
  <c r="V379" i="17"/>
  <c r="V116" i="17"/>
  <c r="L373" i="17"/>
  <c r="L377" i="17"/>
  <c r="L379" i="17"/>
  <c r="L116" i="17"/>
  <c r="S377" i="17"/>
  <c r="S379" i="17"/>
  <c r="S116" i="17"/>
  <c r="G296" i="17"/>
  <c r="H363" i="4"/>
  <c r="H206" i="4"/>
  <c r="I206" i="4"/>
  <c r="J206" i="4"/>
  <c r="K206" i="4"/>
  <c r="L206" i="4"/>
  <c r="M206" i="4"/>
  <c r="N206" i="4"/>
  <c r="O206" i="4"/>
  <c r="P206" i="4"/>
  <c r="Q206" i="4"/>
  <c r="R206" i="4"/>
  <c r="S206" i="4"/>
  <c r="S208" i="4"/>
  <c r="T206" i="4"/>
  <c r="U206" i="4"/>
  <c r="V206" i="4"/>
  <c r="W206" i="4"/>
  <c r="X206" i="4"/>
  <c r="Y206" i="4"/>
  <c r="Z206" i="4"/>
  <c r="AA206" i="4"/>
  <c r="I346" i="17"/>
  <c r="H346" i="17"/>
  <c r="H347" i="17"/>
  <c r="J346" i="17"/>
  <c r="N346" i="17"/>
  <c r="R346" i="17"/>
  <c r="V346" i="17"/>
  <c r="M346" i="17"/>
  <c r="P346" i="17"/>
  <c r="S346" i="17"/>
  <c r="Z346" i="17"/>
  <c r="O346" i="17"/>
  <c r="AA346" i="17"/>
  <c r="L346" i="17"/>
  <c r="Q346" i="17"/>
  <c r="T346" i="17"/>
  <c r="W346" i="17"/>
  <c r="K346" i="17"/>
  <c r="U346" i="17"/>
  <c r="X346" i="17"/>
  <c r="H373" i="4"/>
  <c r="H377" i="4"/>
  <c r="J373" i="4"/>
  <c r="J377" i="4"/>
  <c r="N373" i="4"/>
  <c r="R373" i="4"/>
  <c r="V373" i="4"/>
  <c r="Z373" i="4"/>
  <c r="Z377" i="4"/>
  <c r="L346" i="4"/>
  <c r="P346" i="4"/>
  <c r="K346" i="4"/>
  <c r="O346" i="4"/>
  <c r="S346" i="4"/>
  <c r="I346" i="4"/>
  <c r="Q346" i="4"/>
  <c r="V346" i="4"/>
  <c r="Z346" i="4"/>
  <c r="H346" i="4"/>
  <c r="J346" i="4"/>
  <c r="J123" i="4"/>
  <c r="R346" i="4"/>
  <c r="U346" i="4"/>
  <c r="Y346" i="4"/>
  <c r="M346" i="4"/>
  <c r="M347" i="4"/>
  <c r="T346" i="4"/>
  <c r="W346" i="4"/>
  <c r="X346" i="4"/>
  <c r="AA346" i="4"/>
  <c r="N346" i="4"/>
  <c r="G277" i="17"/>
  <c r="V38" i="8"/>
  <c r="V159" i="8"/>
  <c r="N195" i="23"/>
  <c r="O195" i="23"/>
  <c r="Y159" i="8"/>
  <c r="P195" i="23"/>
  <c r="Q195" i="23"/>
  <c r="G220" i="4"/>
  <c r="H114" i="4"/>
  <c r="L114" i="4"/>
  <c r="P114" i="4"/>
  <c r="K114" i="4"/>
  <c r="K128" i="4"/>
  <c r="O114" i="4"/>
  <c r="S114" i="4"/>
  <c r="M114" i="4"/>
  <c r="V114" i="4"/>
  <c r="V128" i="4"/>
  <c r="N114" i="4"/>
  <c r="U114" i="4"/>
  <c r="Q114" i="4"/>
  <c r="X114" i="4"/>
  <c r="X128" i="4"/>
  <c r="J114" i="4"/>
  <c r="R114" i="4"/>
  <c r="Y114" i="4"/>
  <c r="Z114" i="4"/>
  <c r="Z128" i="4"/>
  <c r="W114" i="4"/>
  <c r="I114" i="4"/>
  <c r="T114" i="4"/>
  <c r="Y346" i="17"/>
  <c r="I364" i="17"/>
  <c r="H217" i="17"/>
  <c r="H207" i="17"/>
  <c r="H208" i="17"/>
  <c r="I206" i="17"/>
  <c r="K206" i="17"/>
  <c r="Z363" i="4"/>
  <c r="Z207" i="4"/>
  <c r="Y24" i="4"/>
  <c r="V363" i="4"/>
  <c r="V207" i="4"/>
  <c r="V208" i="4"/>
  <c r="U24" i="4"/>
  <c r="R363" i="4"/>
  <c r="R207" i="4"/>
  <c r="Q24" i="4"/>
  <c r="Q38" i="4"/>
  <c r="N363" i="4"/>
  <c r="N207" i="4"/>
  <c r="M24" i="4"/>
  <c r="J363" i="4"/>
  <c r="J207" i="4"/>
  <c r="I24" i="4"/>
  <c r="S38" i="8"/>
  <c r="Y373" i="4"/>
  <c r="T373" i="4"/>
  <c r="T377" i="4"/>
  <c r="O373" i="4"/>
  <c r="I373" i="4"/>
  <c r="I377" i="4"/>
  <c r="M377" i="4"/>
  <c r="Q377" i="4"/>
  <c r="L377" i="4"/>
  <c r="P377" i="4"/>
  <c r="R377" i="4"/>
  <c r="W377" i="4"/>
  <c r="K377" i="4"/>
  <c r="S377" i="4"/>
  <c r="V377" i="4"/>
  <c r="U377" i="4"/>
  <c r="O377" i="4"/>
  <c r="X377" i="4"/>
  <c r="N377" i="4"/>
  <c r="Y377" i="4"/>
  <c r="AA377" i="4"/>
  <c r="I316" i="4"/>
  <c r="I122" i="4"/>
  <c r="M316" i="4"/>
  <c r="M122" i="4"/>
  <c r="Q316" i="4"/>
  <c r="Q122" i="4"/>
  <c r="Q130" i="4"/>
  <c r="H316" i="4"/>
  <c r="L316" i="4"/>
  <c r="L122" i="4"/>
  <c r="P316" i="4"/>
  <c r="P122" i="4"/>
  <c r="J316" i="4"/>
  <c r="J122" i="4"/>
  <c r="J130" i="4"/>
  <c r="R316" i="4"/>
  <c r="R122" i="4"/>
  <c r="W316" i="4"/>
  <c r="W122" i="4"/>
  <c r="W166" i="4"/>
  <c r="K316" i="4"/>
  <c r="K122" i="4"/>
  <c r="S316" i="4"/>
  <c r="S122" i="4"/>
  <c r="S166" i="4"/>
  <c r="V316" i="4"/>
  <c r="V122" i="4"/>
  <c r="V130" i="4"/>
  <c r="U316" i="4"/>
  <c r="U122" i="4"/>
  <c r="O316" i="4"/>
  <c r="O122" i="4"/>
  <c r="X316" i="4"/>
  <c r="X122" i="4"/>
  <c r="N316" i="4"/>
  <c r="N122" i="4"/>
  <c r="T316" i="4"/>
  <c r="T122" i="4"/>
  <c r="T166" i="4"/>
  <c r="AA316" i="4"/>
  <c r="AA122" i="4"/>
  <c r="H123" i="17"/>
  <c r="Z316" i="4"/>
  <c r="Z122" i="4"/>
  <c r="L316" i="17"/>
  <c r="L122" i="17"/>
  <c r="H316" i="17"/>
  <c r="I316" i="17"/>
  <c r="I122" i="17"/>
  <c r="M316" i="17"/>
  <c r="M122" i="17"/>
  <c r="Q316" i="17"/>
  <c r="Q122" i="17"/>
  <c r="U316" i="17"/>
  <c r="U122" i="17"/>
  <c r="J316" i="17"/>
  <c r="J122" i="17"/>
  <c r="N316" i="17"/>
  <c r="N122" i="17"/>
  <c r="X316" i="17"/>
  <c r="X122" i="17"/>
  <c r="Y316" i="17"/>
  <c r="Y122" i="17"/>
  <c r="K316" i="17"/>
  <c r="K122" i="17"/>
  <c r="T316" i="17"/>
  <c r="T122" i="17"/>
  <c r="W316" i="17"/>
  <c r="W122" i="17"/>
  <c r="Z316" i="17"/>
  <c r="Z122" i="17"/>
  <c r="AA316" i="17"/>
  <c r="AA122" i="17"/>
  <c r="V316" i="17"/>
  <c r="V122" i="17"/>
  <c r="S316" i="17"/>
  <c r="S122" i="17"/>
  <c r="P316" i="17"/>
  <c r="P122" i="17"/>
  <c r="L25" i="1"/>
  <c r="L19" i="16"/>
  <c r="R316" i="17"/>
  <c r="R122" i="17"/>
  <c r="R166" i="17"/>
  <c r="O316" i="17"/>
  <c r="O122" i="17"/>
  <c r="G277" i="4"/>
  <c r="G378" i="4"/>
  <c r="H76" i="4"/>
  <c r="S45" i="7"/>
  <c r="N50" i="7"/>
  <c r="N45" i="7"/>
  <c r="N51" i="7"/>
  <c r="H40" i="17"/>
  <c r="H76" i="17"/>
  <c r="L158" i="17"/>
  <c r="L181" i="17"/>
  <c r="X158" i="17"/>
  <c r="X181" i="17"/>
  <c r="W158" i="17"/>
  <c r="W181" i="17"/>
  <c r="H158" i="17"/>
  <c r="H181" i="17"/>
  <c r="O45" i="7"/>
  <c r="V158" i="17"/>
  <c r="V181" i="17"/>
  <c r="T158" i="17"/>
  <c r="T181" i="17"/>
  <c r="P45" i="7"/>
  <c r="P50" i="7"/>
  <c r="N143" i="7"/>
  <c r="H131" i="17"/>
  <c r="H167" i="17"/>
  <c r="Q128" i="4"/>
  <c r="Q154" i="4"/>
  <c r="P128" i="4"/>
  <c r="P154" i="4"/>
  <c r="T123" i="4"/>
  <c r="T347" i="4"/>
  <c r="K123" i="17"/>
  <c r="K347" i="17"/>
  <c r="I123" i="17"/>
  <c r="I347" i="17"/>
  <c r="T28" i="4"/>
  <c r="T72" i="4"/>
  <c r="T208" i="4"/>
  <c r="AA119" i="4"/>
  <c r="AA163" i="4"/>
  <c r="AA305" i="4"/>
  <c r="N119" i="4"/>
  <c r="N163" i="4"/>
  <c r="N305" i="4"/>
  <c r="P158" i="17"/>
  <c r="P181" i="17"/>
  <c r="J29" i="17"/>
  <c r="J73" i="17"/>
  <c r="J229" i="17"/>
  <c r="U234" i="17"/>
  <c r="U95" i="17"/>
  <c r="Z29" i="17"/>
  <c r="Z73" i="17"/>
  <c r="R29" i="17"/>
  <c r="R229" i="17"/>
  <c r="X40" i="17"/>
  <c r="X76" i="17"/>
  <c r="AQ39" i="7"/>
  <c r="AQ48" i="7"/>
  <c r="AQ367" i="7"/>
  <c r="BA39" i="7"/>
  <c r="BA48" i="7"/>
  <c r="BA367" i="7"/>
  <c r="M39" i="7"/>
  <c r="M48" i="7"/>
  <c r="M367" i="7"/>
  <c r="AW325" i="7"/>
  <c r="AW35" i="7"/>
  <c r="AQ401" i="7"/>
  <c r="AQ80" i="7"/>
  <c r="W80" i="7"/>
  <c r="W401" i="7"/>
  <c r="U81" i="7"/>
  <c r="U422" i="7"/>
  <c r="R330" i="7"/>
  <c r="R325" i="7"/>
  <c r="R49" i="7"/>
  <c r="BC422" i="7"/>
  <c r="BC94" i="7"/>
  <c r="BC81" i="7"/>
  <c r="P427" i="7"/>
  <c r="P422" i="7"/>
  <c r="J143" i="7"/>
  <c r="L143" i="7"/>
  <c r="J63" i="23"/>
  <c r="O62" i="23"/>
  <c r="M38" i="4"/>
  <c r="M64" i="4"/>
  <c r="J347" i="4"/>
  <c r="W123" i="17"/>
  <c r="W347" i="17"/>
  <c r="AA123" i="17"/>
  <c r="AA347" i="17"/>
  <c r="N123" i="17"/>
  <c r="N347" i="17"/>
  <c r="K40" i="17"/>
  <c r="K76" i="17"/>
  <c r="M229" i="17"/>
  <c r="M29" i="17"/>
  <c r="M73" i="17"/>
  <c r="S234" i="17"/>
  <c r="S95" i="17"/>
  <c r="U29" i="17"/>
  <c r="U73" i="17"/>
  <c r="W255" i="17"/>
  <c r="S305" i="4"/>
  <c r="S119" i="4"/>
  <c r="S163" i="4"/>
  <c r="Z119" i="4"/>
  <c r="Z163" i="4"/>
  <c r="Z305" i="4"/>
  <c r="M305" i="4"/>
  <c r="R379" i="17"/>
  <c r="R116" i="17"/>
  <c r="O158" i="17"/>
  <c r="O181" i="17"/>
  <c r="N379" i="17"/>
  <c r="N116" i="17"/>
  <c r="M379" i="17"/>
  <c r="M116" i="17"/>
  <c r="T250" i="17"/>
  <c r="T95" i="17"/>
  <c r="T255" i="17"/>
  <c r="M234" i="17"/>
  <c r="O229" i="17"/>
  <c r="O29" i="17"/>
  <c r="O73" i="17"/>
  <c r="U68" i="17"/>
  <c r="U91" i="17"/>
  <c r="X234" i="17"/>
  <c r="X29" i="17"/>
  <c r="X73" i="17"/>
  <c r="P229" i="17"/>
  <c r="P29" i="17"/>
  <c r="P73" i="17"/>
  <c r="I229" i="17"/>
  <c r="I234" i="17"/>
  <c r="I235" i="17"/>
  <c r="J232" i="17"/>
  <c r="J235" i="17"/>
  <c r="K232" i="17"/>
  <c r="K234" i="17"/>
  <c r="K235" i="17"/>
  <c r="L232" i="17"/>
  <c r="L235" i="17"/>
  <c r="M232" i="17"/>
  <c r="M235" i="17"/>
  <c r="N232" i="17"/>
  <c r="N234" i="17"/>
  <c r="N235" i="17"/>
  <c r="O232" i="17"/>
  <c r="O235" i="17"/>
  <c r="P232" i="17"/>
  <c r="P234" i="17"/>
  <c r="P235" i="17"/>
  <c r="Q232" i="17"/>
  <c r="Q235" i="17"/>
  <c r="R232" i="17"/>
  <c r="R235" i="17"/>
  <c r="S232" i="17"/>
  <c r="S235" i="17"/>
  <c r="T232" i="17"/>
  <c r="T235" i="17"/>
  <c r="U232" i="17"/>
  <c r="U235" i="17"/>
  <c r="V232" i="17"/>
  <c r="V234" i="17"/>
  <c r="V235" i="17"/>
  <c r="W232" i="17"/>
  <c r="W235" i="17"/>
  <c r="X232" i="17"/>
  <c r="X235" i="17"/>
  <c r="Y232" i="17"/>
  <c r="Y235" i="17"/>
  <c r="Z232" i="17"/>
  <c r="Z235" i="17"/>
  <c r="AA232" i="17"/>
  <c r="AA234" i="17"/>
  <c r="AA235" i="17"/>
  <c r="O68" i="17"/>
  <c r="O91" i="17"/>
  <c r="S40" i="17"/>
  <c r="S76" i="17"/>
  <c r="X68" i="17"/>
  <c r="X91" i="17"/>
  <c r="L40" i="17"/>
  <c r="L76" i="17"/>
  <c r="L68" i="17"/>
  <c r="L91" i="17"/>
  <c r="H47" i="7"/>
  <c r="H50" i="7"/>
  <c r="S229" i="17"/>
  <c r="AL39" i="7"/>
  <c r="AL48" i="7"/>
  <c r="AL367" i="7"/>
  <c r="U39" i="7"/>
  <c r="U367" i="7"/>
  <c r="AV39" i="7"/>
  <c r="AV48" i="7"/>
  <c r="AV367" i="7"/>
  <c r="AD39" i="7"/>
  <c r="AD48" i="7"/>
  <c r="AD367" i="7"/>
  <c r="BA325" i="7"/>
  <c r="BA49" i="7"/>
  <c r="BA35" i="7"/>
  <c r="AX406" i="7"/>
  <c r="AX401" i="7"/>
  <c r="AP406" i="7"/>
  <c r="AP401" i="7"/>
  <c r="AI401" i="7"/>
  <c r="AI94" i="7"/>
  <c r="AI406" i="7"/>
  <c r="Z406" i="7"/>
  <c r="Z401" i="7"/>
  <c r="V406" i="7"/>
  <c r="V401" i="7"/>
  <c r="R406" i="7"/>
  <c r="R401" i="7"/>
  <c r="H80" i="7"/>
  <c r="H401" i="7"/>
  <c r="H94" i="7"/>
  <c r="X422" i="7"/>
  <c r="X81" i="7"/>
  <c r="AQ81" i="7"/>
  <c r="AQ422" i="7"/>
  <c r="AX422" i="7"/>
  <c r="AX81" i="7"/>
  <c r="O35" i="7"/>
  <c r="O50" i="7"/>
  <c r="O325" i="7"/>
  <c r="O49" i="7"/>
  <c r="AM325" i="7"/>
  <c r="AM35" i="7"/>
  <c r="AU84" i="7"/>
  <c r="AU93" i="7"/>
  <c r="AU443" i="7"/>
  <c r="AE84" i="7"/>
  <c r="AE93" i="7"/>
  <c r="AE443" i="7"/>
  <c r="V84" i="7"/>
  <c r="V443" i="7"/>
  <c r="V422" i="7"/>
  <c r="V81" i="7"/>
  <c r="AN385" i="7"/>
  <c r="AN380" i="7"/>
  <c r="T325" i="7"/>
  <c r="T49" i="7"/>
  <c r="T35" i="7"/>
  <c r="J81" i="7"/>
  <c r="J422" i="7"/>
  <c r="J94" i="7"/>
  <c r="BA81" i="7"/>
  <c r="BA422" i="7"/>
  <c r="AT81" i="7"/>
  <c r="AT422" i="7"/>
  <c r="AT94" i="7"/>
  <c r="AM422" i="7"/>
  <c r="AM94" i="7"/>
  <c r="AM81" i="7"/>
  <c r="AD81" i="7"/>
  <c r="AD422" i="7"/>
  <c r="AD94" i="7"/>
  <c r="W427" i="7"/>
  <c r="W422" i="7"/>
  <c r="O380" i="7"/>
  <c r="O94" i="7"/>
  <c r="O79" i="7"/>
  <c r="O95" i="7"/>
  <c r="AE325" i="7"/>
  <c r="AE49" i="7"/>
  <c r="AE35" i="7"/>
  <c r="AT35" i="7"/>
  <c r="AT325" i="7"/>
  <c r="AT49" i="7"/>
  <c r="AF330" i="7"/>
  <c r="AF325" i="7"/>
  <c r="AF49" i="7"/>
  <c r="BE79" i="7"/>
  <c r="BE380" i="7"/>
  <c r="AS79" i="7"/>
  <c r="AS380" i="7"/>
  <c r="P79" i="7"/>
  <c r="P95" i="7"/>
  <c r="P380" i="7"/>
  <c r="P94" i="7"/>
  <c r="P96" i="7"/>
  <c r="AB422" i="7"/>
  <c r="AW141" i="7"/>
  <c r="P618" i="7"/>
  <c r="Q615" i="7"/>
  <c r="Q618" i="7"/>
  <c r="R615" i="7"/>
  <c r="R618" i="7"/>
  <c r="S615" i="7"/>
  <c r="S618" i="7"/>
  <c r="T615" i="7"/>
  <c r="T618" i="7"/>
  <c r="U615" i="7"/>
  <c r="U618" i="7"/>
  <c r="V615" i="7"/>
  <c r="V618" i="7"/>
  <c r="W615" i="7"/>
  <c r="W618" i="7"/>
  <c r="X615" i="7"/>
  <c r="X618" i="7"/>
  <c r="Y615" i="7"/>
  <c r="Y618" i="7"/>
  <c r="Z615" i="7"/>
  <c r="Z618" i="7"/>
  <c r="AA615" i="7"/>
  <c r="AA618" i="7"/>
  <c r="AB615" i="7"/>
  <c r="AB618" i="7"/>
  <c r="AC615" i="7"/>
  <c r="AC618" i="7"/>
  <c r="AD615" i="7"/>
  <c r="AD618" i="7"/>
  <c r="AE615" i="7"/>
  <c r="AE618" i="7"/>
  <c r="AF615" i="7"/>
  <c r="AF618" i="7"/>
  <c r="AG615" i="7"/>
  <c r="AG618" i="7"/>
  <c r="AH615" i="7"/>
  <c r="AH618" i="7"/>
  <c r="AI615" i="7"/>
  <c r="AI618" i="7"/>
  <c r="AJ615" i="7"/>
  <c r="AJ618" i="7"/>
  <c r="AK615" i="7"/>
  <c r="AK618" i="7"/>
  <c r="AL615" i="7"/>
  <c r="AL618" i="7"/>
  <c r="AM615" i="7"/>
  <c r="AM618" i="7"/>
  <c r="AN615" i="7"/>
  <c r="AN618" i="7"/>
  <c r="AO615" i="7"/>
  <c r="AO618" i="7"/>
  <c r="AP615" i="7"/>
  <c r="AP618" i="7"/>
  <c r="AQ615" i="7"/>
  <c r="AQ618" i="7"/>
  <c r="AR615" i="7"/>
  <c r="AR618" i="7"/>
  <c r="AS615" i="7"/>
  <c r="AS618" i="7"/>
  <c r="AT615" i="7"/>
  <c r="AT618" i="7"/>
  <c r="AU615" i="7"/>
  <c r="AU618" i="7"/>
  <c r="AV615" i="7"/>
  <c r="AV618" i="7"/>
  <c r="AW615" i="7"/>
  <c r="AW618" i="7"/>
  <c r="AX615" i="7"/>
  <c r="AX618" i="7"/>
  <c r="AY615" i="7"/>
  <c r="AY618" i="7"/>
  <c r="AZ615" i="7"/>
  <c r="AZ618" i="7"/>
  <c r="BA615" i="7"/>
  <c r="BA618" i="7"/>
  <c r="BB615" i="7"/>
  <c r="BB618" i="7"/>
  <c r="BC615" i="7"/>
  <c r="BC618" i="7"/>
  <c r="BD615" i="7"/>
  <c r="BD618" i="7"/>
  <c r="BE615" i="7"/>
  <c r="BE618" i="7"/>
  <c r="H279" i="7"/>
  <c r="N188" i="7"/>
  <c r="J280" i="7"/>
  <c r="J235" i="7"/>
  <c r="O148" i="6"/>
  <c r="N148" i="6"/>
  <c r="X26" i="7"/>
  <c r="X212" i="7"/>
  <c r="X209" i="7"/>
  <c r="X214" i="7"/>
  <c r="W165" i="7"/>
  <c r="W162" i="7"/>
  <c r="W167" i="7"/>
  <c r="I148" i="6"/>
  <c r="W71" i="7"/>
  <c r="J148" i="6"/>
  <c r="S148" i="6"/>
  <c r="X73" i="7"/>
  <c r="X70" i="7"/>
  <c r="X75" i="7"/>
  <c r="W212" i="7"/>
  <c r="W209" i="7"/>
  <c r="W214" i="7"/>
  <c r="X165" i="7"/>
  <c r="X162" i="7"/>
  <c r="X167" i="7"/>
  <c r="W257" i="7"/>
  <c r="W254" i="7"/>
  <c r="W259" i="7"/>
  <c r="W118" i="7"/>
  <c r="X28" i="7"/>
  <c r="X25" i="7"/>
  <c r="X30" i="7"/>
  <c r="L148" i="6"/>
  <c r="M148" i="6"/>
  <c r="W255" i="7"/>
  <c r="R148" i="6"/>
  <c r="W73" i="7"/>
  <c r="W70" i="7"/>
  <c r="W75" i="7"/>
  <c r="X257" i="7"/>
  <c r="X254" i="7"/>
  <c r="X259" i="7"/>
  <c r="W72" i="7"/>
  <c r="W28" i="7"/>
  <c r="W25" i="7"/>
  <c r="W30" i="7"/>
  <c r="W210" i="7"/>
  <c r="P148" i="6"/>
  <c r="W119" i="7"/>
  <c r="Q148" i="6"/>
  <c r="W164" i="7"/>
  <c r="K148" i="6"/>
  <c r="W163" i="7"/>
  <c r="X120" i="7"/>
  <c r="X117" i="7"/>
  <c r="X122" i="7"/>
  <c r="W211" i="7"/>
  <c r="W256" i="7"/>
  <c r="W26" i="7"/>
  <c r="W120" i="7"/>
  <c r="W117" i="7"/>
  <c r="W122" i="7"/>
  <c r="W27" i="7"/>
  <c r="K143" i="7"/>
  <c r="O280" i="7"/>
  <c r="U234" i="7"/>
  <c r="U235" i="7"/>
  <c r="G243" i="4"/>
  <c r="G243" i="17"/>
  <c r="L54" i="1"/>
  <c r="L52" i="16"/>
  <c r="L47" i="1"/>
  <c r="L47" i="16"/>
  <c r="S46" i="8"/>
  <c r="T128" i="4"/>
  <c r="T154" i="4"/>
  <c r="V123" i="4"/>
  <c r="V347" i="4"/>
  <c r="S123" i="17"/>
  <c r="S347" i="17"/>
  <c r="X28" i="4"/>
  <c r="X72" i="4"/>
  <c r="X208" i="4"/>
  <c r="L28" i="4"/>
  <c r="L72" i="4"/>
  <c r="L208" i="4"/>
  <c r="T68" i="17"/>
  <c r="T91" i="17"/>
  <c r="W119" i="4"/>
  <c r="W163" i="4"/>
  <c r="W305" i="4"/>
  <c r="O305" i="4"/>
  <c r="O119" i="4"/>
  <c r="O163" i="4"/>
  <c r="H122" i="4"/>
  <c r="H130" i="4"/>
  <c r="Z158" i="17"/>
  <c r="Z181" i="17"/>
  <c r="Q379" i="17"/>
  <c r="Q116" i="17"/>
  <c r="N68" i="17"/>
  <c r="N91" i="17"/>
  <c r="W229" i="17"/>
  <c r="W29" i="17"/>
  <c r="W73" i="17"/>
  <c r="K68" i="17"/>
  <c r="K91" i="17"/>
  <c r="BD325" i="7"/>
  <c r="BD49" i="7"/>
  <c r="BD35" i="7"/>
  <c r="AY80" i="7"/>
  <c r="AY401" i="7"/>
  <c r="AA401" i="7"/>
  <c r="AA80" i="7"/>
  <c r="I80" i="7"/>
  <c r="I401" i="7"/>
  <c r="I94" i="7"/>
  <c r="AW81" i="7"/>
  <c r="AW422" i="7"/>
  <c r="AV84" i="7"/>
  <c r="AV93" i="7"/>
  <c r="AV443" i="7"/>
  <c r="X84" i="7"/>
  <c r="X93" i="7"/>
  <c r="X443" i="7"/>
  <c r="AW380" i="7"/>
  <c r="AW79" i="7"/>
  <c r="L116" i="1"/>
  <c r="L86" i="16"/>
  <c r="L63" i="16"/>
  <c r="N279" i="7"/>
  <c r="N274" i="7"/>
  <c r="R331" i="7"/>
  <c r="S328" i="7"/>
  <c r="S331" i="7"/>
  <c r="T328" i="7"/>
  <c r="T331" i="7"/>
  <c r="U328" i="7"/>
  <c r="S130" i="4"/>
  <c r="R213" i="4"/>
  <c r="K208" i="17"/>
  <c r="K28" i="17"/>
  <c r="K72" i="17"/>
  <c r="U128" i="4"/>
  <c r="U154" i="4"/>
  <c r="L128" i="4"/>
  <c r="L154" i="4"/>
  <c r="M123" i="4"/>
  <c r="P123" i="17"/>
  <c r="P347" i="17"/>
  <c r="O28" i="4"/>
  <c r="O72" i="4"/>
  <c r="O208" i="4"/>
  <c r="I38" i="4"/>
  <c r="I64" i="4"/>
  <c r="N213" i="4"/>
  <c r="Y38" i="4"/>
  <c r="Y64" i="4"/>
  <c r="I208" i="17"/>
  <c r="I28" i="17"/>
  <c r="I72" i="17"/>
  <c r="W128" i="4"/>
  <c r="W154" i="4"/>
  <c r="J128" i="4"/>
  <c r="J154" i="4"/>
  <c r="N128" i="4"/>
  <c r="N154" i="4"/>
  <c r="O128" i="4"/>
  <c r="O154" i="4"/>
  <c r="H128" i="4"/>
  <c r="H154" i="4"/>
  <c r="G319" i="4"/>
  <c r="G319" i="17"/>
  <c r="G320" i="4"/>
  <c r="V46" i="8"/>
  <c r="G320" i="17"/>
  <c r="X123" i="4"/>
  <c r="X347" i="4"/>
  <c r="Y123" i="4"/>
  <c r="Y347" i="4"/>
  <c r="H123" i="4"/>
  <c r="H347" i="4"/>
  <c r="I123" i="4"/>
  <c r="I347" i="4"/>
  <c r="P123" i="4"/>
  <c r="P347" i="4"/>
  <c r="X123" i="17"/>
  <c r="X347" i="17"/>
  <c r="T123" i="17"/>
  <c r="T347" i="17"/>
  <c r="O123" i="17"/>
  <c r="O347" i="17"/>
  <c r="M123" i="17"/>
  <c r="M347" i="17"/>
  <c r="J123" i="17"/>
  <c r="J347" i="17"/>
  <c r="Z208" i="4"/>
  <c r="Z28" i="4"/>
  <c r="Z72" i="4"/>
  <c r="V28" i="4"/>
  <c r="V72" i="4"/>
  <c r="R208" i="4"/>
  <c r="R28" i="4"/>
  <c r="R72" i="4"/>
  <c r="N208" i="4"/>
  <c r="N28" i="4"/>
  <c r="N72" i="4"/>
  <c r="J208" i="4"/>
  <c r="J28" i="4"/>
  <c r="J72" i="4"/>
  <c r="H315" i="17"/>
  <c r="H122" i="17"/>
  <c r="H304" i="17"/>
  <c r="H310" i="17"/>
  <c r="G309" i="17"/>
  <c r="G311" i="17"/>
  <c r="H308" i="17"/>
  <c r="H311" i="17"/>
  <c r="I308" i="17"/>
  <c r="J304" i="17"/>
  <c r="J310" i="17"/>
  <c r="K303" i="17"/>
  <c r="K119" i="17"/>
  <c r="K163" i="17"/>
  <c r="K304" i="17"/>
  <c r="K310" i="17"/>
  <c r="L303" i="17"/>
  <c r="O304" i="17"/>
  <c r="O310" i="17"/>
  <c r="P303" i="17"/>
  <c r="S304" i="17"/>
  <c r="S310" i="17"/>
  <c r="T303" i="17"/>
  <c r="W304" i="17"/>
  <c r="W310" i="17"/>
  <c r="I303" i="17"/>
  <c r="M303" i="17"/>
  <c r="N304" i="17"/>
  <c r="N310" i="17"/>
  <c r="Q304" i="17"/>
  <c r="Q310" i="17"/>
  <c r="T304" i="17"/>
  <c r="T310" i="17"/>
  <c r="W303" i="17"/>
  <c r="X303" i="17"/>
  <c r="AA304" i="17"/>
  <c r="AA310" i="17"/>
  <c r="I304" i="17"/>
  <c r="I310" i="17"/>
  <c r="J303" i="17"/>
  <c r="J305" i="17"/>
  <c r="M304" i="17"/>
  <c r="M310" i="17"/>
  <c r="P304" i="17"/>
  <c r="P310" i="17"/>
  <c r="S303" i="17"/>
  <c r="V303" i="17"/>
  <c r="V119" i="17"/>
  <c r="V163" i="17"/>
  <c r="X304" i="17"/>
  <c r="X310" i="17"/>
  <c r="Y303" i="17"/>
  <c r="H314" i="17"/>
  <c r="H303" i="17"/>
  <c r="H305" i="17"/>
  <c r="R304" i="17"/>
  <c r="R310" i="17"/>
  <c r="U304" i="17"/>
  <c r="U310" i="17"/>
  <c r="L304" i="17"/>
  <c r="L310" i="17"/>
  <c r="V304" i="17"/>
  <c r="V310" i="17"/>
  <c r="Y304" i="17"/>
  <c r="Y310" i="17"/>
  <c r="Z303" i="17"/>
  <c r="Q303" i="17"/>
  <c r="Q305" i="17"/>
  <c r="AA303" i="17"/>
  <c r="R303" i="17"/>
  <c r="N303" i="17"/>
  <c r="Z304" i="17"/>
  <c r="Z310" i="17"/>
  <c r="U303" i="17"/>
  <c r="O303" i="17"/>
  <c r="L40" i="4"/>
  <c r="L76" i="4"/>
  <c r="T40" i="4"/>
  <c r="T76" i="4"/>
  <c r="H68" i="17"/>
  <c r="H91" i="17"/>
  <c r="S68" i="17"/>
  <c r="S91" i="17"/>
  <c r="AA95" i="17"/>
  <c r="L10" i="27"/>
  <c r="G48" i="4"/>
  <c r="H58" i="4"/>
  <c r="Y305" i="4"/>
  <c r="Y119" i="4"/>
  <c r="Y163" i="4"/>
  <c r="V305" i="4"/>
  <c r="V119" i="4"/>
  <c r="V163" i="4"/>
  <c r="U305" i="4"/>
  <c r="U119" i="4"/>
  <c r="U163" i="4"/>
  <c r="K305" i="4"/>
  <c r="K119" i="4"/>
  <c r="K163" i="4"/>
  <c r="P305" i="4"/>
  <c r="P119" i="4"/>
  <c r="P163" i="4"/>
  <c r="R119" i="4"/>
  <c r="R163" i="4"/>
  <c r="J119" i="4"/>
  <c r="J163" i="4"/>
  <c r="J305" i="4"/>
  <c r="AA379" i="17"/>
  <c r="AA116" i="17"/>
  <c r="J379" i="17"/>
  <c r="J116" i="17"/>
  <c r="I158" i="17"/>
  <c r="I181" i="17"/>
  <c r="Z255" i="17"/>
  <c r="Z95" i="17"/>
  <c r="M68" i="17"/>
  <c r="M91" i="17"/>
  <c r="V40" i="17"/>
  <c r="V76" i="17"/>
  <c r="Y40" i="17"/>
  <c r="Y76" i="17"/>
  <c r="I40" i="4"/>
  <c r="I76" i="4"/>
  <c r="V229" i="17"/>
  <c r="V29" i="17"/>
  <c r="V73" i="17"/>
  <c r="N229" i="17"/>
  <c r="N29" i="17"/>
  <c r="N73" i="17"/>
  <c r="P40" i="17"/>
  <c r="P76" i="17"/>
  <c r="J40" i="17"/>
  <c r="J76" i="17"/>
  <c r="J68" i="17"/>
  <c r="J91" i="17"/>
  <c r="I182" i="7"/>
  <c r="I187" i="7"/>
  <c r="I188" i="7"/>
  <c r="AI39" i="7"/>
  <c r="AI48" i="7"/>
  <c r="AI367" i="7"/>
  <c r="BC39" i="7"/>
  <c r="BC48" i="7"/>
  <c r="BC367" i="7"/>
  <c r="AM39" i="7"/>
  <c r="AM48" i="7"/>
  <c r="AM367" i="7"/>
  <c r="AA39" i="7"/>
  <c r="AA48" i="7"/>
  <c r="AA367" i="7"/>
  <c r="T50" i="7"/>
  <c r="AN330" i="7"/>
  <c r="AN325" i="7"/>
  <c r="AN49" i="7"/>
  <c r="BB330" i="7"/>
  <c r="BB325" i="7"/>
  <c r="BB49" i="7"/>
  <c r="K406" i="7"/>
  <c r="K407" i="7"/>
  <c r="L404" i="7"/>
  <c r="K401" i="7"/>
  <c r="K94" i="7"/>
  <c r="K96" i="7"/>
  <c r="AW80" i="7"/>
  <c r="AW401" i="7"/>
  <c r="AG401" i="7"/>
  <c r="AG94" i="7"/>
  <c r="AG80" i="7"/>
  <c r="Y80" i="7"/>
  <c r="Y401" i="7"/>
  <c r="U401" i="7"/>
  <c r="U80" i="7"/>
  <c r="M80" i="7"/>
  <c r="M401" i="7"/>
  <c r="M422" i="7"/>
  <c r="M94" i="7"/>
  <c r="M81" i="7"/>
  <c r="Y79" i="7"/>
  <c r="Y380" i="7"/>
  <c r="AU422" i="7"/>
  <c r="AU94" i="7"/>
  <c r="AU81" i="7"/>
  <c r="S39" i="7"/>
  <c r="S48" i="7"/>
  <c r="S367" i="7"/>
  <c r="AX84" i="7"/>
  <c r="AX93" i="7"/>
  <c r="AX443" i="7"/>
  <c r="AP84" i="7"/>
  <c r="AP93" i="7"/>
  <c r="AP443" i="7"/>
  <c r="Z84" i="7"/>
  <c r="Z93" i="7"/>
  <c r="Z443" i="7"/>
  <c r="U84" i="7"/>
  <c r="U443" i="7"/>
  <c r="X385" i="7"/>
  <c r="X386" i="7"/>
  <c r="Y383" i="7"/>
  <c r="Y386" i="7"/>
  <c r="Z383" i="7"/>
  <c r="Z386" i="7"/>
  <c r="AA383" i="7"/>
  <c r="AA386" i="7"/>
  <c r="AB383" i="7"/>
  <c r="X380" i="7"/>
  <c r="AF385" i="7"/>
  <c r="AF380" i="7"/>
  <c r="AN422" i="7"/>
  <c r="AN81" i="7"/>
  <c r="AA229" i="17"/>
  <c r="U330" i="7"/>
  <c r="U325" i="7"/>
  <c r="U49" i="7"/>
  <c r="AQ35" i="7"/>
  <c r="AQ325" i="7"/>
  <c r="AQ49" i="7"/>
  <c r="AW49" i="7"/>
  <c r="BE81" i="7"/>
  <c r="BE422" i="7"/>
  <c r="AZ81" i="7"/>
  <c r="AZ422" i="7"/>
  <c r="AS81" i="7"/>
  <c r="AS422" i="7"/>
  <c r="AC422" i="7"/>
  <c r="AC81" i="7"/>
  <c r="AO422" i="7"/>
  <c r="Y330" i="7"/>
  <c r="Y325" i="7"/>
  <c r="Y49" i="7"/>
  <c r="AZ325" i="7"/>
  <c r="AZ49" i="7"/>
  <c r="AZ35" i="7"/>
  <c r="AB35" i="7"/>
  <c r="AB325" i="7"/>
  <c r="AB49" i="7"/>
  <c r="BD385" i="7"/>
  <c r="BD380" i="7"/>
  <c r="AR385" i="7"/>
  <c r="AR380" i="7"/>
  <c r="AJ422" i="7"/>
  <c r="AJ94" i="7"/>
  <c r="AI141" i="7"/>
  <c r="T141" i="7"/>
  <c r="T143" i="7"/>
  <c r="H280" i="7"/>
  <c r="M143" i="7"/>
  <c r="M280" i="7"/>
  <c r="H235" i="7"/>
  <c r="K235" i="7"/>
  <c r="N95" i="7"/>
  <c r="N96" i="7"/>
  <c r="I143" i="7"/>
  <c r="I280" i="7"/>
  <c r="K188" i="7"/>
  <c r="M235" i="7"/>
  <c r="P280" i="7"/>
  <c r="S280" i="7"/>
  <c r="O143" i="7"/>
  <c r="S143" i="7"/>
  <c r="O235" i="7"/>
  <c r="R280" i="7"/>
  <c r="R50" i="7"/>
  <c r="H293" i="4"/>
  <c r="G288" i="4"/>
  <c r="G290" i="4"/>
  <c r="H287" i="4"/>
  <c r="V213" i="4"/>
  <c r="Y128" i="4"/>
  <c r="Y154" i="4"/>
  <c r="M128" i="4"/>
  <c r="M154" i="4"/>
  <c r="N123" i="4"/>
  <c r="N347" i="4"/>
  <c r="R123" i="4"/>
  <c r="R347" i="4"/>
  <c r="O123" i="4"/>
  <c r="O347" i="4"/>
  <c r="L123" i="17"/>
  <c r="L347" i="17"/>
  <c r="R123" i="17"/>
  <c r="R347" i="17"/>
  <c r="P28" i="4"/>
  <c r="P72" i="4"/>
  <c r="P208" i="4"/>
  <c r="H28" i="4"/>
  <c r="H72" i="4"/>
  <c r="P76" i="4"/>
  <c r="W40" i="17"/>
  <c r="W76" i="17"/>
  <c r="Y158" i="17"/>
  <c r="Y181" i="17"/>
  <c r="V250" i="17"/>
  <c r="V255" i="17"/>
  <c r="K229" i="17"/>
  <c r="R51" i="7"/>
  <c r="Z39" i="7"/>
  <c r="Z48" i="7"/>
  <c r="Z367" i="7"/>
  <c r="AG39" i="7"/>
  <c r="AG48" i="7"/>
  <c r="AG367" i="7"/>
  <c r="AK401" i="7"/>
  <c r="AK94" i="7"/>
  <c r="AK406" i="7"/>
  <c r="S80" i="7"/>
  <c r="S95" i="7"/>
  <c r="S401" i="7"/>
  <c r="AF84" i="7"/>
  <c r="AF93" i="7"/>
  <c r="AF443" i="7"/>
  <c r="R84" i="7"/>
  <c r="R443" i="7"/>
  <c r="U380" i="7"/>
  <c r="U94" i="7"/>
  <c r="U79" i="7"/>
  <c r="AR422" i="7"/>
  <c r="AR81" i="7"/>
  <c r="Z330" i="7"/>
  <c r="Z325" i="7"/>
  <c r="Z49" i="7"/>
  <c r="L427" i="7"/>
  <c r="L428" i="7"/>
  <c r="M425" i="7"/>
  <c r="M428" i="7"/>
  <c r="N425" i="7"/>
  <c r="N428" i="7"/>
  <c r="O425" i="7"/>
  <c r="O428" i="7"/>
  <c r="P425" i="7"/>
  <c r="P428" i="7"/>
  <c r="Q425" i="7"/>
  <c r="Q428" i="7"/>
  <c r="R425" i="7"/>
  <c r="R428" i="7"/>
  <c r="S425" i="7"/>
  <c r="L422" i="7"/>
  <c r="AV81" i="7"/>
  <c r="AV422" i="7"/>
  <c r="AF81" i="7"/>
  <c r="AF422" i="7"/>
  <c r="AV35" i="7"/>
  <c r="AV325" i="7"/>
  <c r="AV49" i="7"/>
  <c r="AJ330" i="7"/>
  <c r="AJ325" i="7"/>
  <c r="AJ49" i="7"/>
  <c r="BE35" i="7"/>
  <c r="BE325" i="7"/>
  <c r="BE49" i="7"/>
  <c r="AU35" i="7"/>
  <c r="AU325" i="7"/>
  <c r="AU49" i="7"/>
  <c r="AH35" i="7"/>
  <c r="AH325" i="7"/>
  <c r="AH49" i="7"/>
  <c r="I35" i="7"/>
  <c r="I50" i="7"/>
  <c r="I325" i="7"/>
  <c r="I49" i="7"/>
  <c r="I51" i="7"/>
  <c r="AM49" i="7"/>
  <c r="AZ385" i="7"/>
  <c r="AZ380" i="7"/>
  <c r="AZ94" i="7"/>
  <c r="AB385" i="7"/>
  <c r="AB380" i="7"/>
  <c r="AB94" i="7"/>
  <c r="Z422" i="7"/>
  <c r="V45" i="7"/>
  <c r="V50" i="7"/>
  <c r="I128" i="4"/>
  <c r="I154" i="4"/>
  <c r="R128" i="4"/>
  <c r="R154" i="4"/>
  <c r="S128" i="4"/>
  <c r="S154" i="4"/>
  <c r="AA123" i="4"/>
  <c r="AA347" i="4"/>
  <c r="Q123" i="4"/>
  <c r="Q347" i="4"/>
  <c r="W28" i="4"/>
  <c r="W72" i="4"/>
  <c r="W208" i="4"/>
  <c r="R130" i="17"/>
  <c r="J378" i="4"/>
  <c r="J379" i="4"/>
  <c r="J116" i="4"/>
  <c r="J158" i="4"/>
  <c r="J181" i="4"/>
  <c r="N378" i="4"/>
  <c r="N379" i="4"/>
  <c r="N116" i="4"/>
  <c r="N158" i="4"/>
  <c r="N181" i="4"/>
  <c r="R378" i="4"/>
  <c r="R379" i="4"/>
  <c r="R116" i="4"/>
  <c r="R158" i="4"/>
  <c r="I378" i="4"/>
  <c r="I379" i="4"/>
  <c r="I116" i="4"/>
  <c r="I158" i="4"/>
  <c r="I181" i="4"/>
  <c r="M378" i="4"/>
  <c r="M379" i="4"/>
  <c r="M116" i="4"/>
  <c r="Q378" i="4"/>
  <c r="Q379" i="4"/>
  <c r="Q116" i="4"/>
  <c r="Q158" i="4"/>
  <c r="Q181" i="4"/>
  <c r="O378" i="4"/>
  <c r="T378" i="4"/>
  <c r="T379" i="4"/>
  <c r="T116" i="4"/>
  <c r="T158" i="4"/>
  <c r="T181" i="4"/>
  <c r="X378" i="4"/>
  <c r="X379" i="4"/>
  <c r="X116" i="4"/>
  <c r="X158" i="4"/>
  <c r="X181" i="4"/>
  <c r="H378" i="4"/>
  <c r="H379" i="4"/>
  <c r="H116" i="4"/>
  <c r="H158" i="4"/>
  <c r="H181" i="4"/>
  <c r="P378" i="4"/>
  <c r="P379" i="4"/>
  <c r="P116" i="4"/>
  <c r="W378" i="4"/>
  <c r="S378" i="4"/>
  <c r="S379" i="4"/>
  <c r="S116" i="4"/>
  <c r="AA378" i="4"/>
  <c r="AA379" i="4"/>
  <c r="AA116" i="4"/>
  <c r="L378" i="4"/>
  <c r="U378" i="4"/>
  <c r="U379" i="4"/>
  <c r="U116" i="4"/>
  <c r="U158" i="4"/>
  <c r="U181" i="4"/>
  <c r="Z378" i="4"/>
  <c r="Z379" i="4"/>
  <c r="Z116" i="4"/>
  <c r="K378" i="4"/>
  <c r="Y378" i="4"/>
  <c r="Y379" i="4"/>
  <c r="Y116" i="4"/>
  <c r="Y158" i="4"/>
  <c r="Y181" i="4"/>
  <c r="V378" i="4"/>
  <c r="V379" i="4"/>
  <c r="V116" i="4"/>
  <c r="V158" i="4"/>
  <c r="V181" i="4"/>
  <c r="G379" i="4"/>
  <c r="L26" i="1"/>
  <c r="T130" i="4"/>
  <c r="U130" i="4"/>
  <c r="U166" i="4"/>
  <c r="L130" i="4"/>
  <c r="L166" i="4"/>
  <c r="I130" i="4"/>
  <c r="I166" i="4"/>
  <c r="W379" i="4"/>
  <c r="W116" i="4"/>
  <c r="W158" i="4"/>
  <c r="W181" i="4"/>
  <c r="L379" i="4"/>
  <c r="L116" i="4"/>
  <c r="L158" i="4"/>
  <c r="L181" i="4"/>
  <c r="J213" i="4"/>
  <c r="U38" i="4"/>
  <c r="U64" i="4"/>
  <c r="Z213" i="4"/>
  <c r="H213" i="17"/>
  <c r="H214" i="17"/>
  <c r="I211" i="17"/>
  <c r="I214" i="17"/>
  <c r="J211" i="17"/>
  <c r="J214" i="17"/>
  <c r="K211" i="17"/>
  <c r="K214" i="17"/>
  <c r="L211" i="17"/>
  <c r="L214" i="17"/>
  <c r="M211" i="17"/>
  <c r="M214" i="17"/>
  <c r="N211" i="17"/>
  <c r="N214" i="17"/>
  <c r="O211" i="17"/>
  <c r="O214" i="17"/>
  <c r="P211" i="17"/>
  <c r="P214" i="17"/>
  <c r="Q211" i="17"/>
  <c r="Q214" i="17"/>
  <c r="R211" i="17"/>
  <c r="R214" i="17"/>
  <c r="S211" i="17"/>
  <c r="S214" i="17"/>
  <c r="T211" i="17"/>
  <c r="T214" i="17"/>
  <c r="U211" i="17"/>
  <c r="U214" i="17"/>
  <c r="V211" i="17"/>
  <c r="V214" i="17"/>
  <c r="W211" i="17"/>
  <c r="W214" i="17"/>
  <c r="X211" i="17"/>
  <c r="X214" i="17"/>
  <c r="Y211" i="17"/>
  <c r="Y214" i="17"/>
  <c r="Z211" i="17"/>
  <c r="Z214" i="17"/>
  <c r="AA211" i="17"/>
  <c r="AA214" i="17"/>
  <c r="Y123" i="17"/>
  <c r="Y347" i="17"/>
  <c r="X154" i="4"/>
  <c r="K154" i="4"/>
  <c r="H228" i="4"/>
  <c r="I228" i="4"/>
  <c r="J228" i="4"/>
  <c r="J234" i="4"/>
  <c r="K228" i="4"/>
  <c r="L228" i="4"/>
  <c r="M228" i="4"/>
  <c r="M234" i="4"/>
  <c r="N228" i="4"/>
  <c r="N234" i="4"/>
  <c r="O228" i="4"/>
  <c r="P228" i="4"/>
  <c r="Q228" i="4"/>
  <c r="R228" i="4"/>
  <c r="R234" i="4"/>
  <c r="S228" i="4"/>
  <c r="T228" i="4"/>
  <c r="U228" i="4"/>
  <c r="U95" i="4"/>
  <c r="V228" i="4"/>
  <c r="V234" i="4"/>
  <c r="W228" i="4"/>
  <c r="X228" i="4"/>
  <c r="X234" i="4"/>
  <c r="Y228" i="4"/>
  <c r="Z228" i="4"/>
  <c r="AA228" i="4"/>
  <c r="L227" i="4"/>
  <c r="P227" i="4"/>
  <c r="T227" i="4"/>
  <c r="X227" i="4"/>
  <c r="H227" i="4"/>
  <c r="I227" i="4"/>
  <c r="H238" i="4"/>
  <c r="K227" i="4"/>
  <c r="M227" i="4"/>
  <c r="N227" i="4"/>
  <c r="N229" i="4"/>
  <c r="O227" i="4"/>
  <c r="Q227" i="4"/>
  <c r="R227" i="4"/>
  <c r="S227" i="4"/>
  <c r="U227" i="4"/>
  <c r="V227" i="4"/>
  <c r="W227" i="4"/>
  <c r="Y227" i="4"/>
  <c r="Z227" i="4"/>
  <c r="AA227" i="4"/>
  <c r="J227" i="4"/>
  <c r="G233" i="4"/>
  <c r="G235" i="4"/>
  <c r="H232" i="4"/>
  <c r="H282" i="17"/>
  <c r="I283" i="17"/>
  <c r="J282" i="17"/>
  <c r="J283" i="17"/>
  <c r="J284" i="17"/>
  <c r="H293" i="17"/>
  <c r="H283" i="17"/>
  <c r="K282" i="17"/>
  <c r="K283" i="17"/>
  <c r="K284" i="17"/>
  <c r="N283" i="17"/>
  <c r="O282" i="17"/>
  <c r="R283" i="17"/>
  <c r="S282" i="17"/>
  <c r="V283" i="17"/>
  <c r="W282" i="17"/>
  <c r="L282" i="17"/>
  <c r="L283" i="17"/>
  <c r="L284" i="17"/>
  <c r="O283" i="17"/>
  <c r="R282" i="17"/>
  <c r="U282" i="17"/>
  <c r="Z283" i="17"/>
  <c r="AA282" i="17"/>
  <c r="N282" i="17"/>
  <c r="Q282" i="17"/>
  <c r="Q118" i="17"/>
  <c r="Q162" i="17"/>
  <c r="T282" i="17"/>
  <c r="U283" i="17"/>
  <c r="X282" i="17"/>
  <c r="AA283" i="17"/>
  <c r="AA284" i="17"/>
  <c r="M283" i="17"/>
  <c r="M289" i="17"/>
  <c r="P283" i="17"/>
  <c r="S283" i="17"/>
  <c r="V282" i="17"/>
  <c r="V284" i="17"/>
  <c r="Y283" i="17"/>
  <c r="Z282" i="17"/>
  <c r="Q283" i="17"/>
  <c r="T283" i="17"/>
  <c r="W283" i="17"/>
  <c r="W289" i="17"/>
  <c r="I282" i="17"/>
  <c r="M282" i="17"/>
  <c r="X283" i="17"/>
  <c r="X284" i="17"/>
  <c r="P282" i="17"/>
  <c r="P118" i="17"/>
  <c r="P162" i="17"/>
  <c r="Y282" i="17"/>
  <c r="G288" i="17"/>
  <c r="G290" i="17"/>
  <c r="H287" i="17"/>
  <c r="W123" i="4"/>
  <c r="W347" i="4"/>
  <c r="U123" i="4"/>
  <c r="U347" i="4"/>
  <c r="Z123" i="4"/>
  <c r="Z347" i="4"/>
  <c r="S123" i="4"/>
  <c r="S347" i="4"/>
  <c r="L123" i="4"/>
  <c r="L347" i="4"/>
  <c r="U123" i="17"/>
  <c r="U347" i="17"/>
  <c r="Q123" i="17"/>
  <c r="Q347" i="17"/>
  <c r="Z123" i="17"/>
  <c r="Z347" i="17"/>
  <c r="V123" i="17"/>
  <c r="V347" i="17"/>
  <c r="Y208" i="4"/>
  <c r="Y28" i="4"/>
  <c r="Y72" i="4"/>
  <c r="U208" i="4"/>
  <c r="U28" i="4"/>
  <c r="U72" i="4"/>
  <c r="Q208" i="4"/>
  <c r="Q28" i="4"/>
  <c r="Q72" i="4"/>
  <c r="M208" i="4"/>
  <c r="M28" i="4"/>
  <c r="M72" i="4"/>
  <c r="I28" i="4"/>
  <c r="I72" i="4"/>
  <c r="S158" i="17"/>
  <c r="S181" i="17"/>
  <c r="Z30" i="4"/>
  <c r="Z74" i="4"/>
  <c r="I40" i="17"/>
  <c r="I76" i="17"/>
  <c r="O40" i="17"/>
  <c r="O76" i="17"/>
  <c r="T40" i="17"/>
  <c r="T76" i="17"/>
  <c r="V95" i="17"/>
  <c r="Y30" i="17"/>
  <c r="Y74" i="17"/>
  <c r="Y250" i="17"/>
  <c r="Y42" i="17"/>
  <c r="AA68" i="17"/>
  <c r="AA91" i="17"/>
  <c r="L305" i="4"/>
  <c r="L119" i="4"/>
  <c r="L163" i="4"/>
  <c r="T119" i="4"/>
  <c r="T163" i="4"/>
  <c r="T305" i="4"/>
  <c r="Q119" i="4"/>
  <c r="Q163" i="4"/>
  <c r="Q305" i="4"/>
  <c r="I119" i="4"/>
  <c r="I163" i="4"/>
  <c r="I305" i="4"/>
  <c r="H305" i="4"/>
  <c r="H119" i="4"/>
  <c r="H163" i="4"/>
  <c r="K379" i="17"/>
  <c r="K116" i="17"/>
  <c r="U379" i="17"/>
  <c r="U116" i="17"/>
  <c r="R40" i="4"/>
  <c r="R76" i="4"/>
  <c r="Z40" i="4"/>
  <c r="Z76" i="4"/>
  <c r="N40" i="17"/>
  <c r="N76" i="17"/>
  <c r="Q40" i="17"/>
  <c r="Q76" i="17"/>
  <c r="V68" i="17"/>
  <c r="V91" i="17"/>
  <c r="T229" i="17"/>
  <c r="T42" i="17"/>
  <c r="T29" i="17"/>
  <c r="T73" i="17"/>
  <c r="L29" i="17"/>
  <c r="L73" i="17"/>
  <c r="L229" i="17"/>
  <c r="I365" i="17"/>
  <c r="I26" i="17"/>
  <c r="P68" i="17"/>
  <c r="P91" i="17"/>
  <c r="W43" i="17"/>
  <c r="W68" i="17"/>
  <c r="W91" i="17"/>
  <c r="AA40" i="17"/>
  <c r="AA76" i="17"/>
  <c r="I90" i="7"/>
  <c r="I95" i="7"/>
  <c r="I96" i="7"/>
  <c r="S40" i="4"/>
  <c r="S76" i="4"/>
  <c r="AR39" i="7"/>
  <c r="AR48" i="7"/>
  <c r="AR367" i="7"/>
  <c r="AC39" i="7"/>
  <c r="AC48" i="7"/>
  <c r="AC367" i="7"/>
  <c r="BB39" i="7"/>
  <c r="BB48" i="7"/>
  <c r="BB367" i="7"/>
  <c r="AJ39" i="7"/>
  <c r="AJ48" i="7"/>
  <c r="AJ367" i="7"/>
  <c r="W39" i="7"/>
  <c r="W48" i="7"/>
  <c r="W367" i="7"/>
  <c r="AI35" i="7"/>
  <c r="AI325" i="7"/>
  <c r="AI49" i="7"/>
  <c r="AR325" i="7"/>
  <c r="AR49" i="7"/>
  <c r="AR35" i="7"/>
  <c r="BB80" i="7"/>
  <c r="BB401" i="7"/>
  <c r="BB94" i="7"/>
  <c r="AV80" i="7"/>
  <c r="AV401" i="7"/>
  <c r="AV94" i="7"/>
  <c r="AL80" i="7"/>
  <c r="AL401" i="7"/>
  <c r="AF401" i="7"/>
  <c r="AF80" i="7"/>
  <c r="X401" i="7"/>
  <c r="X80" i="7"/>
  <c r="T80" i="7"/>
  <c r="T401" i="7"/>
  <c r="T94" i="7"/>
  <c r="L406" i="7"/>
  <c r="L401" i="7"/>
  <c r="L94" i="7"/>
  <c r="L96" i="7"/>
  <c r="R422" i="7"/>
  <c r="R81" i="7"/>
  <c r="Y422" i="7"/>
  <c r="AO94" i="7"/>
  <c r="BC35" i="7"/>
  <c r="BC325" i="7"/>
  <c r="BC49" i="7"/>
  <c r="AW84" i="7"/>
  <c r="AW93" i="7"/>
  <c r="AW443" i="7"/>
  <c r="AG84" i="7"/>
  <c r="AG93" i="7"/>
  <c r="AG443" i="7"/>
  <c r="Y84" i="7"/>
  <c r="Y93" i="7"/>
  <c r="Y443" i="7"/>
  <c r="T84" i="7"/>
  <c r="T93" i="7"/>
  <c r="T443" i="7"/>
  <c r="AH422" i="7"/>
  <c r="AH94" i="7"/>
  <c r="AH81" i="7"/>
  <c r="AP81" i="7"/>
  <c r="AP422" i="7"/>
  <c r="BD81" i="7"/>
  <c r="BD422" i="7"/>
  <c r="AY427" i="7"/>
  <c r="AY422" i="7"/>
  <c r="AA427" i="7"/>
  <c r="AA422" i="7"/>
  <c r="S422" i="7"/>
  <c r="S427" i="7"/>
  <c r="H90" i="7"/>
  <c r="H95" i="7"/>
  <c r="AX35" i="7"/>
  <c r="AX325" i="7"/>
  <c r="AX49" i="7"/>
  <c r="AS35" i="7"/>
  <c r="AS325" i="7"/>
  <c r="AS49" i="7"/>
  <c r="V330" i="7"/>
  <c r="V325" i="7"/>
  <c r="V49" i="7"/>
  <c r="AY35" i="7"/>
  <c r="AY325" i="7"/>
  <c r="AY49" i="7"/>
  <c r="AP325" i="7"/>
  <c r="AP49" i="7"/>
  <c r="AP35" i="7"/>
  <c r="Q35" i="7"/>
  <c r="Q50" i="7"/>
  <c r="Q325" i="7"/>
  <c r="Q49" i="7"/>
  <c r="Q51" i="7"/>
  <c r="BA380" i="7"/>
  <c r="BA94" i="7"/>
  <c r="BA79" i="7"/>
  <c r="AC79" i="7"/>
  <c r="AC380" i="7"/>
  <c r="AC94" i="7"/>
  <c r="AL422" i="7"/>
  <c r="AN401" i="7"/>
  <c r="M50" i="7"/>
  <c r="M45" i="7"/>
  <c r="M51" i="7"/>
  <c r="H188" i="7"/>
  <c r="J50" i="7"/>
  <c r="J51" i="7"/>
  <c r="L234" i="7"/>
  <c r="L235" i="7"/>
  <c r="G55" i="7"/>
  <c r="J95" i="7"/>
  <c r="J96" i="7"/>
  <c r="Q137" i="7"/>
  <c r="Q142" i="7"/>
  <c r="Q143" i="7"/>
  <c r="J188" i="7"/>
  <c r="P235" i="7"/>
  <c r="R181" i="4"/>
  <c r="K158" i="17"/>
  <c r="K181" i="17"/>
  <c r="P284" i="17"/>
  <c r="Y289" i="17"/>
  <c r="T118" i="17"/>
  <c r="T162" i="17"/>
  <c r="T284" i="17"/>
  <c r="AA118" i="17"/>
  <c r="AA162" i="17"/>
  <c r="O289" i="17"/>
  <c r="V289" i="17"/>
  <c r="N289" i="17"/>
  <c r="Y29" i="4"/>
  <c r="Y73" i="4"/>
  <c r="Y229" i="4"/>
  <c r="N29" i="4"/>
  <c r="I29" i="4"/>
  <c r="I73" i="4"/>
  <c r="I229" i="4"/>
  <c r="Y234" i="4"/>
  <c r="Y95" i="4"/>
  <c r="Q234" i="4"/>
  <c r="I234" i="4"/>
  <c r="S428" i="7"/>
  <c r="T425" i="7"/>
  <c r="T428" i="7"/>
  <c r="U425" i="7"/>
  <c r="U428" i="7"/>
  <c r="V425" i="7"/>
  <c r="V428" i="7"/>
  <c r="W425" i="7"/>
  <c r="W428" i="7"/>
  <c r="X425" i="7"/>
  <c r="X428" i="7"/>
  <c r="Y425" i="7"/>
  <c r="Y428" i="7"/>
  <c r="Z425" i="7"/>
  <c r="Z428" i="7"/>
  <c r="AA425" i="7"/>
  <c r="AA428" i="7"/>
  <c r="AB425" i="7"/>
  <c r="AB428" i="7"/>
  <c r="AC425" i="7"/>
  <c r="AC428" i="7"/>
  <c r="AD425" i="7"/>
  <c r="AD428" i="7"/>
  <c r="AE425" i="7"/>
  <c r="AE428" i="7"/>
  <c r="AF425" i="7"/>
  <c r="AF428" i="7"/>
  <c r="AG425" i="7"/>
  <c r="AG428" i="7"/>
  <c r="AH425" i="7"/>
  <c r="AH428" i="7"/>
  <c r="AI425" i="7"/>
  <c r="AI428" i="7"/>
  <c r="AJ425" i="7"/>
  <c r="AJ428" i="7"/>
  <c r="AK425" i="7"/>
  <c r="AK428" i="7"/>
  <c r="AL425" i="7"/>
  <c r="AL428" i="7"/>
  <c r="AM425" i="7"/>
  <c r="AM428" i="7"/>
  <c r="AN425" i="7"/>
  <c r="AN428" i="7"/>
  <c r="AO425" i="7"/>
  <c r="AO428" i="7"/>
  <c r="AP425" i="7"/>
  <c r="AP428" i="7"/>
  <c r="AQ425" i="7"/>
  <c r="AQ428" i="7"/>
  <c r="AR425" i="7"/>
  <c r="AR428" i="7"/>
  <c r="AS425" i="7"/>
  <c r="AS428" i="7"/>
  <c r="AT425" i="7"/>
  <c r="AT428" i="7"/>
  <c r="AU425" i="7"/>
  <c r="AU428" i="7"/>
  <c r="AV425" i="7"/>
  <c r="AV428" i="7"/>
  <c r="AW425" i="7"/>
  <c r="AW428" i="7"/>
  <c r="AX425" i="7"/>
  <c r="AX428" i="7"/>
  <c r="AY425" i="7"/>
  <c r="AY428" i="7"/>
  <c r="AZ425" i="7"/>
  <c r="AZ428" i="7"/>
  <c r="BA425" i="7"/>
  <c r="BA428" i="7"/>
  <c r="BB425" i="7"/>
  <c r="BB428" i="7"/>
  <c r="BC425" i="7"/>
  <c r="BC428" i="7"/>
  <c r="BD425" i="7"/>
  <c r="BD428" i="7"/>
  <c r="BE425" i="7"/>
  <c r="BE428" i="7"/>
  <c r="R93" i="7"/>
  <c r="R95" i="7"/>
  <c r="R131" i="17"/>
  <c r="R167" i="17"/>
  <c r="O131" i="4"/>
  <c r="O167" i="4"/>
  <c r="N131" i="4"/>
  <c r="N167" i="4"/>
  <c r="AF94" i="7"/>
  <c r="Y94" i="7"/>
  <c r="V42" i="17"/>
  <c r="N305" i="17"/>
  <c r="N119" i="17"/>
  <c r="N163" i="17"/>
  <c r="Z119" i="17"/>
  <c r="Z163" i="17"/>
  <c r="Y119" i="17"/>
  <c r="Y163" i="17"/>
  <c r="Y305" i="17"/>
  <c r="M131" i="17"/>
  <c r="M167" i="17"/>
  <c r="T131" i="17"/>
  <c r="T167" i="17"/>
  <c r="P131" i="4"/>
  <c r="P167" i="4"/>
  <c r="H131" i="4"/>
  <c r="H167" i="4"/>
  <c r="X131" i="4"/>
  <c r="X167" i="4"/>
  <c r="M131" i="4"/>
  <c r="M167" i="4"/>
  <c r="S131" i="17"/>
  <c r="S167" i="17"/>
  <c r="H259" i="4"/>
  <c r="K249" i="4"/>
  <c r="K255" i="4"/>
  <c r="L249" i="4"/>
  <c r="L255" i="4"/>
  <c r="M248" i="4"/>
  <c r="M249" i="4"/>
  <c r="M250" i="4"/>
  <c r="M229" i="4"/>
  <c r="M42" i="4"/>
  <c r="N249" i="4"/>
  <c r="N255" i="4"/>
  <c r="O249" i="4"/>
  <c r="O255" i="4"/>
  <c r="P249" i="4"/>
  <c r="P255" i="4"/>
  <c r="Q248" i="4"/>
  <c r="R249" i="4"/>
  <c r="R255" i="4"/>
  <c r="I248" i="4"/>
  <c r="K248" i="4"/>
  <c r="L248" i="4"/>
  <c r="L30" i="4"/>
  <c r="L74" i="4"/>
  <c r="O248" i="4"/>
  <c r="P248" i="4"/>
  <c r="G254" i="4"/>
  <c r="G256" i="4"/>
  <c r="H253" i="4"/>
  <c r="J248" i="4"/>
  <c r="J30" i="4"/>
  <c r="J74" i="4"/>
  <c r="R248" i="4"/>
  <c r="I249" i="4"/>
  <c r="M255" i="4"/>
  <c r="H249" i="4"/>
  <c r="H248" i="4"/>
  <c r="N248" i="4"/>
  <c r="J249" i="4"/>
  <c r="J95" i="4"/>
  <c r="Q249" i="4"/>
  <c r="Q255" i="4"/>
  <c r="W182" i="7"/>
  <c r="W187" i="7"/>
  <c r="T51" i="7"/>
  <c r="U48" i="7"/>
  <c r="U50" i="7"/>
  <c r="M158" i="17"/>
  <c r="M181" i="17"/>
  <c r="R158" i="17"/>
  <c r="R181" i="17"/>
  <c r="I131" i="17"/>
  <c r="I167" i="17"/>
  <c r="T131" i="4"/>
  <c r="T167" i="4"/>
  <c r="H96" i="7"/>
  <c r="AL94" i="7"/>
  <c r="V131" i="17"/>
  <c r="V167" i="17"/>
  <c r="Q131" i="17"/>
  <c r="Q167" i="17"/>
  <c r="L131" i="4"/>
  <c r="L167" i="4"/>
  <c r="Z131" i="4"/>
  <c r="Z167" i="4"/>
  <c r="W131" i="4"/>
  <c r="W167" i="4"/>
  <c r="T289" i="17"/>
  <c r="Q284" i="17"/>
  <c r="L118" i="17"/>
  <c r="L162" i="17"/>
  <c r="K118" i="17"/>
  <c r="K162" i="17"/>
  <c r="J29" i="4"/>
  <c r="W29" i="4"/>
  <c r="W73" i="4"/>
  <c r="W229" i="4"/>
  <c r="R29" i="4"/>
  <c r="R229" i="4"/>
  <c r="M29" i="4"/>
  <c r="M73" i="4"/>
  <c r="H29" i="4"/>
  <c r="H73" i="4"/>
  <c r="H229" i="4"/>
  <c r="L29" i="4"/>
  <c r="L229" i="4"/>
  <c r="X95" i="4"/>
  <c r="T234" i="4"/>
  <c r="T95" i="4"/>
  <c r="P95" i="4"/>
  <c r="P234" i="4"/>
  <c r="L234" i="4"/>
  <c r="L95" i="4"/>
  <c r="AA131" i="4"/>
  <c r="AA167" i="4"/>
  <c r="V95" i="4"/>
  <c r="AR94" i="7"/>
  <c r="U93" i="7"/>
  <c r="U95" i="7"/>
  <c r="M95" i="7"/>
  <c r="M96" i="7"/>
  <c r="J158" i="17"/>
  <c r="J181" i="17"/>
  <c r="M10" i="27"/>
  <c r="O305" i="17"/>
  <c r="O119" i="17"/>
  <c r="O163" i="17"/>
  <c r="R305" i="17"/>
  <c r="R119" i="17"/>
  <c r="R163" i="17"/>
  <c r="X119" i="17"/>
  <c r="X163" i="17"/>
  <c r="X305" i="17"/>
  <c r="T119" i="17"/>
  <c r="T163" i="17"/>
  <c r="L119" i="17"/>
  <c r="L163" i="17"/>
  <c r="L305" i="17"/>
  <c r="K325" i="17"/>
  <c r="K331" i="17"/>
  <c r="L324" i="17"/>
  <c r="L120" i="17"/>
  <c r="L164" i="17"/>
  <c r="H335" i="17"/>
  <c r="H121" i="17"/>
  <c r="I324" i="17"/>
  <c r="L325" i="17"/>
  <c r="L185" i="17"/>
  <c r="M324" i="17"/>
  <c r="P325" i="17"/>
  <c r="P185" i="17"/>
  <c r="Q324" i="17"/>
  <c r="Q120" i="17"/>
  <c r="T325" i="17"/>
  <c r="T331" i="17"/>
  <c r="U324" i="17"/>
  <c r="U120" i="17"/>
  <c r="U164" i="17"/>
  <c r="H324" i="17"/>
  <c r="O324" i="17"/>
  <c r="O120" i="17"/>
  <c r="O164" i="17"/>
  <c r="R324" i="17"/>
  <c r="R120" i="17"/>
  <c r="S325" i="17"/>
  <c r="S331" i="17"/>
  <c r="V325" i="17"/>
  <c r="V331" i="17"/>
  <c r="X325" i="17"/>
  <c r="Y324" i="17"/>
  <c r="Y120" i="17"/>
  <c r="Y164" i="17"/>
  <c r="H325" i="17"/>
  <c r="H331" i="17"/>
  <c r="G330" i="17"/>
  <c r="G332" i="17"/>
  <c r="H329" i="17"/>
  <c r="H332" i="17"/>
  <c r="I329" i="17"/>
  <c r="N324" i="17"/>
  <c r="N120" i="17"/>
  <c r="N164" i="17"/>
  <c r="O325" i="17"/>
  <c r="O331" i="17"/>
  <c r="R325" i="17"/>
  <c r="R185" i="17"/>
  <c r="U325" i="17"/>
  <c r="U331" i="17"/>
  <c r="Y325" i="17"/>
  <c r="Y331" i="17"/>
  <c r="Z324" i="17"/>
  <c r="Z120" i="17"/>
  <c r="Z164" i="17"/>
  <c r="K324" i="17"/>
  <c r="K120" i="17"/>
  <c r="W325" i="17"/>
  <c r="W185" i="17"/>
  <c r="AA325" i="17"/>
  <c r="AA331" i="17"/>
  <c r="J324" i="17"/>
  <c r="J120" i="17"/>
  <c r="J164" i="17"/>
  <c r="J325" i="17"/>
  <c r="J331" i="17"/>
  <c r="P324" i="17"/>
  <c r="P120" i="17"/>
  <c r="P164" i="17"/>
  <c r="V324" i="17"/>
  <c r="V120" i="17"/>
  <c r="V164" i="17"/>
  <c r="I325" i="17"/>
  <c r="I331" i="17"/>
  <c r="Q325" i="17"/>
  <c r="Q331" i="17"/>
  <c r="W324" i="17"/>
  <c r="W120" i="17"/>
  <c r="W164" i="17"/>
  <c r="AA324" i="17"/>
  <c r="AA120" i="17"/>
  <c r="AA164" i="17"/>
  <c r="M325" i="17"/>
  <c r="M185" i="17"/>
  <c r="S324" i="17"/>
  <c r="X324" i="17"/>
  <c r="T324" i="17"/>
  <c r="Z325" i="17"/>
  <c r="N325" i="17"/>
  <c r="N331" i="17"/>
  <c r="N280" i="7"/>
  <c r="AA94" i="7"/>
  <c r="W90" i="7"/>
  <c r="W95" i="7"/>
  <c r="K149" i="6"/>
  <c r="X163" i="7"/>
  <c r="P149" i="6"/>
  <c r="X119" i="7"/>
  <c r="M149" i="6"/>
  <c r="X255" i="7"/>
  <c r="O149" i="6"/>
  <c r="X72" i="7"/>
  <c r="I149" i="6"/>
  <c r="X71" i="7"/>
  <c r="S149" i="6"/>
  <c r="X256" i="7"/>
  <c r="J149" i="6"/>
  <c r="X118" i="7"/>
  <c r="N149" i="6"/>
  <c r="X27" i="7"/>
  <c r="L149" i="6"/>
  <c r="X210" i="7"/>
  <c r="R149" i="6"/>
  <c r="X211" i="7"/>
  <c r="Q149" i="6"/>
  <c r="X164" i="7"/>
  <c r="BE94" i="7"/>
  <c r="AN94" i="7"/>
  <c r="R94" i="7"/>
  <c r="Z94" i="7"/>
  <c r="AP94" i="7"/>
  <c r="H51" i="7"/>
  <c r="N158" i="17"/>
  <c r="N181" i="17"/>
  <c r="N131" i="17"/>
  <c r="N167" i="17"/>
  <c r="W131" i="17"/>
  <c r="W167" i="17"/>
  <c r="J131" i="4"/>
  <c r="J167" i="4"/>
  <c r="J64" i="23"/>
  <c r="O63" i="23"/>
  <c r="S50" i="7"/>
  <c r="S51" i="7"/>
  <c r="M284" i="17"/>
  <c r="M118" i="17"/>
  <c r="M162" i="17"/>
  <c r="Q289" i="17"/>
  <c r="S289" i="17"/>
  <c r="X118" i="17"/>
  <c r="X162" i="17"/>
  <c r="N284" i="17"/>
  <c r="N118" i="17"/>
  <c r="N162" i="17"/>
  <c r="U284" i="17"/>
  <c r="U118" i="17"/>
  <c r="U162" i="17"/>
  <c r="K289" i="17"/>
  <c r="R289" i="17"/>
  <c r="J289" i="17"/>
  <c r="I289" i="17"/>
  <c r="AA29" i="4"/>
  <c r="AA229" i="4"/>
  <c r="V29" i="4"/>
  <c r="V229" i="4"/>
  <c r="Q29" i="4"/>
  <c r="Q73" i="4"/>
  <c r="Q229" i="4"/>
  <c r="K29" i="4"/>
  <c r="K229" i="4"/>
  <c r="X29" i="4"/>
  <c r="X73" i="4"/>
  <c r="AA234" i="4"/>
  <c r="AA95" i="4"/>
  <c r="W234" i="4"/>
  <c r="W95" i="4"/>
  <c r="O234" i="4"/>
  <c r="O95" i="4"/>
  <c r="K234" i="4"/>
  <c r="K95" i="4"/>
  <c r="H35" i="27"/>
  <c r="N154" i="1"/>
  <c r="L154" i="1"/>
  <c r="L20" i="16"/>
  <c r="Y43" i="17"/>
  <c r="L131" i="17"/>
  <c r="L167" i="17"/>
  <c r="R131" i="4"/>
  <c r="R167" i="4"/>
  <c r="X94" i="7"/>
  <c r="AA158" i="17"/>
  <c r="AA181" i="17"/>
  <c r="U305" i="17"/>
  <c r="U119" i="17"/>
  <c r="U163" i="17"/>
  <c r="AA119" i="17"/>
  <c r="AA163" i="17"/>
  <c r="V305" i="17"/>
  <c r="W119" i="17"/>
  <c r="W163" i="17"/>
  <c r="M119" i="17"/>
  <c r="M163" i="17"/>
  <c r="M305" i="17"/>
  <c r="H130" i="17"/>
  <c r="H166" i="17"/>
  <c r="J131" i="17"/>
  <c r="J167" i="17"/>
  <c r="O131" i="17"/>
  <c r="O167" i="17"/>
  <c r="X131" i="17"/>
  <c r="X167" i="17"/>
  <c r="I167" i="4"/>
  <c r="H335" i="4"/>
  <c r="H121" i="4"/>
  <c r="T325" i="4"/>
  <c r="T331" i="4"/>
  <c r="W324" i="4"/>
  <c r="W120" i="4"/>
  <c r="W164" i="4"/>
  <c r="X325" i="4"/>
  <c r="V324" i="4"/>
  <c r="W325" i="4"/>
  <c r="W331" i="4"/>
  <c r="V325" i="4"/>
  <c r="Y324" i="4"/>
  <c r="Z324" i="4"/>
  <c r="AA325" i="4"/>
  <c r="T324" i="4"/>
  <c r="T120" i="4"/>
  <c r="T164" i="4"/>
  <c r="Y325" i="4"/>
  <c r="Z325" i="4"/>
  <c r="Z331" i="4"/>
  <c r="AA324" i="4"/>
  <c r="U325" i="4"/>
  <c r="U331" i="4"/>
  <c r="X324" i="4"/>
  <c r="X120" i="4"/>
  <c r="X164" i="4"/>
  <c r="U324" i="4"/>
  <c r="G330" i="4"/>
  <c r="G332" i="4"/>
  <c r="H329" i="4"/>
  <c r="P131" i="17"/>
  <c r="P167" i="17"/>
  <c r="R95" i="4"/>
  <c r="AW94" i="7"/>
  <c r="AY94" i="7"/>
  <c r="V131" i="4"/>
  <c r="V167" i="4"/>
  <c r="X137" i="7"/>
  <c r="X142" i="7"/>
  <c r="W50" i="7"/>
  <c r="W45" i="7"/>
  <c r="W51" i="7"/>
  <c r="X274" i="7"/>
  <c r="X279" i="7"/>
  <c r="W229" i="7"/>
  <c r="W234" i="7"/>
  <c r="X90" i="7"/>
  <c r="X95" i="7"/>
  <c r="X234" i="7"/>
  <c r="X229" i="7"/>
  <c r="X235" i="7"/>
  <c r="O96" i="7"/>
  <c r="V93" i="7"/>
  <c r="V95" i="7"/>
  <c r="AQ94" i="7"/>
  <c r="K131" i="17"/>
  <c r="K167" i="17"/>
  <c r="T95" i="7"/>
  <c r="T96" i="7"/>
  <c r="I68" i="17"/>
  <c r="I91" i="17"/>
  <c r="U158" i="17"/>
  <c r="U181" i="17"/>
  <c r="Z131" i="17"/>
  <c r="Z167" i="17"/>
  <c r="U131" i="17"/>
  <c r="U167" i="17"/>
  <c r="S131" i="4"/>
  <c r="S167" i="4"/>
  <c r="U131" i="4"/>
  <c r="U167" i="4"/>
  <c r="Y284" i="17"/>
  <c r="Y118" i="17"/>
  <c r="Y162" i="17"/>
  <c r="I284" i="17"/>
  <c r="I118" i="17"/>
  <c r="I162" i="17"/>
  <c r="Z118" i="17"/>
  <c r="Z162" i="17"/>
  <c r="P289" i="17"/>
  <c r="U289" i="17"/>
  <c r="L289" i="17"/>
  <c r="R284" i="17"/>
  <c r="R118" i="17"/>
  <c r="R162" i="17"/>
  <c r="W118" i="17"/>
  <c r="W162" i="17"/>
  <c r="W284" i="17"/>
  <c r="O284" i="17"/>
  <c r="O118" i="17"/>
  <c r="O162" i="17"/>
  <c r="H289" i="17"/>
  <c r="H290" i="17"/>
  <c r="I287" i="17"/>
  <c r="I290" i="17"/>
  <c r="J287" i="17"/>
  <c r="H118" i="17"/>
  <c r="H162" i="17"/>
  <c r="H284" i="17"/>
  <c r="Z29" i="4"/>
  <c r="Z73" i="4"/>
  <c r="U29" i="4"/>
  <c r="U73" i="4"/>
  <c r="U229" i="4"/>
  <c r="O29" i="4"/>
  <c r="O73" i="4"/>
  <c r="O229" i="4"/>
  <c r="T29" i="4"/>
  <c r="T229" i="4"/>
  <c r="Y131" i="17"/>
  <c r="Y167" i="17"/>
  <c r="Q131" i="4"/>
  <c r="Q167" i="4"/>
  <c r="V51" i="7"/>
  <c r="S94" i="7"/>
  <c r="S96" i="7"/>
  <c r="BD94" i="7"/>
  <c r="AB386" i="7"/>
  <c r="AC383" i="7"/>
  <c r="AC386" i="7"/>
  <c r="AD383" i="7"/>
  <c r="AD386" i="7"/>
  <c r="AE383" i="7"/>
  <c r="AE386" i="7"/>
  <c r="AF383" i="7"/>
  <c r="AF386" i="7"/>
  <c r="AG383" i="7"/>
  <c r="AG386" i="7"/>
  <c r="AH383" i="7"/>
  <c r="AH386" i="7"/>
  <c r="AI383" i="7"/>
  <c r="AI386" i="7"/>
  <c r="AJ383" i="7"/>
  <c r="AJ386" i="7"/>
  <c r="AK383" i="7"/>
  <c r="AK386" i="7"/>
  <c r="AL383" i="7"/>
  <c r="AL386" i="7"/>
  <c r="AM383" i="7"/>
  <c r="AM386" i="7"/>
  <c r="AN383" i="7"/>
  <c r="AN386" i="7"/>
  <c r="AO383" i="7"/>
  <c r="AO386" i="7"/>
  <c r="AP383" i="7"/>
  <c r="AP386" i="7"/>
  <c r="AQ383" i="7"/>
  <c r="AQ386" i="7"/>
  <c r="AR383" i="7"/>
  <c r="AR386" i="7"/>
  <c r="AS383" i="7"/>
  <c r="AS386" i="7"/>
  <c r="AT383" i="7"/>
  <c r="AT386" i="7"/>
  <c r="AU383" i="7"/>
  <c r="AU386" i="7"/>
  <c r="AV383" i="7"/>
  <c r="AV386" i="7"/>
  <c r="AW383" i="7"/>
  <c r="AW386" i="7"/>
  <c r="AX383" i="7"/>
  <c r="AX386" i="7"/>
  <c r="AY383" i="7"/>
  <c r="AY386" i="7"/>
  <c r="AZ383" i="7"/>
  <c r="AZ386" i="7"/>
  <c r="BA383" i="7"/>
  <c r="BA386" i="7"/>
  <c r="BB383" i="7"/>
  <c r="BB386" i="7"/>
  <c r="BC383" i="7"/>
  <c r="BC386" i="7"/>
  <c r="BD383" i="7"/>
  <c r="BD386" i="7"/>
  <c r="BE383" i="7"/>
  <c r="BE386" i="7"/>
  <c r="L407" i="7"/>
  <c r="M404" i="7"/>
  <c r="M407" i="7"/>
  <c r="N404" i="7"/>
  <c r="N407" i="7"/>
  <c r="O404" i="7"/>
  <c r="O407" i="7"/>
  <c r="P404" i="7"/>
  <c r="P407" i="7"/>
  <c r="Q404" i="7"/>
  <c r="Q407" i="7"/>
  <c r="R404" i="7"/>
  <c r="R407" i="7"/>
  <c r="S404" i="7"/>
  <c r="S407" i="7"/>
  <c r="T404" i="7"/>
  <c r="T407" i="7"/>
  <c r="U404" i="7"/>
  <c r="U407" i="7"/>
  <c r="V404" i="7"/>
  <c r="V407" i="7"/>
  <c r="W404" i="7"/>
  <c r="W407" i="7"/>
  <c r="X404" i="7"/>
  <c r="X407" i="7"/>
  <c r="Y404" i="7"/>
  <c r="Y407" i="7"/>
  <c r="Z404" i="7"/>
  <c r="Z407" i="7"/>
  <c r="AA404" i="7"/>
  <c r="AA407" i="7"/>
  <c r="AB404" i="7"/>
  <c r="AB407" i="7"/>
  <c r="AC404" i="7"/>
  <c r="AC407" i="7"/>
  <c r="AD404" i="7"/>
  <c r="AD407" i="7"/>
  <c r="AE404" i="7"/>
  <c r="AE407" i="7"/>
  <c r="AF404" i="7"/>
  <c r="AF407" i="7"/>
  <c r="AG404" i="7"/>
  <c r="AG407" i="7"/>
  <c r="AH404" i="7"/>
  <c r="AH407" i="7"/>
  <c r="AI404" i="7"/>
  <c r="AI407" i="7"/>
  <c r="AJ404" i="7"/>
  <c r="AJ407" i="7"/>
  <c r="AK404" i="7"/>
  <c r="AK407" i="7"/>
  <c r="AL404" i="7"/>
  <c r="AL407" i="7"/>
  <c r="AM404" i="7"/>
  <c r="AM407" i="7"/>
  <c r="AN404" i="7"/>
  <c r="AN407" i="7"/>
  <c r="AO404" i="7"/>
  <c r="AO407" i="7"/>
  <c r="AP404" i="7"/>
  <c r="AP407" i="7"/>
  <c r="AQ404" i="7"/>
  <c r="AQ407" i="7"/>
  <c r="AR404" i="7"/>
  <c r="AR407" i="7"/>
  <c r="AS404" i="7"/>
  <c r="AS407" i="7"/>
  <c r="AT404" i="7"/>
  <c r="AT407" i="7"/>
  <c r="AU404" i="7"/>
  <c r="AU407" i="7"/>
  <c r="AV404" i="7"/>
  <c r="AV407" i="7"/>
  <c r="AW404" i="7"/>
  <c r="AW407" i="7"/>
  <c r="AX404" i="7"/>
  <c r="AX407" i="7"/>
  <c r="AY404" i="7"/>
  <c r="AY407" i="7"/>
  <c r="AZ404" i="7"/>
  <c r="AZ407" i="7"/>
  <c r="BA404" i="7"/>
  <c r="BA407" i="7"/>
  <c r="BB404" i="7"/>
  <c r="BB407" i="7"/>
  <c r="BC404" i="7"/>
  <c r="BC407" i="7"/>
  <c r="BD404" i="7"/>
  <c r="BD407" i="7"/>
  <c r="BE404" i="7"/>
  <c r="BE407" i="7"/>
  <c r="Q119" i="17"/>
  <c r="Q163" i="17"/>
  <c r="S305" i="17"/>
  <c r="S119" i="17"/>
  <c r="S163" i="17"/>
  <c r="I305" i="17"/>
  <c r="I119" i="17"/>
  <c r="I163" i="17"/>
  <c r="P119" i="17"/>
  <c r="P163" i="17"/>
  <c r="P305" i="17"/>
  <c r="K305" i="17"/>
  <c r="U331" i="7"/>
  <c r="V328" i="7"/>
  <c r="V331" i="7"/>
  <c r="W328" i="7"/>
  <c r="W331" i="7"/>
  <c r="X328" i="7"/>
  <c r="X331" i="7"/>
  <c r="Y328" i="7"/>
  <c r="Y331" i="7"/>
  <c r="Z328" i="7"/>
  <c r="Z331" i="7"/>
  <c r="AA328" i="7"/>
  <c r="AA331" i="7"/>
  <c r="AB328" i="7"/>
  <c r="AB331" i="7"/>
  <c r="AC328" i="7"/>
  <c r="AC331" i="7"/>
  <c r="AD328" i="7"/>
  <c r="AD331" i="7"/>
  <c r="AE328" i="7"/>
  <c r="AE331" i="7"/>
  <c r="AF328" i="7"/>
  <c r="AF331" i="7"/>
  <c r="AG328" i="7"/>
  <c r="AG331" i="7"/>
  <c r="AH328" i="7"/>
  <c r="AH331" i="7"/>
  <c r="AI328" i="7"/>
  <c r="AI331" i="7"/>
  <c r="AJ328" i="7"/>
  <c r="AJ331" i="7"/>
  <c r="AK328" i="7"/>
  <c r="AK331" i="7"/>
  <c r="AL328" i="7"/>
  <c r="AL331" i="7"/>
  <c r="AM328" i="7"/>
  <c r="AM331" i="7"/>
  <c r="AN328" i="7"/>
  <c r="AN331" i="7"/>
  <c r="AO328" i="7"/>
  <c r="AO331" i="7"/>
  <c r="AP328" i="7"/>
  <c r="AP331" i="7"/>
  <c r="AQ328" i="7"/>
  <c r="AQ331" i="7"/>
  <c r="AR328" i="7"/>
  <c r="AR331" i="7"/>
  <c r="AS328" i="7"/>
  <c r="AS331" i="7"/>
  <c r="AT328" i="7"/>
  <c r="AT331" i="7"/>
  <c r="AU328" i="7"/>
  <c r="AU331" i="7"/>
  <c r="AV328" i="7"/>
  <c r="AV331" i="7"/>
  <c r="AW328" i="7"/>
  <c r="AW331" i="7"/>
  <c r="AX328" i="7"/>
  <c r="AX331" i="7"/>
  <c r="AY328" i="7"/>
  <c r="AY331" i="7"/>
  <c r="AZ328" i="7"/>
  <c r="AZ331" i="7"/>
  <c r="BA328" i="7"/>
  <c r="BA331" i="7"/>
  <c r="BB328" i="7"/>
  <c r="BB331" i="7"/>
  <c r="BC328" i="7"/>
  <c r="BC331" i="7"/>
  <c r="BD328" i="7"/>
  <c r="BD331" i="7"/>
  <c r="BE328" i="7"/>
  <c r="BE331" i="7"/>
  <c r="Q158" i="17"/>
  <c r="Q181" i="17"/>
  <c r="H259" i="17"/>
  <c r="H31" i="17"/>
  <c r="Q249" i="17"/>
  <c r="Q95" i="17"/>
  <c r="M248" i="17"/>
  <c r="M30" i="17"/>
  <c r="N248" i="17"/>
  <c r="H248" i="17"/>
  <c r="O248" i="17"/>
  <c r="M249" i="17"/>
  <c r="M255" i="17"/>
  <c r="P248" i="17"/>
  <c r="P30" i="17"/>
  <c r="G254" i="17"/>
  <c r="G256" i="17"/>
  <c r="H253" i="17"/>
  <c r="I248" i="17"/>
  <c r="I30" i="17"/>
  <c r="P249" i="17"/>
  <c r="P95" i="17"/>
  <c r="N249" i="17"/>
  <c r="N255" i="17"/>
  <c r="O249" i="17"/>
  <c r="O95" i="17"/>
  <c r="I249" i="17"/>
  <c r="I95" i="17"/>
  <c r="H249" i="17"/>
  <c r="J249" i="17"/>
  <c r="J255" i="17"/>
  <c r="R249" i="17"/>
  <c r="R255" i="17"/>
  <c r="Q248" i="17"/>
  <c r="Q250" i="17"/>
  <c r="Q42" i="17"/>
  <c r="K248" i="17"/>
  <c r="J248" i="17"/>
  <c r="J250" i="17"/>
  <c r="J42" i="17"/>
  <c r="K249" i="17"/>
  <c r="K255" i="17"/>
  <c r="L248" i="17"/>
  <c r="L30" i="17"/>
  <c r="R248" i="17"/>
  <c r="L249" i="17"/>
  <c r="L255" i="17"/>
  <c r="W137" i="7"/>
  <c r="W142" i="7"/>
  <c r="W143" i="7"/>
  <c r="X45" i="7"/>
  <c r="X50" i="7"/>
  <c r="W279" i="7"/>
  <c r="W274" i="7"/>
  <c r="X187" i="7"/>
  <c r="X182" i="7"/>
  <c r="X188" i="7"/>
  <c r="AS94" i="7"/>
  <c r="V94" i="7"/>
  <c r="AX94" i="7"/>
  <c r="AA131" i="17"/>
  <c r="AA167" i="17"/>
  <c r="W94" i="7"/>
  <c r="R73" i="17"/>
  <c r="P51" i="7"/>
  <c r="O51" i="7"/>
  <c r="L11" i="27"/>
  <c r="M11" i="27"/>
  <c r="H129" i="17"/>
  <c r="H165" i="17"/>
  <c r="X51" i="7"/>
  <c r="K30" i="17"/>
  <c r="K74" i="17"/>
  <c r="P255" i="17"/>
  <c r="O326" i="17"/>
  <c r="O132" i="17"/>
  <c r="I120" i="17"/>
  <c r="N10" i="27"/>
  <c r="R73" i="4"/>
  <c r="J73" i="4"/>
  <c r="N250" i="4"/>
  <c r="N42" i="4"/>
  <c r="N30" i="4"/>
  <c r="N74" i="4"/>
  <c r="P250" i="4"/>
  <c r="P30" i="4"/>
  <c r="P74" i="4"/>
  <c r="I30" i="4"/>
  <c r="N11" i="27"/>
  <c r="R30" i="17"/>
  <c r="R74" i="17"/>
  <c r="R250" i="17"/>
  <c r="R42" i="17"/>
  <c r="H255" i="17"/>
  <c r="H256" i="17"/>
  <c r="I253" i="17"/>
  <c r="H95" i="17"/>
  <c r="M95" i="17"/>
  <c r="W280" i="7"/>
  <c r="O30" i="17"/>
  <c r="O43" i="17"/>
  <c r="Q255" i="17"/>
  <c r="T73" i="4"/>
  <c r="X96" i="7"/>
  <c r="X280" i="7"/>
  <c r="X143" i="7"/>
  <c r="K73" i="4"/>
  <c r="V73" i="4"/>
  <c r="W96" i="7"/>
  <c r="T120" i="17"/>
  <c r="T164" i="17"/>
  <c r="U51" i="7"/>
  <c r="W188" i="7"/>
  <c r="H30" i="4"/>
  <c r="H74" i="4"/>
  <c r="R250" i="4"/>
  <c r="R42" i="4"/>
  <c r="R30" i="4"/>
  <c r="O250" i="4"/>
  <c r="O30" i="4"/>
  <c r="O74" i="4"/>
  <c r="N95" i="4"/>
  <c r="M95" i="4"/>
  <c r="O185" i="17"/>
  <c r="K95" i="17"/>
  <c r="O255" i="17"/>
  <c r="H250" i="17"/>
  <c r="H42" i="17"/>
  <c r="H30" i="17"/>
  <c r="H74" i="17"/>
  <c r="H39" i="17"/>
  <c r="H75" i="17"/>
  <c r="Z120" i="4"/>
  <c r="Z164" i="4"/>
  <c r="U326" i="17"/>
  <c r="U132" i="17"/>
  <c r="U96" i="7"/>
  <c r="L73" i="4"/>
  <c r="L250" i="4"/>
  <c r="L42" i="4"/>
  <c r="N73" i="4"/>
  <c r="L95" i="17"/>
  <c r="J30" i="17"/>
  <c r="J74" i="17"/>
  <c r="J95" i="17"/>
  <c r="N95" i="17"/>
  <c r="N30" i="17"/>
  <c r="N74" i="17"/>
  <c r="V96" i="7"/>
  <c r="W235" i="7"/>
  <c r="Y326" i="4"/>
  <c r="Y120" i="4"/>
  <c r="Y164" i="4"/>
  <c r="N94" i="24"/>
  <c r="AA73" i="4"/>
  <c r="J65" i="23"/>
  <c r="O64" i="23"/>
  <c r="J150" i="6"/>
  <c r="O150" i="6"/>
  <c r="L150" i="6"/>
  <c r="N150" i="6"/>
  <c r="S150" i="6"/>
  <c r="Q150" i="6"/>
  <c r="R150" i="6"/>
  <c r="M150" i="6"/>
  <c r="I150" i="6"/>
  <c r="K150" i="6"/>
  <c r="P150" i="6"/>
  <c r="Y257" i="7"/>
  <c r="Y254" i="7"/>
  <c r="Y259" i="7"/>
  <c r="Y72" i="7"/>
  <c r="Y163" i="7"/>
  <c r="Y71" i="7"/>
  <c r="Z73" i="7"/>
  <c r="Z70" i="7"/>
  <c r="Z75" i="7"/>
  <c r="Y256" i="7"/>
  <c r="Y212" i="7"/>
  <c r="Y209" i="7"/>
  <c r="Y214" i="7"/>
  <c r="Y28" i="7"/>
  <c r="Y25" i="7"/>
  <c r="Y30" i="7"/>
  <c r="Y118" i="7"/>
  <c r="Z257" i="7"/>
  <c r="Z254" i="7"/>
  <c r="Z259" i="7"/>
  <c r="Y119" i="7"/>
  <c r="Z28" i="7"/>
  <c r="Z25" i="7"/>
  <c r="Z30" i="7"/>
  <c r="Z165" i="7"/>
  <c r="Z162" i="7"/>
  <c r="Z167" i="7"/>
  <c r="Y165" i="7"/>
  <c r="Y162" i="7"/>
  <c r="Y167" i="7"/>
  <c r="Z120" i="7"/>
  <c r="Z117" i="7"/>
  <c r="Z122" i="7"/>
  <c r="Y73" i="7"/>
  <c r="Y70" i="7"/>
  <c r="Y75" i="7"/>
  <c r="Z212" i="7"/>
  <c r="Z209" i="7"/>
  <c r="Z214" i="7"/>
  <c r="Y255" i="7"/>
  <c r="Y120" i="7"/>
  <c r="Y117" i="7"/>
  <c r="Y122" i="7"/>
  <c r="Y26" i="7"/>
  <c r="Y210" i="7"/>
  <c r="Z26" i="7"/>
  <c r="Y211" i="7"/>
  <c r="Y164" i="7"/>
  <c r="Y27" i="7"/>
  <c r="R164" i="17"/>
  <c r="R326" i="17"/>
  <c r="R132" i="17"/>
  <c r="R96" i="7"/>
  <c r="Y137" i="7"/>
  <c r="Y142" i="7"/>
  <c r="J43" i="17"/>
  <c r="R43" i="17"/>
  <c r="Z50" i="7"/>
  <c r="Z45" i="7"/>
  <c r="Z51" i="7"/>
  <c r="Y274" i="7"/>
  <c r="Y279" i="7"/>
  <c r="O74" i="17"/>
  <c r="Z234" i="7"/>
  <c r="Z229" i="7"/>
  <c r="Z235" i="7"/>
  <c r="Y95" i="7"/>
  <c r="Y90" i="7"/>
  <c r="Z187" i="7"/>
  <c r="Z182" i="7"/>
  <c r="Z188" i="7"/>
  <c r="Y45" i="7"/>
  <c r="Y50" i="7"/>
  <c r="Y51" i="7"/>
  <c r="Z95" i="7"/>
  <c r="Z90" i="7"/>
  <c r="I74" i="4"/>
  <c r="O10" i="27"/>
  <c r="Z137" i="7"/>
  <c r="Z142" i="7"/>
  <c r="Y187" i="7"/>
  <c r="Y182" i="7"/>
  <c r="Y188" i="7"/>
  <c r="Z274" i="7"/>
  <c r="Z279" i="7"/>
  <c r="Y229" i="7"/>
  <c r="Y234" i="7"/>
  <c r="I151" i="6"/>
  <c r="Z71" i="7"/>
  <c r="N151" i="6"/>
  <c r="Z27" i="7"/>
  <c r="S151" i="6"/>
  <c r="Z256" i="7"/>
  <c r="M151" i="6"/>
  <c r="Z255" i="7"/>
  <c r="R151" i="6"/>
  <c r="Z211" i="7"/>
  <c r="O151" i="6"/>
  <c r="Z72" i="7"/>
  <c r="Q151" i="6"/>
  <c r="Z164" i="7"/>
  <c r="P151" i="6"/>
  <c r="Z119" i="7"/>
  <c r="J151" i="6"/>
  <c r="Z118" i="7"/>
  <c r="K151" i="6"/>
  <c r="Z163" i="7"/>
  <c r="L151" i="6"/>
  <c r="Z210" i="7"/>
  <c r="O65" i="23"/>
  <c r="J66" i="23"/>
  <c r="J67" i="23"/>
  <c r="O66" i="23"/>
  <c r="L152" i="6"/>
  <c r="M152" i="6"/>
  <c r="AA255" i="7"/>
  <c r="N152" i="6"/>
  <c r="P152" i="6"/>
  <c r="Q152" i="6"/>
  <c r="R152" i="6"/>
  <c r="AA211" i="7"/>
  <c r="K152" i="6"/>
  <c r="J152" i="6"/>
  <c r="I152" i="6"/>
  <c r="AA71" i="7"/>
  <c r="S152" i="6"/>
  <c r="O152" i="6"/>
  <c r="AA120" i="7"/>
  <c r="AA117" i="7"/>
  <c r="AA122" i="7"/>
  <c r="AA257" i="7"/>
  <c r="AA254" i="7"/>
  <c r="AA259" i="7"/>
  <c r="AA210" i="7"/>
  <c r="AA163" i="7"/>
  <c r="AA72" i="7"/>
  <c r="AA165" i="7"/>
  <c r="AA162" i="7"/>
  <c r="AA167" i="7"/>
  <c r="AB212" i="7"/>
  <c r="AB209" i="7"/>
  <c r="AB214" i="7"/>
  <c r="AB257" i="7"/>
  <c r="AB254" i="7"/>
  <c r="AB259" i="7"/>
  <c r="AB28" i="7"/>
  <c r="AB25" i="7"/>
  <c r="AB30" i="7"/>
  <c r="AA27" i="7"/>
  <c r="AA28" i="7"/>
  <c r="AA25" i="7"/>
  <c r="AA30" i="7"/>
  <c r="AA26" i="7"/>
  <c r="AA212" i="7"/>
  <c r="AA209" i="7"/>
  <c r="AA214" i="7"/>
  <c r="AA73" i="7"/>
  <c r="AA70" i="7"/>
  <c r="AA75" i="7"/>
  <c r="AA256" i="7"/>
  <c r="AB120" i="7"/>
  <c r="AB117" i="7"/>
  <c r="AB122" i="7"/>
  <c r="AB165" i="7"/>
  <c r="AB162" i="7"/>
  <c r="AB167" i="7"/>
  <c r="AA164" i="7"/>
  <c r="AA118" i="7"/>
  <c r="AA119" i="7"/>
  <c r="AB26" i="7"/>
  <c r="AB73" i="7"/>
  <c r="AB70" i="7"/>
  <c r="AB75" i="7"/>
  <c r="Z280" i="7"/>
  <c r="Z143" i="7"/>
  <c r="Z96" i="7"/>
  <c r="Y235" i="7"/>
  <c r="P10" i="27"/>
  <c r="Y96" i="7"/>
  <c r="O11" i="27"/>
  <c r="Y280" i="7"/>
  <c r="Y143" i="7"/>
  <c r="AB187" i="7"/>
  <c r="AB182" i="7"/>
  <c r="AA187" i="7"/>
  <c r="AA182" i="7"/>
  <c r="AA188" i="7"/>
  <c r="AA137" i="7"/>
  <c r="AA142" i="7"/>
  <c r="Q10" i="27"/>
  <c r="AA95" i="7"/>
  <c r="AA90" i="7"/>
  <c r="AA96" i="7"/>
  <c r="AA279" i="7"/>
  <c r="AA274" i="7"/>
  <c r="AB90" i="7"/>
  <c r="AB95" i="7"/>
  <c r="AB96" i="7"/>
  <c r="AA45" i="7"/>
  <c r="AA50" i="7"/>
  <c r="AA51" i="7"/>
  <c r="AB50" i="7"/>
  <c r="AB45" i="7"/>
  <c r="AB51" i="7"/>
  <c r="AB234" i="7"/>
  <c r="AB229" i="7"/>
  <c r="AA229" i="7"/>
  <c r="AA234" i="7"/>
  <c r="J68" i="23"/>
  <c r="O67" i="23"/>
  <c r="P11" i="27"/>
  <c r="AB137" i="7"/>
  <c r="AB142" i="7"/>
  <c r="AB274" i="7"/>
  <c r="AB279" i="7"/>
  <c r="AB280" i="7"/>
  <c r="S153" i="6"/>
  <c r="AB256" i="7"/>
  <c r="N153" i="6"/>
  <c r="AB27" i="7"/>
  <c r="M153" i="6"/>
  <c r="AB255" i="7"/>
  <c r="L153" i="6"/>
  <c r="AB210" i="7"/>
  <c r="I153" i="6"/>
  <c r="AB71" i="7"/>
  <c r="R153" i="6"/>
  <c r="AB211" i="7"/>
  <c r="K153" i="6"/>
  <c r="AB163" i="7"/>
  <c r="P153" i="6"/>
  <c r="AB119" i="7"/>
  <c r="Q153" i="6"/>
  <c r="AB164" i="7"/>
  <c r="O153" i="6"/>
  <c r="AB72" i="7"/>
  <c r="J153" i="6"/>
  <c r="AB118" i="7"/>
  <c r="R10" i="27"/>
  <c r="AB143" i="7"/>
  <c r="AB188" i="7"/>
  <c r="K154" i="6"/>
  <c r="Q154" i="6"/>
  <c r="P154" i="6"/>
  <c r="AC119" i="7"/>
  <c r="J154" i="6"/>
  <c r="AC118" i="7"/>
  <c r="O154" i="6"/>
  <c r="L154" i="6"/>
  <c r="N154" i="6"/>
  <c r="AC27" i="7"/>
  <c r="S154" i="6"/>
  <c r="AC256" i="7"/>
  <c r="R154" i="6"/>
  <c r="I154" i="6"/>
  <c r="AC71" i="7"/>
  <c r="M154" i="6"/>
  <c r="AC255" i="7"/>
  <c r="AD212" i="7"/>
  <c r="AD209" i="7"/>
  <c r="AD214" i="7"/>
  <c r="AD165" i="7"/>
  <c r="AD162" i="7"/>
  <c r="AD167" i="7"/>
  <c r="AC120" i="7"/>
  <c r="AC117" i="7"/>
  <c r="AC122" i="7"/>
  <c r="AC165" i="7"/>
  <c r="AC162" i="7"/>
  <c r="AC167" i="7"/>
  <c r="AC211" i="7"/>
  <c r="AD28" i="7"/>
  <c r="AD25" i="7"/>
  <c r="AD30" i="7"/>
  <c r="AC163" i="7"/>
  <c r="AD73" i="7"/>
  <c r="AD70" i="7"/>
  <c r="AD75" i="7"/>
  <c r="AC26" i="7"/>
  <c r="AC73" i="7"/>
  <c r="AC70" i="7"/>
  <c r="AC75" i="7"/>
  <c r="AD120" i="7"/>
  <c r="AD117" i="7"/>
  <c r="AD122" i="7"/>
  <c r="AC212" i="7"/>
  <c r="AC209" i="7"/>
  <c r="AC214" i="7"/>
  <c r="AC28" i="7"/>
  <c r="AC25" i="7"/>
  <c r="AC30" i="7"/>
  <c r="AC257" i="7"/>
  <c r="AC254" i="7"/>
  <c r="AC259" i="7"/>
  <c r="AC72" i="7"/>
  <c r="AC164" i="7"/>
  <c r="AC210" i="7"/>
  <c r="AD257" i="7"/>
  <c r="AD254" i="7"/>
  <c r="AD259" i="7"/>
  <c r="AD26" i="7"/>
  <c r="AA235" i="7"/>
  <c r="Q11" i="27"/>
  <c r="R11" i="27"/>
  <c r="J69" i="23"/>
  <c r="O68" i="23"/>
  <c r="AB235" i="7"/>
  <c r="AA280" i="7"/>
  <c r="AA143" i="7"/>
  <c r="J70" i="23"/>
  <c r="O69" i="23"/>
  <c r="AC234" i="7"/>
  <c r="AC229" i="7"/>
  <c r="AC235" i="7"/>
  <c r="AD274" i="7"/>
  <c r="AD279" i="7"/>
  <c r="AD280" i="7"/>
  <c r="AC142" i="7"/>
  <c r="AC137" i="7"/>
  <c r="AC143" i="7"/>
  <c r="S10" i="27"/>
  <c r="AC279" i="7"/>
  <c r="AC274" i="7"/>
  <c r="AC280" i="7"/>
  <c r="AC45" i="7"/>
  <c r="AC50" i="7"/>
  <c r="AC90" i="7"/>
  <c r="AC95" i="7"/>
  <c r="AD95" i="7"/>
  <c r="AD90" i="7"/>
  <c r="AD96" i="7"/>
  <c r="AD182" i="7"/>
  <c r="AD187" i="7"/>
  <c r="AD50" i="7"/>
  <c r="AD45" i="7"/>
  <c r="AD51" i="7"/>
  <c r="AC187" i="7"/>
  <c r="AC182" i="7"/>
  <c r="AD142" i="7"/>
  <c r="AD137" i="7"/>
  <c r="AD143" i="7"/>
  <c r="AD229" i="7"/>
  <c r="AD234" i="7"/>
  <c r="AD235" i="7"/>
  <c r="J155" i="6"/>
  <c r="S155" i="6"/>
  <c r="AD256" i="7"/>
  <c r="I155" i="6"/>
  <c r="AD71" i="7"/>
  <c r="N155" i="6"/>
  <c r="AD27" i="7"/>
  <c r="O155" i="6"/>
  <c r="AD72" i="7"/>
  <c r="M155" i="6"/>
  <c r="AD255" i="7"/>
  <c r="R155" i="6"/>
  <c r="AD211" i="7"/>
  <c r="K155" i="6"/>
  <c r="AD163" i="7"/>
  <c r="Q155" i="6"/>
  <c r="AD164" i="7"/>
  <c r="L155" i="6"/>
  <c r="AD210" i="7"/>
  <c r="P155" i="6"/>
  <c r="AD119" i="7"/>
  <c r="N156" i="6"/>
  <c r="R156" i="6"/>
  <c r="K156" i="6"/>
  <c r="L156" i="6"/>
  <c r="I156" i="6"/>
  <c r="J156" i="6"/>
  <c r="O156" i="6"/>
  <c r="P156" i="6"/>
  <c r="Q156" i="6"/>
  <c r="S156" i="6"/>
  <c r="M156" i="6"/>
  <c r="AE73" i="7"/>
  <c r="AE70" i="7"/>
  <c r="AE75" i="7"/>
  <c r="AE120" i="7"/>
  <c r="AE117" i="7"/>
  <c r="AE122" i="7"/>
  <c r="AE164" i="7"/>
  <c r="AE71" i="7"/>
  <c r="AE119" i="7"/>
  <c r="AE212" i="7"/>
  <c r="AE209" i="7"/>
  <c r="AE214" i="7"/>
  <c r="AE165" i="7"/>
  <c r="AE162" i="7"/>
  <c r="AE167" i="7"/>
  <c r="AF257" i="7"/>
  <c r="AF254" i="7"/>
  <c r="AF259" i="7"/>
  <c r="AE210" i="7"/>
  <c r="AE26" i="7"/>
  <c r="AE257" i="7"/>
  <c r="AE254" i="7"/>
  <c r="AE259" i="7"/>
  <c r="AE255" i="7"/>
  <c r="AE27" i="7"/>
  <c r="AE28" i="7"/>
  <c r="AE25" i="7"/>
  <c r="AE30" i="7"/>
  <c r="AD188" i="7"/>
  <c r="T10" i="27"/>
  <c r="AC188" i="7"/>
  <c r="O70" i="23"/>
  <c r="J71" i="23"/>
  <c r="AC96" i="7"/>
  <c r="S11" i="27"/>
  <c r="T11" i="27"/>
  <c r="AC51" i="7"/>
  <c r="AF274" i="7"/>
  <c r="AF279" i="7"/>
  <c r="AE234" i="7"/>
  <c r="AE229" i="7"/>
  <c r="U10" i="27"/>
  <c r="U11" i="27"/>
  <c r="J72" i="23"/>
  <c r="O71" i="23"/>
  <c r="AE50" i="7"/>
  <c r="AE45" i="7"/>
  <c r="AE279" i="7"/>
  <c r="AE274" i="7"/>
  <c r="AE280" i="7"/>
  <c r="AE182" i="7"/>
  <c r="AE187" i="7"/>
  <c r="AE188" i="7"/>
  <c r="I157" i="6"/>
  <c r="N157" i="6"/>
  <c r="K157" i="6"/>
  <c r="L157" i="6"/>
  <c r="M157" i="6"/>
  <c r="R157" i="6"/>
  <c r="S157" i="6"/>
  <c r="Q157" i="6"/>
  <c r="O157" i="6"/>
  <c r="J157" i="6"/>
  <c r="P157" i="6"/>
  <c r="AE142" i="7"/>
  <c r="AE137" i="7"/>
  <c r="AE90" i="7"/>
  <c r="AE95" i="7"/>
  <c r="AE96" i="7"/>
  <c r="O158" i="6"/>
  <c r="P158" i="6"/>
  <c r="M158" i="6"/>
  <c r="S158" i="6"/>
  <c r="F159" i="6"/>
  <c r="Q158" i="6"/>
  <c r="J158" i="6"/>
  <c r="I158" i="6"/>
  <c r="K158" i="6"/>
  <c r="L158" i="6"/>
  <c r="R158" i="6"/>
  <c r="N158" i="6"/>
  <c r="AE235" i="7"/>
  <c r="AF280" i="7"/>
  <c r="O72" i="23"/>
  <c r="J73" i="23"/>
  <c r="V10" i="27"/>
  <c r="V11" i="27"/>
  <c r="AE143" i="7"/>
  <c r="AE51" i="7"/>
  <c r="O73" i="23"/>
  <c r="J74" i="23"/>
  <c r="O74" i="23"/>
  <c r="Q159" i="6"/>
  <c r="L159" i="6"/>
  <c r="H159" i="6"/>
  <c r="J159" i="6"/>
  <c r="F160" i="6"/>
  <c r="K159" i="6"/>
  <c r="I159" i="6"/>
  <c r="N159" i="6"/>
  <c r="O159" i="6"/>
  <c r="P159" i="6"/>
  <c r="M159" i="6"/>
  <c r="R159" i="6"/>
  <c r="S159" i="6"/>
  <c r="W10" i="27"/>
  <c r="X10" i="27"/>
  <c r="W11" i="27"/>
  <c r="H160" i="6"/>
  <c r="N160" i="6"/>
  <c r="M160" i="6"/>
  <c r="K160" i="6"/>
  <c r="L160" i="6"/>
  <c r="I160" i="6"/>
  <c r="R160" i="6"/>
  <c r="O160" i="6"/>
  <c r="P160" i="6"/>
  <c r="Q160" i="6"/>
  <c r="S160" i="6"/>
  <c r="F161" i="6"/>
  <c r="J160" i="6"/>
  <c r="Y10" i="27"/>
  <c r="I161" i="6"/>
  <c r="N161" i="6"/>
  <c r="K161" i="6"/>
  <c r="F162" i="6"/>
  <c r="M161" i="6"/>
  <c r="R161" i="6"/>
  <c r="S161" i="6"/>
  <c r="Q161" i="6"/>
  <c r="H161" i="6"/>
  <c r="L161" i="6"/>
  <c r="J161" i="6"/>
  <c r="P161" i="6"/>
  <c r="O161" i="6"/>
  <c r="X11" i="27"/>
  <c r="Y11" i="27"/>
  <c r="Z10" i="27"/>
  <c r="O162" i="6"/>
  <c r="P162" i="6"/>
  <c r="M162" i="6"/>
  <c r="S162" i="6"/>
  <c r="F163" i="6"/>
  <c r="I162" i="6"/>
  <c r="H162" i="6"/>
  <c r="J162" i="6"/>
  <c r="N162" i="6"/>
  <c r="K162" i="6"/>
  <c r="L162" i="6"/>
  <c r="R162" i="6"/>
  <c r="Q162" i="6"/>
  <c r="AA10" i="27"/>
  <c r="Q163" i="6"/>
  <c r="L163" i="6"/>
  <c r="P163" i="6"/>
  <c r="J163" i="6"/>
  <c r="F164" i="6"/>
  <c r="S163" i="6"/>
  <c r="I163" i="6"/>
  <c r="N163" i="6"/>
  <c r="O163" i="6"/>
  <c r="H163" i="6"/>
  <c r="M163" i="6"/>
  <c r="R163" i="6"/>
  <c r="K163" i="6"/>
  <c r="Z11" i="27"/>
  <c r="AA11" i="27"/>
  <c r="O164" i="6"/>
  <c r="P164" i="6"/>
  <c r="Q164" i="6"/>
  <c r="S164" i="6"/>
  <c r="F165" i="6"/>
  <c r="M164" i="6"/>
  <c r="H164" i="6"/>
  <c r="N164" i="6"/>
  <c r="R164" i="6"/>
  <c r="K164" i="6"/>
  <c r="L164" i="6"/>
  <c r="I164" i="6"/>
  <c r="J164" i="6"/>
  <c r="AB10" i="27"/>
  <c r="AB11" i="27"/>
  <c r="AC10" i="27"/>
  <c r="I165" i="6"/>
  <c r="N165" i="6"/>
  <c r="K165" i="6"/>
  <c r="L165" i="6"/>
  <c r="M165" i="6"/>
  <c r="R165" i="6"/>
  <c r="S165" i="6"/>
  <c r="Q165" i="6"/>
  <c r="H165" i="6"/>
  <c r="O165" i="6"/>
  <c r="J165" i="6"/>
  <c r="P165" i="6"/>
  <c r="F166" i="6"/>
  <c r="K166" i="6"/>
  <c r="L166" i="6"/>
  <c r="R166" i="6"/>
  <c r="N166" i="6"/>
  <c r="O166" i="6"/>
  <c r="P166" i="6"/>
  <c r="M166" i="6"/>
  <c r="S166" i="6"/>
  <c r="F167" i="6"/>
  <c r="Q166" i="6"/>
  <c r="H166" i="6"/>
  <c r="J166" i="6"/>
  <c r="I166" i="6"/>
  <c r="AD10" i="27"/>
  <c r="AC11" i="27"/>
  <c r="AD11" i="27"/>
  <c r="AE10" i="27"/>
  <c r="M167" i="6"/>
  <c r="R167" i="6"/>
  <c r="S167" i="6"/>
  <c r="Q167" i="6"/>
  <c r="L167" i="6"/>
  <c r="H167" i="6"/>
  <c r="J167" i="6"/>
  <c r="F168" i="6"/>
  <c r="K167" i="6"/>
  <c r="I167" i="6"/>
  <c r="N167" i="6"/>
  <c r="O167" i="6"/>
  <c r="P167" i="6"/>
  <c r="K168" i="6"/>
  <c r="L168" i="6"/>
  <c r="I168" i="6"/>
  <c r="R168" i="6"/>
  <c r="O168" i="6"/>
  <c r="P168" i="6"/>
  <c r="Q168" i="6"/>
  <c r="S168" i="6"/>
  <c r="F169" i="6"/>
  <c r="J168" i="6"/>
  <c r="H168" i="6"/>
  <c r="N168" i="6"/>
  <c r="M168" i="6"/>
  <c r="AF10" i="27"/>
  <c r="AE11" i="27"/>
  <c r="J169" i="6"/>
  <c r="P169" i="6"/>
  <c r="O169" i="6"/>
  <c r="I169" i="6"/>
  <c r="N169" i="6"/>
  <c r="K169" i="6"/>
  <c r="F170" i="6"/>
  <c r="M169" i="6"/>
  <c r="R169" i="6"/>
  <c r="S169" i="6"/>
  <c r="Q169" i="6"/>
  <c r="H169" i="6"/>
  <c r="L169" i="6"/>
  <c r="AF11" i="27"/>
  <c r="AG10" i="27"/>
  <c r="S170" i="6"/>
  <c r="F171" i="6"/>
  <c r="I170" i="6"/>
  <c r="H170" i="6"/>
  <c r="J170" i="6"/>
  <c r="N170" i="6"/>
  <c r="K170" i="6"/>
  <c r="L170" i="6"/>
  <c r="R170" i="6"/>
  <c r="Q170" i="6"/>
  <c r="O170" i="6"/>
  <c r="P170" i="6"/>
  <c r="M170" i="6"/>
  <c r="AH10" i="27"/>
  <c r="AG11" i="27"/>
  <c r="AH11" i="27"/>
  <c r="M171" i="6"/>
  <c r="R171" i="6"/>
  <c r="K171" i="6"/>
  <c r="Q171" i="6"/>
  <c r="L171" i="6"/>
  <c r="P171" i="6"/>
  <c r="J171" i="6"/>
  <c r="F172" i="6"/>
  <c r="H171" i="6"/>
  <c r="I171" i="6"/>
  <c r="N171" i="6"/>
  <c r="O171" i="6"/>
  <c r="S171" i="6"/>
  <c r="AI10" i="27"/>
  <c r="AJ10" i="27"/>
  <c r="K172" i="6"/>
  <c r="R172" i="6"/>
  <c r="M172" i="6"/>
  <c r="J172" i="6"/>
  <c r="H172" i="6"/>
  <c r="I172" i="6"/>
  <c r="P172" i="6"/>
  <c r="L172" i="6"/>
  <c r="O172" i="6"/>
  <c r="Q172" i="6"/>
  <c r="N172" i="6"/>
  <c r="S172" i="6"/>
  <c r="F173" i="6"/>
  <c r="AI11" i="27"/>
  <c r="AJ11" i="27"/>
  <c r="AK10" i="27"/>
  <c r="F174" i="6"/>
  <c r="O173" i="6"/>
  <c r="K173" i="6"/>
  <c r="H173" i="6"/>
  <c r="I173" i="6"/>
  <c r="J173" i="6"/>
  <c r="N173" i="6"/>
  <c r="L173" i="6"/>
  <c r="M173" i="6"/>
  <c r="R173" i="6"/>
  <c r="P173" i="6"/>
  <c r="Q173" i="6"/>
  <c r="S173" i="6"/>
  <c r="AL10" i="27"/>
  <c r="R174" i="6"/>
  <c r="I174" i="6"/>
  <c r="H174" i="6"/>
  <c r="K174" i="6"/>
  <c r="Q174" i="6"/>
  <c r="M174" i="6"/>
  <c r="J174" i="6"/>
  <c r="O174" i="6"/>
  <c r="L174" i="6"/>
  <c r="P174" i="6"/>
  <c r="N174" i="6"/>
  <c r="S174" i="6"/>
  <c r="F175" i="6"/>
  <c r="AK11" i="27"/>
  <c r="AL11" i="27"/>
  <c r="AM10" i="27"/>
  <c r="L175" i="6"/>
  <c r="M175" i="6"/>
  <c r="N175" i="6"/>
  <c r="P175" i="6"/>
  <c r="Q175" i="6"/>
  <c r="J175" i="6"/>
  <c r="F176" i="6"/>
  <c r="K175" i="6"/>
  <c r="O175" i="6"/>
  <c r="H175" i="6"/>
  <c r="I175" i="6"/>
  <c r="S175" i="6"/>
  <c r="R175" i="6"/>
  <c r="J176" i="6"/>
  <c r="O176" i="6"/>
  <c r="P176" i="6"/>
  <c r="F177" i="6"/>
  <c r="N176" i="6"/>
  <c r="S176" i="6"/>
  <c r="I176" i="6"/>
  <c r="R176" i="6"/>
  <c r="M176" i="6"/>
  <c r="L176" i="6"/>
  <c r="K176" i="6"/>
  <c r="H176" i="6"/>
  <c r="Q176" i="6"/>
  <c r="AN10" i="27"/>
  <c r="AM11" i="27"/>
  <c r="AN11" i="27"/>
  <c r="F178" i="6"/>
  <c r="O177" i="6"/>
  <c r="N177" i="6"/>
  <c r="H177" i="6"/>
  <c r="I177" i="6"/>
  <c r="J177" i="6"/>
  <c r="S177" i="6"/>
  <c r="L177" i="6"/>
  <c r="M177" i="6"/>
  <c r="R177" i="6"/>
  <c r="P177" i="6"/>
  <c r="Q177" i="6"/>
  <c r="K177" i="6"/>
  <c r="AO10" i="27"/>
  <c r="AP10" i="27"/>
  <c r="R178" i="6"/>
  <c r="I178" i="6"/>
  <c r="M178" i="6"/>
  <c r="K178" i="6"/>
  <c r="Q178" i="6"/>
  <c r="P178" i="6"/>
  <c r="J178" i="6"/>
  <c r="O178" i="6"/>
  <c r="L178" i="6"/>
  <c r="H178" i="6"/>
  <c r="N178" i="6"/>
  <c r="S178" i="6"/>
  <c r="F179" i="6"/>
  <c r="AO11" i="27"/>
  <c r="AP11" i="27"/>
  <c r="AP47" i="27"/>
  <c r="AP48" i="27"/>
  <c r="AP49" i="27"/>
  <c r="AP56" i="27"/>
  <c r="AP57" i="27"/>
  <c r="AP39" i="27"/>
  <c r="AP40" i="27"/>
  <c r="AP41" i="27"/>
  <c r="AP25" i="27"/>
  <c r="AP24" i="27"/>
  <c r="AQ10" i="27"/>
  <c r="L179" i="6"/>
  <c r="M179" i="6"/>
  <c r="N179" i="6"/>
  <c r="P179" i="6"/>
  <c r="Q179" i="6"/>
  <c r="O179" i="6"/>
  <c r="F180" i="6"/>
  <c r="K179" i="6"/>
  <c r="R179" i="6"/>
  <c r="H179" i="6"/>
  <c r="I179" i="6"/>
  <c r="S179" i="6"/>
  <c r="J179" i="6"/>
  <c r="AQ47" i="27"/>
  <c r="AQ48" i="27"/>
  <c r="AQ49" i="27"/>
  <c r="AQ25" i="27"/>
  <c r="AQ56" i="27"/>
  <c r="AQ57" i="27"/>
  <c r="AQ24" i="27"/>
  <c r="AQ39" i="27"/>
  <c r="AQ40" i="27"/>
  <c r="AQ41" i="27"/>
  <c r="AR10" i="27"/>
  <c r="J180" i="6"/>
  <c r="O180" i="6"/>
  <c r="P180" i="6"/>
  <c r="L180" i="6"/>
  <c r="N180" i="6"/>
  <c r="S180" i="6"/>
  <c r="Q180" i="6"/>
  <c r="R180" i="6"/>
  <c r="M180" i="6"/>
  <c r="F181" i="6"/>
  <c r="K180" i="6"/>
  <c r="H180" i="6"/>
  <c r="I180" i="6"/>
  <c r="AQ11" i="27"/>
  <c r="AR11" i="27"/>
  <c r="F182" i="6"/>
  <c r="O181" i="6"/>
  <c r="K181" i="6"/>
  <c r="H181" i="6"/>
  <c r="I181" i="6"/>
  <c r="J181" i="6"/>
  <c r="N181" i="6"/>
  <c r="L181" i="6"/>
  <c r="M181" i="6"/>
  <c r="R181" i="6"/>
  <c r="P181" i="6"/>
  <c r="Q181" i="6"/>
  <c r="S181" i="6"/>
  <c r="AR47" i="27"/>
  <c r="AR48" i="27"/>
  <c r="AR49" i="27"/>
  <c r="AR56" i="27"/>
  <c r="AR57" i="27"/>
  <c r="AR25" i="27"/>
  <c r="AR39" i="27"/>
  <c r="AR40" i="27"/>
  <c r="AR41" i="27"/>
  <c r="AR24" i="27"/>
  <c r="AS10" i="27"/>
  <c r="AS47" i="27"/>
  <c r="AS48" i="27"/>
  <c r="AS49" i="27"/>
  <c r="AS24" i="27"/>
  <c r="AS25" i="27"/>
  <c r="AS39" i="27"/>
  <c r="AS40" i="27"/>
  <c r="AS41" i="27"/>
  <c r="AS56" i="27"/>
  <c r="AS57" i="27"/>
  <c r="AT10" i="27"/>
  <c r="R182" i="6"/>
  <c r="I182" i="6"/>
  <c r="M182" i="6"/>
  <c r="K182" i="6"/>
  <c r="Q182" i="6"/>
  <c r="P182" i="6"/>
  <c r="J182" i="6"/>
  <c r="O182" i="6"/>
  <c r="L182" i="6"/>
  <c r="N182" i="6"/>
  <c r="S182" i="6"/>
  <c r="H182" i="6"/>
  <c r="AS11" i="27"/>
  <c r="AT11" i="27"/>
  <c r="AG72" i="7"/>
  <c r="AQ73" i="7"/>
  <c r="AQ70" i="7"/>
  <c r="AQ75" i="7"/>
  <c r="AI257" i="7"/>
  <c r="AI254" i="7"/>
  <c r="AI259" i="7"/>
  <c r="AP257" i="7"/>
  <c r="AP254" i="7"/>
  <c r="AP259" i="7"/>
  <c r="BB119" i="7"/>
  <c r="BB165" i="7"/>
  <c r="BB162" i="7"/>
  <c r="BB167" i="7"/>
  <c r="AT256" i="7"/>
  <c r="AQ256" i="7"/>
  <c r="AN163" i="7"/>
  <c r="AF164" i="7"/>
  <c r="BB211" i="7"/>
  <c r="BA27" i="7"/>
  <c r="AM28" i="7"/>
  <c r="AM25" i="7"/>
  <c r="AM30" i="7"/>
  <c r="AJ28" i="7"/>
  <c r="AJ25" i="7"/>
  <c r="AJ30" i="7"/>
  <c r="AD118" i="7"/>
  <c r="AJ255" i="7"/>
  <c r="AE72" i="7"/>
  <c r="AZ257" i="7"/>
  <c r="AZ254" i="7"/>
  <c r="AZ259" i="7"/>
  <c r="BA211" i="7"/>
  <c r="BC71" i="7"/>
  <c r="AT28" i="7"/>
  <c r="AT25" i="7"/>
  <c r="AT30" i="7"/>
  <c r="BD165" i="7"/>
  <c r="BD162" i="7"/>
  <c r="BD167" i="7"/>
  <c r="BB255" i="7"/>
  <c r="AV165" i="7"/>
  <c r="AV162" i="7"/>
  <c r="AV167" i="7"/>
  <c r="AO26" i="7"/>
  <c r="AK27" i="7"/>
  <c r="AZ118" i="7"/>
  <c r="AX164" i="7"/>
  <c r="BC255" i="7"/>
  <c r="AY71" i="7"/>
  <c r="AG118" i="7"/>
  <c r="AG164" i="7"/>
  <c r="AJ71" i="7"/>
  <c r="AT120" i="7"/>
  <c r="AT117" i="7"/>
  <c r="AT122" i="7"/>
  <c r="BD120" i="7"/>
  <c r="BD117" i="7"/>
  <c r="BD122" i="7"/>
  <c r="AY256" i="7"/>
  <c r="AH257" i="7"/>
  <c r="AH254" i="7"/>
  <c r="AH259" i="7"/>
  <c r="BC256" i="7"/>
  <c r="AH72" i="7"/>
  <c r="AW257" i="7"/>
  <c r="AW254" i="7"/>
  <c r="AW259" i="7"/>
  <c r="AR257" i="7"/>
  <c r="AR254" i="7"/>
  <c r="AR259" i="7"/>
  <c r="AH28" i="7"/>
  <c r="AH25" i="7"/>
  <c r="AH30" i="7"/>
  <c r="AL72" i="7"/>
  <c r="AS163" i="7"/>
  <c r="AG257" i="7"/>
  <c r="AG254" i="7"/>
  <c r="AG259" i="7"/>
  <c r="AX163" i="7"/>
  <c r="AT212" i="7"/>
  <c r="AT209" i="7"/>
  <c r="AT214" i="7"/>
  <c r="AL257" i="7"/>
  <c r="AL254" i="7"/>
  <c r="AL259" i="7"/>
  <c r="AX27" i="7"/>
  <c r="AZ27" i="7"/>
  <c r="BE165" i="7"/>
  <c r="BE162" i="7"/>
  <c r="BE167" i="7"/>
  <c r="BC212" i="7"/>
  <c r="BC209" i="7"/>
  <c r="BC214" i="7"/>
  <c r="AU120" i="7"/>
  <c r="AU117" i="7"/>
  <c r="AU122" i="7"/>
  <c r="AG26" i="7"/>
  <c r="BC257" i="7"/>
  <c r="BC254" i="7"/>
  <c r="BC259" i="7"/>
  <c r="BD28" i="7"/>
  <c r="BD25" i="7"/>
  <c r="BD30" i="7"/>
  <c r="AU255" i="7"/>
  <c r="AW27" i="7"/>
  <c r="BB27" i="7"/>
  <c r="AU256" i="7"/>
  <c r="BD210" i="7"/>
  <c r="AS255" i="7"/>
  <c r="AM27" i="7"/>
  <c r="AO118" i="7"/>
  <c r="AP165" i="7"/>
  <c r="AP162" i="7"/>
  <c r="AP167" i="7"/>
  <c r="AN211" i="7"/>
  <c r="AN71" i="7"/>
  <c r="AS120" i="7"/>
  <c r="AS117" i="7"/>
  <c r="AS122" i="7"/>
  <c r="AR256" i="7"/>
  <c r="AR26" i="7"/>
  <c r="AF28" i="7"/>
  <c r="AF25" i="7"/>
  <c r="AF30" i="7"/>
  <c r="AH27" i="7"/>
  <c r="AL118" i="7"/>
  <c r="AX255" i="7"/>
  <c r="BE212" i="7"/>
  <c r="BE209" i="7"/>
  <c r="BE214" i="7"/>
  <c r="AW255" i="7"/>
  <c r="AM163" i="7"/>
  <c r="AJ27" i="7"/>
  <c r="BD26" i="7"/>
  <c r="AN26" i="7"/>
  <c r="AW73" i="7"/>
  <c r="AW70" i="7"/>
  <c r="AW75" i="7"/>
  <c r="AJ211" i="7"/>
  <c r="AO163" i="7"/>
  <c r="AN120" i="7"/>
  <c r="AN117" i="7"/>
  <c r="AN122" i="7"/>
  <c r="BC210" i="7"/>
  <c r="AY26" i="7"/>
  <c r="AN165" i="7"/>
  <c r="AN162" i="7"/>
  <c r="AN167" i="7"/>
  <c r="AQ165" i="7"/>
  <c r="AQ162" i="7"/>
  <c r="AQ167" i="7"/>
  <c r="AP118" i="7"/>
  <c r="BE211" i="7"/>
  <c r="AQ27" i="7"/>
  <c r="BD163" i="7"/>
  <c r="BD71" i="7"/>
  <c r="AK119" i="7"/>
  <c r="BA26" i="7"/>
  <c r="AJ118" i="7"/>
  <c r="AH118" i="7"/>
  <c r="AP164" i="7"/>
  <c r="AL28" i="7"/>
  <c r="AL25" i="7"/>
  <c r="AL30" i="7"/>
  <c r="AX73" i="7"/>
  <c r="AX70" i="7"/>
  <c r="AX75" i="7"/>
  <c r="AJ164" i="7"/>
  <c r="AN27" i="7"/>
  <c r="AP71" i="7"/>
  <c r="AW211" i="7"/>
  <c r="BE255" i="7"/>
  <c r="AL256" i="7"/>
  <c r="AW210" i="7"/>
  <c r="AW165" i="7"/>
  <c r="AW162" i="7"/>
  <c r="AW167" i="7"/>
  <c r="AK165" i="7"/>
  <c r="AK162" i="7"/>
  <c r="AK167" i="7"/>
  <c r="AR73" i="7"/>
  <c r="AR70" i="7"/>
  <c r="AR75" i="7"/>
  <c r="AF163" i="7"/>
  <c r="AK120" i="7"/>
  <c r="AK117" i="7"/>
  <c r="AK122" i="7"/>
  <c r="AU71" i="7"/>
  <c r="AG210" i="7"/>
  <c r="AY211" i="7"/>
  <c r="AZ212" i="7"/>
  <c r="AZ209" i="7"/>
  <c r="AZ214" i="7"/>
  <c r="AI164" i="7"/>
  <c r="AO212" i="7"/>
  <c r="AO209" i="7"/>
  <c r="AO214" i="7"/>
  <c r="BE120" i="7"/>
  <c r="BE117" i="7"/>
  <c r="BE122" i="7"/>
  <c r="BA165" i="7"/>
  <c r="BA162" i="7"/>
  <c r="BA167" i="7"/>
  <c r="AY255" i="7"/>
  <c r="AS118" i="7"/>
  <c r="AZ71" i="7"/>
  <c r="AE211" i="7"/>
  <c r="AK72" i="7"/>
  <c r="AQ72" i="7"/>
  <c r="AO257" i="7"/>
  <c r="AO254" i="7"/>
  <c r="AO259" i="7"/>
  <c r="AL119" i="7"/>
  <c r="AL163" i="7"/>
  <c r="AM73" i="7"/>
  <c r="AM70" i="7"/>
  <c r="AM75" i="7"/>
  <c r="AI71" i="7"/>
  <c r="AX165" i="7"/>
  <c r="AX162" i="7"/>
  <c r="AX167" i="7"/>
  <c r="AX257" i="7"/>
  <c r="AX254" i="7"/>
  <c r="AX259" i="7"/>
  <c r="AW71" i="7"/>
  <c r="AG71" i="7"/>
  <c r="AS28" i="7"/>
  <c r="AS25" i="7"/>
  <c r="AS30" i="7"/>
  <c r="AZ210" i="7"/>
  <c r="AF71" i="7"/>
  <c r="BC118" i="7"/>
  <c r="AR118" i="7"/>
  <c r="AG120" i="7"/>
  <c r="AG117" i="7"/>
  <c r="AG122" i="7"/>
  <c r="BA119" i="7"/>
  <c r="AU211" i="7"/>
  <c r="AV255" i="7"/>
  <c r="AI210" i="7"/>
  <c r="AT73" i="7"/>
  <c r="AT70" i="7"/>
  <c r="AT75" i="7"/>
  <c r="AL210" i="7"/>
  <c r="BD27" i="7"/>
  <c r="AS164" i="7"/>
  <c r="AY257" i="7"/>
  <c r="AY254" i="7"/>
  <c r="AY259" i="7"/>
  <c r="BE28" i="7"/>
  <c r="BE25" i="7"/>
  <c r="BE30" i="7"/>
  <c r="AR163" i="7"/>
  <c r="AQ210" i="7"/>
  <c r="AI26" i="7"/>
  <c r="AU210" i="7"/>
  <c r="AI211" i="7"/>
  <c r="AY212" i="7"/>
  <c r="AY209" i="7"/>
  <c r="AY214" i="7"/>
  <c r="AW212" i="7"/>
  <c r="AW209" i="7"/>
  <c r="AW214" i="7"/>
  <c r="AM26" i="7"/>
  <c r="AR72" i="7"/>
  <c r="AS73" i="7"/>
  <c r="AS70" i="7"/>
  <c r="AS75" i="7"/>
  <c r="AX28" i="7"/>
  <c r="AX25" i="7"/>
  <c r="AX30" i="7"/>
  <c r="AQ163" i="7"/>
  <c r="AT257" i="7"/>
  <c r="AT254" i="7"/>
  <c r="AT259" i="7"/>
  <c r="AZ255" i="7"/>
  <c r="AZ72" i="7"/>
  <c r="AM165" i="7"/>
  <c r="AM162" i="7"/>
  <c r="AM167" i="7"/>
  <c r="AG256" i="7"/>
  <c r="AO211" i="7"/>
  <c r="BC120" i="7"/>
  <c r="BC117" i="7"/>
  <c r="BC122" i="7"/>
  <c r="AU73" i="7"/>
  <c r="AU70" i="7"/>
  <c r="AU75" i="7"/>
  <c r="BA71" i="7"/>
  <c r="AV120" i="7"/>
  <c r="AV117" i="7"/>
  <c r="AV122" i="7"/>
  <c r="AR119" i="7"/>
  <c r="BB26" i="7"/>
  <c r="AW163" i="7"/>
  <c r="AF120" i="7"/>
  <c r="AF117" i="7"/>
  <c r="AF122" i="7"/>
  <c r="BE210" i="7"/>
  <c r="BA257" i="7"/>
  <c r="BA254" i="7"/>
  <c r="BA259" i="7"/>
  <c r="AL71" i="7"/>
  <c r="AQ164" i="7"/>
  <c r="AN28" i="7"/>
  <c r="AN25" i="7"/>
  <c r="AN30" i="7"/>
  <c r="AX71" i="7"/>
  <c r="AH26" i="7"/>
  <c r="AO210" i="7"/>
  <c r="AP256" i="7"/>
  <c r="AY119" i="7"/>
  <c r="BB212" i="7"/>
  <c r="BB209" i="7"/>
  <c r="BB214" i="7"/>
  <c r="AL164" i="7"/>
  <c r="AF210" i="7"/>
  <c r="AQ28" i="7"/>
  <c r="AQ25" i="7"/>
  <c r="AQ30" i="7"/>
  <c r="BE119" i="7"/>
  <c r="AU212" i="7"/>
  <c r="AU209" i="7"/>
  <c r="AU214" i="7"/>
  <c r="AP27" i="7"/>
  <c r="AV118" i="7"/>
  <c r="AM212" i="7"/>
  <c r="AM209" i="7"/>
  <c r="AM214" i="7"/>
  <c r="AT72" i="7"/>
  <c r="AK28" i="7"/>
  <c r="AK25" i="7"/>
  <c r="AK30" i="7"/>
  <c r="AP73" i="7"/>
  <c r="AP70" i="7"/>
  <c r="AP75" i="7"/>
  <c r="AZ26" i="7"/>
  <c r="BD255" i="7"/>
  <c r="AJ163" i="7"/>
  <c r="BB257" i="7"/>
  <c r="BB254" i="7"/>
  <c r="BB259" i="7"/>
  <c r="BB210" i="7"/>
  <c r="BC73" i="7"/>
  <c r="BC70" i="7"/>
  <c r="BC75" i="7"/>
  <c r="AX120" i="7"/>
  <c r="AX117" i="7"/>
  <c r="AX122" i="7"/>
  <c r="AR120" i="7"/>
  <c r="AR117" i="7"/>
  <c r="AR122" i="7"/>
  <c r="AU163" i="7"/>
  <c r="AS210" i="7"/>
  <c r="AH165" i="7"/>
  <c r="AH162" i="7"/>
  <c r="AH167" i="7"/>
  <c r="AG165" i="7"/>
  <c r="AG162" i="7"/>
  <c r="AG167" i="7"/>
  <c r="BC119" i="7"/>
  <c r="AX212" i="7"/>
  <c r="AX209" i="7"/>
  <c r="AX214" i="7"/>
  <c r="AT71" i="7"/>
  <c r="AW118" i="7"/>
  <c r="AP120" i="7"/>
  <c r="AP117" i="7"/>
  <c r="AP122" i="7"/>
  <c r="BE257" i="7"/>
  <c r="BE254" i="7"/>
  <c r="BE259" i="7"/>
  <c r="AM71" i="7"/>
  <c r="AK73" i="7"/>
  <c r="AK70" i="7"/>
  <c r="AK75" i="7"/>
  <c r="AT211" i="7"/>
  <c r="AQ257" i="7"/>
  <c r="AQ254" i="7"/>
  <c r="AQ259" i="7"/>
  <c r="AZ73" i="7"/>
  <c r="AZ70" i="7"/>
  <c r="AZ75" i="7"/>
  <c r="AF119" i="7"/>
  <c r="AV163" i="7"/>
  <c r="AU257" i="7"/>
  <c r="AU254" i="7"/>
  <c r="AU259" i="7"/>
  <c r="AJ210" i="7"/>
  <c r="AK255" i="7"/>
  <c r="AK257" i="7"/>
  <c r="AK254" i="7"/>
  <c r="AK259" i="7"/>
  <c r="BB163" i="7"/>
  <c r="BA28" i="7"/>
  <c r="BA25" i="7"/>
  <c r="BA30" i="7"/>
  <c r="AS26" i="7"/>
  <c r="BB71" i="7"/>
  <c r="BD211" i="7"/>
  <c r="BC72" i="7"/>
  <c r="AO164" i="7"/>
  <c r="AT26" i="7"/>
  <c r="BE256" i="7"/>
  <c r="AT118" i="7"/>
  <c r="AK211" i="7"/>
  <c r="BA256" i="7"/>
  <c r="AO73" i="7"/>
  <c r="AO70" i="7"/>
  <c r="AO75" i="7"/>
  <c r="AZ164" i="7"/>
  <c r="AR27" i="7"/>
  <c r="AM118" i="7"/>
  <c r="AY210" i="7"/>
  <c r="AQ120" i="7"/>
  <c r="AQ117" i="7"/>
  <c r="AQ122" i="7"/>
  <c r="AV119" i="7"/>
  <c r="AG119" i="7"/>
  <c r="BD164" i="7"/>
  <c r="AV28" i="7"/>
  <c r="AV25" i="7"/>
  <c r="AV30" i="7"/>
  <c r="AU27" i="7"/>
  <c r="AK164" i="7"/>
  <c r="AK71" i="7"/>
  <c r="AF211" i="7"/>
  <c r="AQ118" i="7"/>
  <c r="AV257" i="7"/>
  <c r="AV254" i="7"/>
  <c r="AV259" i="7"/>
  <c r="AH164" i="7"/>
  <c r="AM255" i="7"/>
  <c r="AU26" i="7"/>
  <c r="AP119" i="7"/>
  <c r="AU164" i="7"/>
  <c r="AK26" i="7"/>
  <c r="AH210" i="7"/>
  <c r="AS27" i="7"/>
  <c r="BB73" i="7"/>
  <c r="BB70" i="7"/>
  <c r="BB75" i="7"/>
  <c r="AW164" i="7"/>
  <c r="AL212" i="7"/>
  <c r="AL209" i="7"/>
  <c r="AL214" i="7"/>
  <c r="BD72" i="7"/>
  <c r="AL255" i="7"/>
  <c r="AO120" i="7"/>
  <c r="AO117" i="7"/>
  <c r="AO122" i="7"/>
  <c r="AY73" i="7"/>
  <c r="AY70" i="7"/>
  <c r="AY75" i="7"/>
  <c r="AJ256" i="7"/>
  <c r="AV73" i="7"/>
  <c r="AV70" i="7"/>
  <c r="AV75" i="7"/>
  <c r="AS119" i="7"/>
  <c r="AT27" i="7"/>
  <c r="AQ26" i="7"/>
  <c r="AP163" i="7"/>
  <c r="AS212" i="7"/>
  <c r="AS209" i="7"/>
  <c r="AS214" i="7"/>
  <c r="AV27" i="7"/>
  <c r="AI118" i="7"/>
  <c r="AF27" i="7"/>
  <c r="AT210" i="7"/>
  <c r="AJ72" i="7"/>
  <c r="AF73" i="7"/>
  <c r="AF70" i="7"/>
  <c r="AF75" i="7"/>
  <c r="AM164" i="7"/>
  <c r="AM256" i="7"/>
  <c r="AI27" i="7"/>
  <c r="BB72" i="7"/>
  <c r="AO71" i="7"/>
  <c r="AV71" i="7"/>
  <c r="AV26" i="7"/>
  <c r="BA163" i="7"/>
  <c r="AW26" i="7"/>
  <c r="AU165" i="7"/>
  <c r="AU162" i="7"/>
  <c r="AU167" i="7"/>
  <c r="BB164" i="7"/>
  <c r="AN119" i="7"/>
  <c r="AK118" i="7"/>
  <c r="AI163" i="7"/>
  <c r="AN212" i="7"/>
  <c r="AN209" i="7"/>
  <c r="AN214" i="7"/>
  <c r="BC211" i="7"/>
  <c r="AH73" i="7"/>
  <c r="AH70" i="7"/>
  <c r="AH75" i="7"/>
  <c r="AW119" i="7"/>
  <c r="BD212" i="7"/>
  <c r="BD209" i="7"/>
  <c r="BD214" i="7"/>
  <c r="AI256" i="7"/>
  <c r="AP72" i="7"/>
  <c r="AW28" i="7"/>
  <c r="AW25" i="7"/>
  <c r="AW30" i="7"/>
  <c r="AZ163" i="7"/>
  <c r="AM119" i="7"/>
  <c r="AE163" i="7"/>
  <c r="AR255" i="7"/>
  <c r="AN73" i="7"/>
  <c r="AN70" i="7"/>
  <c r="AN75" i="7"/>
  <c r="BB118" i="7"/>
  <c r="AH71" i="7"/>
  <c r="AX118" i="7"/>
  <c r="BA210" i="7"/>
  <c r="BD118" i="7"/>
  <c r="AI165" i="7"/>
  <c r="AI162" i="7"/>
  <c r="AI167" i="7"/>
  <c r="AY27" i="7"/>
  <c r="AZ120" i="7"/>
  <c r="AZ117" i="7"/>
  <c r="AZ122" i="7"/>
  <c r="AX26" i="7"/>
  <c r="AT119" i="7"/>
  <c r="AL26" i="7"/>
  <c r="AE118" i="7"/>
  <c r="AI28" i="7"/>
  <c r="AI25" i="7"/>
  <c r="AI30" i="7"/>
  <c r="AR210" i="7"/>
  <c r="AI120" i="7"/>
  <c r="AI117" i="7"/>
  <c r="AI122" i="7"/>
  <c r="AF165" i="7"/>
  <c r="AF162" i="7"/>
  <c r="AF167" i="7"/>
  <c r="AE256" i="7"/>
  <c r="AX256" i="7"/>
  <c r="AZ119" i="7"/>
  <c r="AH211" i="7"/>
  <c r="AH212" i="7"/>
  <c r="AH209" i="7"/>
  <c r="AH214" i="7"/>
  <c r="AM210" i="7"/>
  <c r="AK210" i="7"/>
  <c r="BA73" i="7"/>
  <c r="BA70" i="7"/>
  <c r="BA75" i="7"/>
  <c r="AG27" i="7"/>
  <c r="AZ211" i="7"/>
  <c r="AV72" i="7"/>
  <c r="AV256" i="7"/>
  <c r="AO119" i="7"/>
  <c r="AJ120" i="7"/>
  <c r="AJ117" i="7"/>
  <c r="AJ122" i="7"/>
  <c r="AQ212" i="7"/>
  <c r="AQ209" i="7"/>
  <c r="AQ214" i="7"/>
  <c r="AV164" i="7"/>
  <c r="AY118" i="7"/>
  <c r="AP28" i="7"/>
  <c r="AP25" i="7"/>
  <c r="AP30" i="7"/>
  <c r="BA164" i="7"/>
  <c r="AY120" i="7"/>
  <c r="AY117" i="7"/>
  <c r="AY122" i="7"/>
  <c r="AY165" i="7"/>
  <c r="AY162" i="7"/>
  <c r="AY167" i="7"/>
  <c r="AN118" i="7"/>
  <c r="AX119" i="7"/>
  <c r="BC28" i="7"/>
  <c r="BC25" i="7"/>
  <c r="BC30" i="7"/>
  <c r="AG28" i="7"/>
  <c r="AG25" i="7"/>
  <c r="AG30" i="7"/>
  <c r="AF72" i="7"/>
  <c r="AT163" i="7"/>
  <c r="AN256" i="7"/>
  <c r="AO165" i="7"/>
  <c r="AO162" i="7"/>
  <c r="AO167" i="7"/>
  <c r="AV211" i="7"/>
  <c r="AR211" i="7"/>
  <c r="AZ256" i="7"/>
  <c r="AQ71" i="7"/>
  <c r="AH119" i="7"/>
  <c r="BE72" i="7"/>
  <c r="AX210" i="7"/>
  <c r="AO256" i="7"/>
  <c r="AJ119" i="7"/>
  <c r="AS165" i="7"/>
  <c r="AS162" i="7"/>
  <c r="AS167" i="7"/>
  <c r="AL211" i="7"/>
  <c r="AG163" i="7"/>
  <c r="BA72" i="7"/>
  <c r="AZ165" i="7"/>
  <c r="AZ162" i="7"/>
  <c r="AZ167" i="7"/>
  <c r="AS257" i="7"/>
  <c r="AS254" i="7"/>
  <c r="AS259" i="7"/>
  <c r="AY72" i="7"/>
  <c r="AM120" i="7"/>
  <c r="AM117" i="7"/>
  <c r="AM122" i="7"/>
  <c r="BC26" i="7"/>
  <c r="AG255" i="7"/>
  <c r="AH120" i="7"/>
  <c r="AH117" i="7"/>
  <c r="AH122" i="7"/>
  <c r="AS211" i="7"/>
  <c r="AV210" i="7"/>
  <c r="AW256" i="7"/>
  <c r="BD119" i="7"/>
  <c r="AF212" i="7"/>
  <c r="AF209" i="7"/>
  <c r="AF214" i="7"/>
  <c r="AF26" i="7"/>
  <c r="BA255" i="7"/>
  <c r="AV212" i="7"/>
  <c r="AV209" i="7"/>
  <c r="AV214" i="7"/>
  <c r="AQ119" i="7"/>
  <c r="AG211" i="7"/>
  <c r="AL27" i="7"/>
  <c r="AI73" i="7"/>
  <c r="AI70" i="7"/>
  <c r="AI75" i="7"/>
  <c r="BE73" i="7"/>
  <c r="BE70" i="7"/>
  <c r="BE75" i="7"/>
  <c r="AF118" i="7"/>
  <c r="AT255" i="7"/>
  <c r="AN210" i="7"/>
  <c r="BD256" i="7"/>
  <c r="AN255" i="7"/>
  <c r="AP255" i="7"/>
  <c r="AY28" i="7"/>
  <c r="AY25" i="7"/>
  <c r="AY30" i="7"/>
  <c r="AT164" i="7"/>
  <c r="AU119" i="7"/>
  <c r="AN257" i="7"/>
  <c r="AN254" i="7"/>
  <c r="AN259" i="7"/>
  <c r="AR28" i="7"/>
  <c r="AR25" i="7"/>
  <c r="AR30" i="7"/>
  <c r="AK256" i="7"/>
  <c r="BE118" i="7"/>
  <c r="AP210" i="7"/>
  <c r="BB256" i="7"/>
  <c r="BB28" i="7"/>
  <c r="BB25" i="7"/>
  <c r="BB30" i="7"/>
  <c r="AF256" i="7"/>
  <c r="BA118" i="7"/>
  <c r="AH256" i="7"/>
  <c r="BE26" i="7"/>
  <c r="AJ257" i="7"/>
  <c r="AJ254" i="7"/>
  <c r="AJ259" i="7"/>
  <c r="AQ211" i="7"/>
  <c r="AH163" i="7"/>
  <c r="AU118" i="7"/>
  <c r="AI72" i="7"/>
  <c r="AR165" i="7"/>
  <c r="AR162" i="7"/>
  <c r="AR167" i="7"/>
  <c r="BA120" i="7"/>
  <c r="BA117" i="7"/>
  <c r="BA122" i="7"/>
  <c r="AG73" i="7"/>
  <c r="AG70" i="7"/>
  <c r="AG75" i="7"/>
  <c r="AM72" i="7"/>
  <c r="BB120" i="7"/>
  <c r="BB117" i="7"/>
  <c r="BB122" i="7"/>
  <c r="BC163" i="7"/>
  <c r="AW72" i="7"/>
  <c r="AI212" i="7"/>
  <c r="AI209" i="7"/>
  <c r="AI214" i="7"/>
  <c r="AR71" i="7"/>
  <c r="BC164" i="7"/>
  <c r="AS71" i="7"/>
  <c r="AX72" i="7"/>
  <c r="AU72" i="7"/>
  <c r="BE27" i="7"/>
  <c r="AZ28" i="7"/>
  <c r="AZ25" i="7"/>
  <c r="AZ30" i="7"/>
  <c r="AH255" i="7"/>
  <c r="AP26" i="7"/>
  <c r="AX211" i="7"/>
  <c r="AF255" i="7"/>
  <c r="AK212" i="7"/>
  <c r="AK209" i="7"/>
  <c r="AK214" i="7"/>
  <c r="AR212" i="7"/>
  <c r="AR209" i="7"/>
  <c r="AR214" i="7"/>
  <c r="AM257" i="7"/>
  <c r="AM254" i="7"/>
  <c r="AM259" i="7"/>
  <c r="AO72" i="7"/>
  <c r="AO255" i="7"/>
  <c r="BD257" i="7"/>
  <c r="BD254" i="7"/>
  <c r="BD259" i="7"/>
  <c r="AW120" i="7"/>
  <c r="AW117" i="7"/>
  <c r="AW122" i="7"/>
  <c r="BE164" i="7"/>
  <c r="AU28" i="7"/>
  <c r="AU25" i="7"/>
  <c r="AU30" i="7"/>
  <c r="AI119" i="7"/>
  <c r="BE71" i="7"/>
  <c r="AQ255" i="7"/>
  <c r="AL165" i="7"/>
  <c r="AL162" i="7"/>
  <c r="AL167" i="7"/>
  <c r="AJ73" i="7"/>
  <c r="AJ70" i="7"/>
  <c r="AJ75" i="7"/>
  <c r="AJ212" i="7"/>
  <c r="AJ209" i="7"/>
  <c r="AJ214" i="7"/>
  <c r="AN72" i="7"/>
  <c r="BD73" i="7"/>
  <c r="BD70" i="7"/>
  <c r="BD75" i="7"/>
  <c r="AR164" i="7"/>
  <c r="AY164" i="7"/>
  <c r="AO27" i="7"/>
  <c r="AL120" i="7"/>
  <c r="AL117" i="7"/>
  <c r="AL122" i="7"/>
  <c r="AM211" i="7"/>
  <c r="AO28" i="7"/>
  <c r="AO25" i="7"/>
  <c r="AO30" i="7"/>
  <c r="AS256" i="7"/>
  <c r="AG212" i="7"/>
  <c r="AG209" i="7"/>
  <c r="AG214" i="7"/>
  <c r="AP212" i="7"/>
  <c r="AP209" i="7"/>
  <c r="AP214" i="7"/>
  <c r="AY163" i="7"/>
  <c r="AK163" i="7"/>
  <c r="BC27" i="7"/>
  <c r="AS72" i="7"/>
  <c r="AL73" i="7"/>
  <c r="AL70" i="7"/>
  <c r="AL75" i="7"/>
  <c r="AJ26" i="7"/>
  <c r="AN164" i="7"/>
  <c r="BE163" i="7"/>
  <c r="AI255" i="7"/>
  <c r="BA212" i="7"/>
  <c r="BA209" i="7"/>
  <c r="BA214" i="7"/>
  <c r="BC165" i="7"/>
  <c r="BC162" i="7"/>
  <c r="BC167" i="7"/>
  <c r="AJ165" i="7"/>
  <c r="AJ162" i="7"/>
  <c r="AJ167" i="7"/>
  <c r="AP211" i="7"/>
  <c r="AT165" i="7"/>
  <c r="AT162" i="7"/>
  <c r="AT167" i="7"/>
  <c r="AU10" i="27"/>
  <c r="AU11" i="27"/>
  <c r="AT47" i="27"/>
  <c r="AT48" i="27"/>
  <c r="AT49" i="27"/>
  <c r="AT39" i="27"/>
  <c r="AT40" i="27"/>
  <c r="AT41" i="27"/>
  <c r="AT56" i="27"/>
  <c r="AT57" i="27"/>
  <c r="AT25" i="27"/>
  <c r="AT24" i="27"/>
  <c r="AJ182" i="7"/>
  <c r="AJ187" i="7"/>
  <c r="AU25" i="27"/>
  <c r="AU47" i="27"/>
  <c r="AU48" i="27"/>
  <c r="AU49" i="27"/>
  <c r="AU56" i="27"/>
  <c r="AU57" i="27"/>
  <c r="AU24" i="27"/>
  <c r="AU39" i="27"/>
  <c r="AU40" i="27"/>
  <c r="AU41" i="27"/>
  <c r="AV10" i="27"/>
  <c r="AV11" i="27"/>
  <c r="AL90" i="7"/>
  <c r="AL95" i="7"/>
  <c r="AO45" i="7"/>
  <c r="AO50" i="7"/>
  <c r="AO51" i="7"/>
  <c r="AJ229" i="7"/>
  <c r="AJ234" i="7"/>
  <c r="AW142" i="7"/>
  <c r="AW137" i="7"/>
  <c r="AM279" i="7"/>
  <c r="AM274" i="7"/>
  <c r="AM280" i="7"/>
  <c r="BA142" i="7"/>
  <c r="BA137" i="7"/>
  <c r="AR45" i="7"/>
  <c r="AR50" i="7"/>
  <c r="AY50" i="7"/>
  <c r="AY45" i="7"/>
  <c r="AI95" i="7"/>
  <c r="AI90" i="7"/>
  <c r="AI96" i="7"/>
  <c r="AV234" i="7"/>
  <c r="AV229" i="7"/>
  <c r="AH137" i="7"/>
  <c r="AH142" i="7"/>
  <c r="AO182" i="7"/>
  <c r="AO187" i="7"/>
  <c r="AO188" i="7"/>
  <c r="AG50" i="7"/>
  <c r="AG45" i="7"/>
  <c r="AY182" i="7"/>
  <c r="AY187" i="7"/>
  <c r="AY188" i="7"/>
  <c r="AH234" i="7"/>
  <c r="AH229" i="7"/>
  <c r="AI50" i="7"/>
  <c r="AI45" i="7"/>
  <c r="AF95" i="7"/>
  <c r="AF90" i="7"/>
  <c r="AV279" i="7"/>
  <c r="AV274" i="7"/>
  <c r="AK279" i="7"/>
  <c r="AK274" i="7"/>
  <c r="AP137" i="7"/>
  <c r="AP142" i="7"/>
  <c r="AP143" i="7"/>
  <c r="AM234" i="7"/>
  <c r="AM229" i="7"/>
  <c r="BB229" i="7"/>
  <c r="BB234" i="7"/>
  <c r="BB235" i="7"/>
  <c r="AT274" i="7"/>
  <c r="AT279" i="7"/>
  <c r="AT280" i="7"/>
  <c r="AS50" i="7"/>
  <c r="AS45" i="7"/>
  <c r="AX187" i="7"/>
  <c r="AX182" i="7"/>
  <c r="BA187" i="7"/>
  <c r="BA182" i="7"/>
  <c r="AZ229" i="7"/>
  <c r="AZ234" i="7"/>
  <c r="AZ235" i="7"/>
  <c r="AK137" i="7"/>
  <c r="AK142" i="7"/>
  <c r="AK143" i="7"/>
  <c r="AW187" i="7"/>
  <c r="AW182" i="7"/>
  <c r="AX95" i="7"/>
  <c r="AX90" i="7"/>
  <c r="AQ182" i="7"/>
  <c r="AQ187" i="7"/>
  <c r="AQ188" i="7"/>
  <c r="AN137" i="7"/>
  <c r="AN142" i="7"/>
  <c r="AN143" i="7"/>
  <c r="AS137" i="7"/>
  <c r="AS142" i="7"/>
  <c r="AS143" i="7"/>
  <c r="BD45" i="7"/>
  <c r="BD50" i="7"/>
  <c r="BD51" i="7"/>
  <c r="BC229" i="7"/>
  <c r="BC234" i="7"/>
  <c r="BC235" i="7"/>
  <c r="AL279" i="7"/>
  <c r="AL274" i="7"/>
  <c r="AW274" i="7"/>
  <c r="AW279" i="7"/>
  <c r="AW280" i="7"/>
  <c r="AV187" i="7"/>
  <c r="AV182" i="7"/>
  <c r="AP274" i="7"/>
  <c r="AP279" i="7"/>
  <c r="AP229" i="7"/>
  <c r="AP234" i="7"/>
  <c r="AP235" i="7"/>
  <c r="AJ95" i="7"/>
  <c r="AJ90" i="7"/>
  <c r="AJ96" i="7"/>
  <c r="BD274" i="7"/>
  <c r="BD279" i="7"/>
  <c r="AR234" i="7"/>
  <c r="AR229" i="7"/>
  <c r="BB137" i="7"/>
  <c r="BB142" i="7"/>
  <c r="AR187" i="7"/>
  <c r="AR182" i="7"/>
  <c r="AN274" i="7"/>
  <c r="AN279" i="7"/>
  <c r="AS274" i="7"/>
  <c r="AS279" i="7"/>
  <c r="AS280" i="7"/>
  <c r="BC45" i="7"/>
  <c r="BC50" i="7"/>
  <c r="AY137" i="7"/>
  <c r="AY142" i="7"/>
  <c r="BA90" i="7"/>
  <c r="BA95" i="7"/>
  <c r="AF182" i="7"/>
  <c r="AF187" i="7"/>
  <c r="AZ142" i="7"/>
  <c r="AZ137" i="7"/>
  <c r="AZ143" i="7"/>
  <c r="AN90" i="7"/>
  <c r="AN95" i="7"/>
  <c r="BD229" i="7"/>
  <c r="BD234" i="7"/>
  <c r="AN234" i="7"/>
  <c r="AN229" i="7"/>
  <c r="AN235" i="7"/>
  <c r="AY95" i="7"/>
  <c r="AY90" i="7"/>
  <c r="AY96" i="7"/>
  <c r="AL234" i="7"/>
  <c r="AL229" i="7"/>
  <c r="AL235" i="7"/>
  <c r="AK90" i="7"/>
  <c r="AK95" i="7"/>
  <c r="AG187" i="7"/>
  <c r="AG182" i="7"/>
  <c r="AG188" i="7"/>
  <c r="AR142" i="7"/>
  <c r="AR137" i="7"/>
  <c r="AR143" i="7"/>
  <c r="BB274" i="7"/>
  <c r="BB279" i="7"/>
  <c r="AP95" i="7"/>
  <c r="AP90" i="7"/>
  <c r="AP96" i="7"/>
  <c r="AQ50" i="7"/>
  <c r="AQ45" i="7"/>
  <c r="AQ51" i="7"/>
  <c r="BA274" i="7"/>
  <c r="BA279" i="7"/>
  <c r="AU95" i="7"/>
  <c r="AU90" i="7"/>
  <c r="AU96" i="7"/>
  <c r="AM187" i="7"/>
  <c r="AM182" i="7"/>
  <c r="AM188" i="7"/>
  <c r="BE45" i="7"/>
  <c r="BE50" i="7"/>
  <c r="AO274" i="7"/>
  <c r="AO279" i="7"/>
  <c r="BE142" i="7"/>
  <c r="BE137" i="7"/>
  <c r="BE143" i="7"/>
  <c r="AL45" i="7"/>
  <c r="AL50" i="7"/>
  <c r="AN182" i="7"/>
  <c r="AN187" i="7"/>
  <c r="BE234" i="7"/>
  <c r="BE229" i="7"/>
  <c r="BE235" i="7"/>
  <c r="AF50" i="7"/>
  <c r="AF45" i="7"/>
  <c r="AF51" i="7"/>
  <c r="BC279" i="7"/>
  <c r="BC274" i="7"/>
  <c r="BC280" i="7"/>
  <c r="BE182" i="7"/>
  <c r="BE187" i="7"/>
  <c r="AT229" i="7"/>
  <c r="AT234" i="7"/>
  <c r="BD142" i="7"/>
  <c r="BD137" i="7"/>
  <c r="BD143" i="7"/>
  <c r="AI279" i="7"/>
  <c r="AI274" i="7"/>
  <c r="AI280" i="7"/>
  <c r="BC187" i="7"/>
  <c r="BC182" i="7"/>
  <c r="BC188" i="7"/>
  <c r="AG229" i="7"/>
  <c r="AG234" i="7"/>
  <c r="AL137" i="7"/>
  <c r="AL142" i="7"/>
  <c r="BD90" i="7"/>
  <c r="BD95" i="7"/>
  <c r="AL182" i="7"/>
  <c r="AL187" i="7"/>
  <c r="AU50" i="7"/>
  <c r="AU45" i="7"/>
  <c r="AU51" i="7"/>
  <c r="AK229" i="7"/>
  <c r="AK234" i="7"/>
  <c r="AI229" i="7"/>
  <c r="AI234" i="7"/>
  <c r="AJ274" i="7"/>
  <c r="AJ279" i="7"/>
  <c r="AZ187" i="7"/>
  <c r="AZ182" i="7"/>
  <c r="AZ188" i="7"/>
  <c r="AS187" i="7"/>
  <c r="AS182" i="7"/>
  <c r="AS188" i="7"/>
  <c r="AQ234" i="7"/>
  <c r="AQ229" i="7"/>
  <c r="AQ235" i="7"/>
  <c r="AI137" i="7"/>
  <c r="AI142" i="7"/>
  <c r="AW50" i="7"/>
  <c r="AW45" i="7"/>
  <c r="AW51" i="7"/>
  <c r="AU182" i="7"/>
  <c r="AU187" i="7"/>
  <c r="AS229" i="7"/>
  <c r="AS234" i="7"/>
  <c r="AO137" i="7"/>
  <c r="AO142" i="7"/>
  <c r="AV50" i="7"/>
  <c r="AV45" i="7"/>
  <c r="AV51" i="7"/>
  <c r="AQ142" i="7"/>
  <c r="AQ137" i="7"/>
  <c r="AQ143" i="7"/>
  <c r="BA50" i="7"/>
  <c r="BA45" i="7"/>
  <c r="BA51" i="7"/>
  <c r="AZ90" i="7"/>
  <c r="AZ95" i="7"/>
  <c r="AH182" i="7"/>
  <c r="AH187" i="7"/>
  <c r="AX142" i="7"/>
  <c r="AX137" i="7"/>
  <c r="AX143" i="7"/>
  <c r="AK45" i="7"/>
  <c r="AK50" i="7"/>
  <c r="AN45" i="7"/>
  <c r="AN50" i="7"/>
  <c r="BC137" i="7"/>
  <c r="BC142" i="7"/>
  <c r="AX45" i="7"/>
  <c r="AX50" i="7"/>
  <c r="AW234" i="7"/>
  <c r="AW229" i="7"/>
  <c r="AW235" i="7"/>
  <c r="AY274" i="7"/>
  <c r="AY279" i="7"/>
  <c r="AT90" i="7"/>
  <c r="AT95" i="7"/>
  <c r="AM90" i="7"/>
  <c r="AM95" i="7"/>
  <c r="AO229" i="7"/>
  <c r="AO234" i="7"/>
  <c r="AR90" i="7"/>
  <c r="AR95" i="7"/>
  <c r="AH45" i="7"/>
  <c r="AH50" i="7"/>
  <c r="AT137" i="7"/>
  <c r="AT142" i="7"/>
  <c r="BD182" i="7"/>
  <c r="BD187" i="7"/>
  <c r="AZ279" i="7"/>
  <c r="AZ274" i="7"/>
  <c r="AZ280" i="7"/>
  <c r="AJ50" i="7"/>
  <c r="AJ45" i="7"/>
  <c r="AJ51" i="7"/>
  <c r="BB182" i="7"/>
  <c r="BB187" i="7"/>
  <c r="AQ95" i="7"/>
  <c r="AQ90" i="7"/>
  <c r="AQ96" i="7"/>
  <c r="AT182" i="7"/>
  <c r="AT187" i="7"/>
  <c r="BA234" i="7"/>
  <c r="BA229" i="7"/>
  <c r="BA235" i="7"/>
  <c r="AZ50" i="7"/>
  <c r="AZ45" i="7"/>
  <c r="AZ51" i="7"/>
  <c r="AG95" i="7"/>
  <c r="AG90" i="7"/>
  <c r="AG96" i="7"/>
  <c r="BB45" i="7"/>
  <c r="BB50" i="7"/>
  <c r="BE95" i="7"/>
  <c r="BE90" i="7"/>
  <c r="BE96" i="7"/>
  <c r="AF229" i="7"/>
  <c r="AF234" i="7"/>
  <c r="AM142" i="7"/>
  <c r="AM137" i="7"/>
  <c r="AM143" i="7"/>
  <c r="AP45" i="7"/>
  <c r="AP50" i="7"/>
  <c r="AJ142" i="7"/>
  <c r="AJ137" i="7"/>
  <c r="AJ143" i="7"/>
  <c r="AI182" i="7"/>
  <c r="AI187" i="7"/>
  <c r="AH90" i="7"/>
  <c r="AH95" i="7"/>
  <c r="AV95" i="7"/>
  <c r="AV90" i="7"/>
  <c r="AV96" i="7"/>
  <c r="BB90" i="7"/>
  <c r="BB95" i="7"/>
  <c r="AO90" i="7"/>
  <c r="AO95" i="7"/>
  <c r="AU274" i="7"/>
  <c r="AU279" i="7"/>
  <c r="AQ274" i="7"/>
  <c r="AQ279" i="7"/>
  <c r="BE274" i="7"/>
  <c r="BE279" i="7"/>
  <c r="AX229" i="7"/>
  <c r="AX234" i="7"/>
  <c r="BC95" i="7"/>
  <c r="BC90" i="7"/>
  <c r="BC96" i="7"/>
  <c r="AU229" i="7"/>
  <c r="AU234" i="7"/>
  <c r="AF142" i="7"/>
  <c r="AF137" i="7"/>
  <c r="AF143" i="7"/>
  <c r="AV137" i="7"/>
  <c r="AV142" i="7"/>
  <c r="AS90" i="7"/>
  <c r="AS95" i="7"/>
  <c r="AY234" i="7"/>
  <c r="AY229" i="7"/>
  <c r="AY235" i="7"/>
  <c r="AG142" i="7"/>
  <c r="AG137" i="7"/>
  <c r="AG143" i="7"/>
  <c r="AX274" i="7"/>
  <c r="AX279" i="7"/>
  <c r="AK187" i="7"/>
  <c r="AK182" i="7"/>
  <c r="AK188" i="7"/>
  <c r="AW95" i="7"/>
  <c r="AW90" i="7"/>
  <c r="AW96" i="7"/>
  <c r="AP187" i="7"/>
  <c r="AP182" i="7"/>
  <c r="AP188" i="7"/>
  <c r="AU142" i="7"/>
  <c r="AU137" i="7"/>
  <c r="AU143" i="7"/>
  <c r="AG279" i="7"/>
  <c r="AG274" i="7"/>
  <c r="AG280" i="7"/>
  <c r="AR279" i="7"/>
  <c r="AR274" i="7"/>
  <c r="AR280" i="7"/>
  <c r="AH279" i="7"/>
  <c r="AH274" i="7"/>
  <c r="AH280" i="7"/>
  <c r="AT45" i="7"/>
  <c r="AT50" i="7"/>
  <c r="AM45" i="7"/>
  <c r="AM50" i="7"/>
  <c r="AM51" i="7"/>
  <c r="AS96" i="7"/>
  <c r="BE280" i="7"/>
  <c r="AU280" i="7"/>
  <c r="BB96" i="7"/>
  <c r="AH96" i="7"/>
  <c r="BD188" i="7"/>
  <c r="AH51" i="7"/>
  <c r="AO235" i="7"/>
  <c r="AT96" i="7"/>
  <c r="BC143" i="7"/>
  <c r="AK51" i="7"/>
  <c r="AH188" i="7"/>
  <c r="AS235" i="7"/>
  <c r="AI235" i="7"/>
  <c r="BD96" i="7"/>
  <c r="AG235" i="7"/>
  <c r="AT235" i="7"/>
  <c r="AL51" i="7"/>
  <c r="AO280" i="7"/>
  <c r="BA280" i="7"/>
  <c r="AK96" i="7"/>
  <c r="BD235" i="7"/>
  <c r="BA96" i="7"/>
  <c r="BC51" i="7"/>
  <c r="AN280" i="7"/>
  <c r="BB143" i="7"/>
  <c r="BD280" i="7"/>
  <c r="AR188" i="7"/>
  <c r="AR235" i="7"/>
  <c r="AW188" i="7"/>
  <c r="AX188" i="7"/>
  <c r="AM235" i="7"/>
  <c r="AK280" i="7"/>
  <c r="AF96" i="7"/>
  <c r="AH235" i="7"/>
  <c r="AG51" i="7"/>
  <c r="AT51" i="7"/>
  <c r="AX280" i="7"/>
  <c r="AV143" i="7"/>
  <c r="AU235" i="7"/>
  <c r="AX235" i="7"/>
  <c r="AQ280" i="7"/>
  <c r="AO96" i="7"/>
  <c r="AI188" i="7"/>
  <c r="AP51" i="7"/>
  <c r="AF235" i="7"/>
  <c r="BB51" i="7"/>
  <c r="AT188" i="7"/>
  <c r="BB188" i="7"/>
  <c r="AT143" i="7"/>
  <c r="AR96" i="7"/>
  <c r="AM96" i="7"/>
  <c r="AY280" i="7"/>
  <c r="AX51" i="7"/>
  <c r="AN51" i="7"/>
  <c r="AZ96" i="7"/>
  <c r="AO143" i="7"/>
  <c r="AU188" i="7"/>
  <c r="AI143" i="7"/>
  <c r="AJ280" i="7"/>
  <c r="AK235" i="7"/>
  <c r="AL188" i="7"/>
  <c r="AL143" i="7"/>
  <c r="BE188" i="7"/>
  <c r="AN188" i="7"/>
  <c r="BE51" i="7"/>
  <c r="BB280" i="7"/>
  <c r="AN96" i="7"/>
  <c r="AF188" i="7"/>
  <c r="AY143" i="7"/>
  <c r="AP280" i="7"/>
  <c r="AH143" i="7"/>
  <c r="AW143" i="7"/>
  <c r="BA143" i="7"/>
  <c r="G146" i="7"/>
  <c r="AR51" i="7"/>
  <c r="AJ235" i="7"/>
  <c r="AL96" i="7"/>
  <c r="AV188" i="7"/>
  <c r="AL280" i="7"/>
  <c r="AX96" i="7"/>
  <c r="G99" i="7"/>
  <c r="BA188" i="7"/>
  <c r="AS51" i="7"/>
  <c r="AV280" i="7"/>
  <c r="AI51" i="7"/>
  <c r="AV235" i="7"/>
  <c r="G238" i="7"/>
  <c r="AY51" i="7"/>
  <c r="AV56" i="27"/>
  <c r="AV57" i="27"/>
  <c r="AV47" i="27"/>
  <c r="AV48" i="27"/>
  <c r="AV49" i="27"/>
  <c r="AV24" i="27"/>
  <c r="AV25" i="27"/>
  <c r="AV39" i="27"/>
  <c r="AV40" i="27"/>
  <c r="AV41" i="27"/>
  <c r="AW10" i="27"/>
  <c r="AJ188" i="7"/>
  <c r="G283" i="7"/>
  <c r="G191" i="7"/>
  <c r="AW47" i="27"/>
  <c r="AW48" i="27"/>
  <c r="AW49" i="27"/>
  <c r="AW25" i="27"/>
  <c r="AW24" i="27"/>
  <c r="AW56" i="27"/>
  <c r="AW57" i="27"/>
  <c r="AW39" i="27"/>
  <c r="AW40" i="27"/>
  <c r="AW41" i="27"/>
  <c r="AX10" i="27"/>
  <c r="G54" i="7"/>
  <c r="G56" i="7"/>
  <c r="G57" i="7"/>
  <c r="L15" i="1"/>
  <c r="AW11" i="27"/>
  <c r="AX11" i="27"/>
  <c r="AX47" i="27"/>
  <c r="AX48" i="27"/>
  <c r="AX49" i="27"/>
  <c r="AX39" i="27"/>
  <c r="AX40" i="27"/>
  <c r="AX41" i="27"/>
  <c r="AX25" i="27"/>
  <c r="AX56" i="27"/>
  <c r="AX57" i="27"/>
  <c r="AX24" i="27"/>
  <c r="AY10" i="27"/>
  <c r="AY47" i="27"/>
  <c r="AY48" i="27"/>
  <c r="AY49" i="27"/>
  <c r="AY25" i="27"/>
  <c r="AY39" i="27"/>
  <c r="AY40" i="27"/>
  <c r="AY41" i="27"/>
  <c r="AY56" i="27"/>
  <c r="AY57" i="27"/>
  <c r="AY24" i="27"/>
  <c r="AZ10" i="27"/>
  <c r="AY11" i="27"/>
  <c r="AZ11" i="27"/>
  <c r="AZ47" i="27"/>
  <c r="AZ48" i="27"/>
  <c r="AZ49" i="27"/>
  <c r="AZ56" i="27"/>
  <c r="AZ57" i="27"/>
  <c r="AZ24" i="27"/>
  <c r="AZ25" i="27"/>
  <c r="AZ39" i="27"/>
  <c r="AZ40" i="27"/>
  <c r="AZ41" i="27"/>
  <c r="BA10" i="27"/>
  <c r="BA47" i="27"/>
  <c r="BA48" i="27"/>
  <c r="BA49" i="27"/>
  <c r="BA56" i="27"/>
  <c r="BA57" i="27"/>
  <c r="BA24" i="27"/>
  <c r="BA25" i="27"/>
  <c r="BA39" i="27"/>
  <c r="BA40" i="27"/>
  <c r="BA41" i="27"/>
  <c r="BB10" i="27"/>
  <c r="BA11" i="27"/>
  <c r="BB11" i="27"/>
  <c r="BB47" i="27"/>
  <c r="BB48" i="27"/>
  <c r="BB49" i="27"/>
  <c r="BB25" i="27"/>
  <c r="BB39" i="27"/>
  <c r="BB40" i="27"/>
  <c r="BB41" i="27"/>
  <c r="BB56" i="27"/>
  <c r="BB57" i="27"/>
  <c r="BB24" i="27"/>
  <c r="BC10" i="27"/>
  <c r="BC47" i="27"/>
  <c r="BC48" i="27"/>
  <c r="BC49" i="27"/>
  <c r="BC25" i="27"/>
  <c r="BC39" i="27"/>
  <c r="BC40" i="27"/>
  <c r="BC41" i="27"/>
  <c r="BC24" i="27"/>
  <c r="BC56" i="27"/>
  <c r="BC57" i="27"/>
  <c r="BD10" i="27"/>
  <c r="BC11" i="27"/>
  <c r="BD11" i="27"/>
  <c r="BD56" i="27"/>
  <c r="BD57" i="27"/>
  <c r="BD47" i="27"/>
  <c r="BD48" i="27"/>
  <c r="BD49" i="27"/>
  <c r="BD25" i="27"/>
  <c r="BD39" i="27"/>
  <c r="BD40" i="27"/>
  <c r="BD41" i="27"/>
  <c r="BD24" i="27"/>
  <c r="BE10" i="27"/>
  <c r="BE11" i="27"/>
  <c r="BE24" i="27"/>
  <c r="BE56" i="27"/>
  <c r="BE57" i="27"/>
  <c r="BE47" i="27"/>
  <c r="BE48" i="27"/>
  <c r="BE49" i="27"/>
  <c r="BE25" i="27"/>
  <c r="BE39" i="27"/>
  <c r="BE40" i="27"/>
  <c r="BE41" i="27"/>
  <c r="BF10" i="27"/>
  <c r="BF47" i="27"/>
  <c r="BF48" i="27"/>
  <c r="BF49" i="27"/>
  <c r="BF56" i="27"/>
  <c r="BF57" i="27"/>
  <c r="BF39" i="27"/>
  <c r="BF40" i="27"/>
  <c r="BF41" i="27"/>
  <c r="BF24" i="27"/>
  <c r="BF25" i="27"/>
  <c r="BG10" i="27"/>
  <c r="BF11" i="27"/>
  <c r="BG11" i="27"/>
  <c r="BG47" i="27"/>
  <c r="BG48" i="27"/>
  <c r="BG49" i="27"/>
  <c r="BG25" i="27"/>
  <c r="BG56" i="27"/>
  <c r="BG57" i="27"/>
  <c r="BG24" i="27"/>
  <c r="BG39" i="27"/>
  <c r="BG40" i="27"/>
  <c r="BG41" i="27"/>
  <c r="L79" i="16"/>
  <c r="L133" i="1"/>
  <c r="N46" i="24"/>
  <c r="N42" i="24"/>
  <c r="L138" i="1"/>
  <c r="L151" i="1"/>
  <c r="M135" i="23"/>
  <c r="L72" i="16"/>
  <c r="M185" i="23"/>
  <c r="M184" i="23"/>
  <c r="N74" i="16"/>
  <c r="M74" i="17"/>
  <c r="M43" i="17"/>
  <c r="M30" i="4"/>
  <c r="M74" i="4"/>
  <c r="M250" i="17"/>
  <c r="M42" i="17"/>
  <c r="X43" i="17"/>
  <c r="Z30" i="17"/>
  <c r="K43" i="17"/>
  <c r="Q95" i="4"/>
  <c r="R95" i="17"/>
  <c r="I250" i="17"/>
  <c r="I42" i="17"/>
  <c r="W250" i="17"/>
  <c r="W42" i="17"/>
  <c r="W44" i="17"/>
  <c r="X95" i="17"/>
  <c r="R183" i="23"/>
  <c r="Q326" i="17"/>
  <c r="V185" i="17"/>
  <c r="X326" i="4"/>
  <c r="I185" i="17"/>
  <c r="X326" i="17"/>
  <c r="H43" i="17"/>
  <c r="H44" i="17"/>
  <c r="Q30" i="17"/>
  <c r="T326" i="17"/>
  <c r="H185" i="17"/>
  <c r="R197" i="23"/>
  <c r="P179" i="23"/>
  <c r="Q179" i="23"/>
  <c r="R179" i="23"/>
  <c r="S179" i="23"/>
  <c r="M159" i="23"/>
  <c r="U185" i="17"/>
  <c r="Y100" i="8"/>
  <c r="O250" i="17"/>
  <c r="O42" i="17"/>
  <c r="O44" i="17"/>
  <c r="R44" i="17"/>
  <c r="K250" i="17"/>
  <c r="K42" i="17"/>
  <c r="N250" i="17"/>
  <c r="N42" i="17"/>
  <c r="M44" i="17"/>
  <c r="W76" i="4"/>
  <c r="W40" i="4"/>
  <c r="K77" i="4"/>
  <c r="K41" i="4"/>
  <c r="U40" i="4"/>
  <c r="U76" i="4"/>
  <c r="O40" i="4"/>
  <c r="O76" i="4"/>
  <c r="P41" i="4"/>
  <c r="P77" i="4"/>
  <c r="M196" i="23"/>
  <c r="H207" i="4"/>
  <c r="H95" i="4"/>
  <c r="H217" i="4"/>
  <c r="H31" i="4"/>
  <c r="V154" i="4"/>
  <c r="Z154" i="4"/>
  <c r="Q64" i="4"/>
  <c r="Z284" i="17"/>
  <c r="M326" i="17"/>
  <c r="M132" i="17"/>
  <c r="T185" i="17"/>
  <c r="S284" i="17"/>
  <c r="I311" i="17"/>
  <c r="J308" i="17"/>
  <c r="J311" i="17"/>
  <c r="K308" i="17"/>
  <c r="K311" i="17"/>
  <c r="L308" i="17"/>
  <c r="L311" i="17"/>
  <c r="M308" i="17"/>
  <c r="M311" i="17"/>
  <c r="N308" i="17"/>
  <c r="N311" i="17"/>
  <c r="O308" i="17"/>
  <c r="O311" i="17"/>
  <c r="P308" i="17"/>
  <c r="P311" i="17"/>
  <c r="Q308" i="17"/>
  <c r="Q311" i="17"/>
  <c r="R308" i="17"/>
  <c r="R311" i="17"/>
  <c r="S308" i="17"/>
  <c r="S311" i="17"/>
  <c r="T308" i="17"/>
  <c r="T311" i="17"/>
  <c r="U308" i="17"/>
  <c r="U311" i="17"/>
  <c r="V308" i="17"/>
  <c r="V311" i="17"/>
  <c r="W308" i="17"/>
  <c r="W311" i="17"/>
  <c r="X308" i="17"/>
  <c r="X311" i="17"/>
  <c r="Y308" i="17"/>
  <c r="Y311" i="17"/>
  <c r="Z308" i="17"/>
  <c r="Z311" i="17"/>
  <c r="AA308" i="17"/>
  <c r="AA311" i="17"/>
  <c r="O130" i="17"/>
  <c r="O166" i="17"/>
  <c r="O133" i="17"/>
  <c r="O134" i="17"/>
  <c r="U166" i="17"/>
  <c r="U133" i="17"/>
  <c r="U130" i="17"/>
  <c r="M120" i="17"/>
  <c r="M133" i="17"/>
  <c r="M130" i="17"/>
  <c r="M134" i="17"/>
  <c r="M166" i="17"/>
  <c r="H166" i="4"/>
  <c r="J119" i="17"/>
  <c r="J163" i="17"/>
  <c r="AA305" i="17"/>
  <c r="S326" i="17"/>
  <c r="S132" i="17"/>
  <c r="T305" i="17"/>
  <c r="J118" i="17"/>
  <c r="J162" i="17"/>
  <c r="AA289" i="17"/>
  <c r="X289" i="17"/>
  <c r="M164" i="17"/>
  <c r="H119" i="17"/>
  <c r="H163" i="17"/>
  <c r="Z185" i="17"/>
  <c r="X185" i="17"/>
  <c r="S118" i="17"/>
  <c r="S162" i="17"/>
  <c r="Z289" i="17"/>
  <c r="V118" i="17"/>
  <c r="V162" i="17"/>
  <c r="Z305" i="17"/>
  <c r="Q166" i="4"/>
  <c r="J166" i="4"/>
  <c r="T132" i="17"/>
  <c r="Q132" i="17"/>
  <c r="J290" i="17"/>
  <c r="K287" i="17"/>
  <c r="K290" i="17"/>
  <c r="L287" i="17"/>
  <c r="L290" i="17"/>
  <c r="M287" i="17"/>
  <c r="M290" i="17"/>
  <c r="N287" i="17"/>
  <c r="N290" i="17"/>
  <c r="O287" i="17"/>
  <c r="O290" i="17"/>
  <c r="P287" i="17"/>
  <c r="P290" i="17"/>
  <c r="Q287" i="17"/>
  <c r="Q290" i="17"/>
  <c r="R287" i="17"/>
  <c r="R290" i="17"/>
  <c r="S287" i="17"/>
  <c r="S290" i="17"/>
  <c r="T287" i="17"/>
  <c r="T290" i="17"/>
  <c r="U287" i="17"/>
  <c r="U290" i="17"/>
  <c r="V287" i="17"/>
  <c r="V290" i="17"/>
  <c r="W287" i="17"/>
  <c r="W290" i="17"/>
  <c r="X287" i="17"/>
  <c r="X290" i="17"/>
  <c r="Y287" i="17"/>
  <c r="Y290" i="17"/>
  <c r="Z287" i="17"/>
  <c r="Z290" i="17"/>
  <c r="AA287" i="17"/>
  <c r="AA290" i="17"/>
  <c r="W305" i="17"/>
  <c r="S185" i="17"/>
  <c r="X102" i="8"/>
  <c r="W102" i="8"/>
  <c r="V130" i="17"/>
  <c r="V166" i="17"/>
  <c r="T130" i="17"/>
  <c r="T166" i="17"/>
  <c r="N130" i="17"/>
  <c r="N166" i="17"/>
  <c r="Q130" i="17"/>
  <c r="Q166" i="17"/>
  <c r="O166" i="4"/>
  <c r="O130" i="4"/>
  <c r="P130" i="4"/>
  <c r="P166" i="4"/>
  <c r="AA130" i="17"/>
  <c r="AA166" i="17"/>
  <c r="K130" i="17"/>
  <c r="K166" i="17"/>
  <c r="J130" i="17"/>
  <c r="J166" i="17"/>
  <c r="L130" i="17"/>
  <c r="L166" i="17"/>
  <c r="P130" i="17"/>
  <c r="P166" i="17"/>
  <c r="Z130" i="17"/>
  <c r="Z166" i="17"/>
  <c r="Y166" i="17"/>
  <c r="Y130" i="17"/>
  <c r="P283" i="4"/>
  <c r="P289" i="4"/>
  <c r="J282" i="4"/>
  <c r="R282" i="4"/>
  <c r="U282" i="4"/>
  <c r="I282" i="4"/>
  <c r="U283" i="4"/>
  <c r="X283" i="4"/>
  <c r="X289" i="4"/>
  <c r="AA282" i="4"/>
  <c r="R283" i="4"/>
  <c r="R289" i="4"/>
  <c r="AA283" i="4"/>
  <c r="AA289" i="4"/>
  <c r="K282" i="4"/>
  <c r="S282" i="4"/>
  <c r="K283" i="4"/>
  <c r="K289" i="4"/>
  <c r="S283" i="4"/>
  <c r="S289" i="4"/>
  <c r="V283" i="4"/>
  <c r="V289" i="4"/>
  <c r="N283" i="4"/>
  <c r="N289" i="4"/>
  <c r="X282" i="4"/>
  <c r="J283" i="4"/>
  <c r="J289" i="4"/>
  <c r="I283" i="4"/>
  <c r="I289" i="4"/>
  <c r="L282" i="4"/>
  <c r="T283" i="4"/>
  <c r="L283" i="4"/>
  <c r="L289" i="4"/>
  <c r="N282" i="4"/>
  <c r="M283" i="4"/>
  <c r="M289" i="4"/>
  <c r="Y282" i="4"/>
  <c r="Q282" i="4"/>
  <c r="Q118" i="4"/>
  <c r="Q162" i="4"/>
  <c r="Y283" i="4"/>
  <c r="Y289" i="4"/>
  <c r="M282" i="4"/>
  <c r="H283" i="4"/>
  <c r="H289" i="4"/>
  <c r="W282" i="4"/>
  <c r="W118" i="4"/>
  <c r="W162" i="4"/>
  <c r="O282" i="4"/>
  <c r="H282" i="4"/>
  <c r="O283" i="4"/>
  <c r="P282" i="4"/>
  <c r="Z283" i="4"/>
  <c r="Z185" i="4"/>
  <c r="T282" i="4"/>
  <c r="Q283" i="4"/>
  <c r="V282" i="4"/>
  <c r="Z282" i="4"/>
  <c r="W283" i="4"/>
  <c r="S130" i="17"/>
  <c r="S166" i="17"/>
  <c r="W130" i="17"/>
  <c r="W166" i="17"/>
  <c r="X166" i="17"/>
  <c r="X130" i="17"/>
  <c r="I130" i="17"/>
  <c r="I166" i="17"/>
  <c r="N326" i="17"/>
  <c r="N132" i="17"/>
  <c r="H326" i="17"/>
  <c r="H132" i="17"/>
  <c r="P331" i="17"/>
  <c r="Q133" i="17"/>
  <c r="X132" i="17"/>
  <c r="W133" i="4"/>
  <c r="AA185" i="4"/>
  <c r="R133" i="17"/>
  <c r="R134" i="17"/>
  <c r="AA133" i="17"/>
  <c r="I133" i="17"/>
  <c r="P133" i="17"/>
  <c r="T326" i="4"/>
  <c r="X120" i="17"/>
  <c r="X133" i="17"/>
  <c r="H120" i="17"/>
  <c r="N133" i="17"/>
  <c r="Y326" i="17"/>
  <c r="Y132" i="17"/>
  <c r="S120" i="17"/>
  <c r="S164" i="17"/>
  <c r="Y185" i="17"/>
  <c r="AA185" i="17"/>
  <c r="K185" i="17"/>
  <c r="Y99" i="8"/>
  <c r="K326" i="17"/>
  <c r="K132" i="17"/>
  <c r="V326" i="17"/>
  <c r="V132" i="17"/>
  <c r="T133" i="17"/>
  <c r="W133" i="17"/>
  <c r="L133" i="17"/>
  <c r="N185" i="17"/>
  <c r="P326" i="17"/>
  <c r="P132" i="17"/>
  <c r="AA326" i="17"/>
  <c r="AA132" i="17"/>
  <c r="AA134" i="17"/>
  <c r="W326" i="4"/>
  <c r="P182" i="23"/>
  <c r="Q182" i="23"/>
  <c r="R182" i="23"/>
  <c r="V94" i="8"/>
  <c r="Z326" i="17"/>
  <c r="Z132" i="17"/>
  <c r="Z133" i="17"/>
  <c r="Z134" i="17"/>
  <c r="S250" i="4"/>
  <c r="U134" i="17"/>
  <c r="I255" i="17"/>
  <c r="I256" i="17"/>
  <c r="J253" i="17"/>
  <c r="J256" i="17"/>
  <c r="K253" i="17"/>
  <c r="K256" i="17"/>
  <c r="L253" i="17"/>
  <c r="L256" i="17"/>
  <c r="M253" i="17"/>
  <c r="M256" i="17"/>
  <c r="N253" i="17"/>
  <c r="N256" i="17"/>
  <c r="O253" i="17"/>
  <c r="O256" i="17"/>
  <c r="P253" i="17"/>
  <c r="P256" i="17"/>
  <c r="Q253" i="17"/>
  <c r="Q256" i="17"/>
  <c r="R253" i="17"/>
  <c r="R256" i="17"/>
  <c r="S253" i="17"/>
  <c r="S256" i="17"/>
  <c r="T253" i="17"/>
  <c r="T256" i="17"/>
  <c r="U253" i="17"/>
  <c r="U256" i="17"/>
  <c r="V253" i="17"/>
  <c r="V256" i="17"/>
  <c r="W253" i="17"/>
  <c r="W256" i="17"/>
  <c r="X253" i="17"/>
  <c r="J133" i="17"/>
  <c r="J44" i="17"/>
  <c r="N43" i="17"/>
  <c r="L250" i="17"/>
  <c r="L42" i="17"/>
  <c r="L43" i="17"/>
  <c r="L44" i="17"/>
  <c r="V162" i="8"/>
  <c r="V100" i="8"/>
  <c r="I332" i="17"/>
  <c r="J329" i="17"/>
  <c r="J332" i="17"/>
  <c r="K329" i="17"/>
  <c r="K332" i="17"/>
  <c r="L329" i="17"/>
  <c r="Y162" i="8"/>
  <c r="Y98" i="8"/>
  <c r="V331" i="4"/>
  <c r="M331" i="17"/>
  <c r="Y95" i="8"/>
  <c r="Y146" i="8"/>
  <c r="L74" i="17"/>
  <c r="I74" i="17"/>
  <c r="I43" i="17"/>
  <c r="I44" i="17"/>
  <c r="P43" i="17"/>
  <c r="P74" i="17"/>
  <c r="P250" i="17"/>
  <c r="P42" i="17"/>
  <c r="J326" i="17"/>
  <c r="J132" i="17"/>
  <c r="S250" i="17"/>
  <c r="S42" i="17"/>
  <c r="W250" i="4"/>
  <c r="Q164" i="17"/>
  <c r="Q185" i="17"/>
  <c r="Z331" i="17"/>
  <c r="W326" i="17"/>
  <c r="W132" i="17"/>
  <c r="Y44" i="17"/>
  <c r="X44" i="17"/>
  <c r="AA74" i="17"/>
  <c r="AA43" i="17"/>
  <c r="T74" i="17"/>
  <c r="T43" i="17"/>
  <c r="T44" i="17"/>
  <c r="U74" i="17"/>
  <c r="U43" i="17"/>
  <c r="U44" i="17"/>
  <c r="S74" i="17"/>
  <c r="S43" i="17"/>
  <c r="S44" i="17"/>
  <c r="V74" i="17"/>
  <c r="V43" i="17"/>
  <c r="V44" i="17"/>
  <c r="AA326" i="4"/>
  <c r="AA331" i="4"/>
  <c r="V326" i="4"/>
  <c r="W331" i="17"/>
  <c r="R331" i="17"/>
  <c r="X331" i="17"/>
  <c r="L331" i="17"/>
  <c r="AA250" i="4"/>
  <c r="P134" i="17"/>
  <c r="L326" i="17"/>
  <c r="L132" i="17"/>
  <c r="X255" i="17"/>
  <c r="AA250" i="17"/>
  <c r="AA42" i="17"/>
  <c r="AA44" i="17"/>
  <c r="I164" i="17"/>
  <c r="I326" i="17"/>
  <c r="I132" i="17"/>
  <c r="Y133" i="17"/>
  <c r="Y134" i="17"/>
  <c r="K164" i="17"/>
  <c r="K133" i="17"/>
  <c r="R196" i="23"/>
  <c r="S196" i="23"/>
  <c r="M171" i="23"/>
  <c r="R194" i="23"/>
  <c r="R185" i="23"/>
  <c r="S185" i="23"/>
  <c r="M165" i="23"/>
  <c r="J185" i="17"/>
  <c r="R191" i="23"/>
  <c r="Y97" i="8"/>
  <c r="R184" i="23"/>
  <c r="S184" i="23"/>
  <c r="M164" i="23"/>
  <c r="R180" i="23"/>
  <c r="S180" i="23"/>
  <c r="M160" i="23"/>
  <c r="R192" i="23"/>
  <c r="R190" i="23"/>
  <c r="AA120" i="4"/>
  <c r="AA164" i="4"/>
  <c r="V120" i="4"/>
  <c r="V164" i="4"/>
  <c r="V146" i="8"/>
  <c r="V99" i="8"/>
  <c r="V98" i="8"/>
  <c r="N181" i="23"/>
  <c r="O181" i="23"/>
  <c r="R181" i="23"/>
  <c r="S181" i="23"/>
  <c r="M161" i="23"/>
  <c r="S183" i="23"/>
  <c r="M163" i="23"/>
  <c r="H165" i="4"/>
  <c r="H129" i="4"/>
  <c r="S158" i="4"/>
  <c r="S181" i="4"/>
  <c r="R130" i="4"/>
  <c r="R166" i="4"/>
  <c r="AA130" i="4"/>
  <c r="AA166" i="4"/>
  <c r="Q40" i="4"/>
  <c r="Q76" i="4"/>
  <c r="X40" i="4"/>
  <c r="X76" i="4"/>
  <c r="Z130" i="4"/>
  <c r="Z166" i="4"/>
  <c r="K166" i="4"/>
  <c r="K130" i="4"/>
  <c r="V40" i="4"/>
  <c r="V76" i="4"/>
  <c r="I41" i="4"/>
  <c r="I77" i="4"/>
  <c r="N130" i="4"/>
  <c r="N166" i="4"/>
  <c r="M130" i="4"/>
  <c r="M166" i="4"/>
  <c r="M40" i="4"/>
  <c r="M76" i="4"/>
  <c r="Z326" i="4"/>
  <c r="W42" i="4"/>
  <c r="H290" i="4"/>
  <c r="I287" i="4"/>
  <c r="K379" i="4"/>
  <c r="K116" i="4"/>
  <c r="K158" i="4"/>
  <c r="K181" i="4"/>
  <c r="R365" i="4"/>
  <c r="R26" i="4"/>
  <c r="R68" i="4"/>
  <c r="R91" i="4"/>
  <c r="N365" i="4"/>
  <c r="N26" i="4"/>
  <c r="O42" i="4"/>
  <c r="H311" i="4"/>
  <c r="I308" i="4"/>
  <c r="I311" i="4"/>
  <c r="J308" i="4"/>
  <c r="J311" i="4"/>
  <c r="K308" i="4"/>
  <c r="K311" i="4"/>
  <c r="L308" i="4"/>
  <c r="L311" i="4"/>
  <c r="M308" i="4"/>
  <c r="M311" i="4"/>
  <c r="N308" i="4"/>
  <c r="N311" i="4"/>
  <c r="O308" i="4"/>
  <c r="O311" i="4"/>
  <c r="P308" i="4"/>
  <c r="P311" i="4"/>
  <c r="Q308" i="4"/>
  <c r="Q311" i="4"/>
  <c r="R308" i="4"/>
  <c r="R74" i="4"/>
  <c r="R43" i="4"/>
  <c r="M115" i="23"/>
  <c r="M120" i="23"/>
  <c r="M146" i="23"/>
  <c r="N115" i="23"/>
  <c r="N120" i="23"/>
  <c r="M148" i="23"/>
  <c r="Y30" i="4"/>
  <c r="Y74" i="4"/>
  <c r="Y250" i="4"/>
  <c r="Y42" i="4"/>
  <c r="V33" i="4"/>
  <c r="V271" i="4"/>
  <c r="T250" i="4"/>
  <c r="T42" i="4"/>
  <c r="T30" i="4"/>
  <c r="T74" i="4"/>
  <c r="O33" i="4"/>
  <c r="O271" i="4"/>
  <c r="J41" i="4"/>
  <c r="J77" i="4"/>
  <c r="I213" i="4"/>
  <c r="I208" i="4"/>
  <c r="I95" i="4"/>
  <c r="H255" i="4"/>
  <c r="H256" i="4"/>
  <c r="I253" i="4"/>
  <c r="H250" i="4"/>
  <c r="P158" i="4"/>
  <c r="P181" i="4"/>
  <c r="U120" i="4"/>
  <c r="U164" i="4"/>
  <c r="U326" i="4"/>
  <c r="J255" i="4"/>
  <c r="J250" i="4"/>
  <c r="K250" i="4"/>
  <c r="K30" i="4"/>
  <c r="K74" i="4"/>
  <c r="Q250" i="4"/>
  <c r="Q42" i="4"/>
  <c r="Q30" i="4"/>
  <c r="Q74" i="4"/>
  <c r="X331" i="4"/>
  <c r="I255" i="4"/>
  <c r="I250" i="4"/>
  <c r="Z95" i="4"/>
  <c r="Z234" i="4"/>
  <c r="Z229" i="4"/>
  <c r="Z42" i="4"/>
  <c r="S234" i="4"/>
  <c r="S95" i="4"/>
  <c r="H234" i="4"/>
  <c r="H235" i="4"/>
  <c r="I232" i="4"/>
  <c r="I235" i="4"/>
  <c r="J232" i="4"/>
  <c r="J235" i="4"/>
  <c r="K232" i="4"/>
  <c r="K235" i="4"/>
  <c r="L232" i="4"/>
  <c r="L235" i="4"/>
  <c r="M232" i="4"/>
  <c r="M235" i="4"/>
  <c r="N232" i="4"/>
  <c r="N235" i="4"/>
  <c r="O232" i="4"/>
  <c r="O235" i="4"/>
  <c r="P232" i="4"/>
  <c r="P235" i="4"/>
  <c r="Q232" i="4"/>
  <c r="Q235" i="4"/>
  <c r="R232" i="4"/>
  <c r="R235" i="4"/>
  <c r="S232" i="4"/>
  <c r="M158" i="4"/>
  <c r="M181" i="4"/>
  <c r="I131" i="4"/>
  <c r="Y131" i="4"/>
  <c r="Y167" i="4"/>
  <c r="Y331" i="4"/>
  <c r="Z158" i="4"/>
  <c r="Z181" i="4"/>
  <c r="AA158" i="4"/>
  <c r="AA181" i="4"/>
  <c r="W284" i="4"/>
  <c r="W185" i="4"/>
  <c r="W289" i="4"/>
  <c r="V118" i="4"/>
  <c r="Q284" i="4"/>
  <c r="Q289" i="4"/>
  <c r="Z289" i="4"/>
  <c r="O289" i="4"/>
  <c r="H284" i="4"/>
  <c r="H118" i="4"/>
  <c r="X229" i="4"/>
  <c r="J229" i="4"/>
  <c r="U234" i="4"/>
  <c r="S229" i="4"/>
  <c r="S42" i="4"/>
  <c r="S29" i="4"/>
  <c r="S73" i="4"/>
  <c r="P229" i="4"/>
  <c r="P42" i="4"/>
  <c r="P29" i="4"/>
  <c r="P73" i="4"/>
  <c r="W130" i="4"/>
  <c r="O379" i="4"/>
  <c r="O116" i="4"/>
  <c r="J365" i="4"/>
  <c r="J26" i="4"/>
  <c r="N40" i="4"/>
  <c r="N76" i="4"/>
  <c r="Y40" i="4"/>
  <c r="Y76" i="4"/>
  <c r="R310" i="4"/>
  <c r="R305" i="4"/>
  <c r="AA40" i="4"/>
  <c r="AA76" i="4"/>
  <c r="N59" i="16"/>
  <c r="N130" i="1"/>
  <c r="P45" i="24"/>
  <c r="N85" i="1"/>
  <c r="N66" i="16"/>
  <c r="N90" i="1"/>
  <c r="N89" i="1"/>
  <c r="N91" i="1"/>
  <c r="N64" i="16"/>
  <c r="S28" i="4"/>
  <c r="S72" i="4"/>
  <c r="X305" i="4"/>
  <c r="X119" i="4"/>
  <c r="L59" i="16"/>
  <c r="L89" i="1"/>
  <c r="L91" i="1"/>
  <c r="L64" i="16"/>
  <c r="L130" i="1"/>
  <c r="Z41" i="4"/>
  <c r="Z77" i="4"/>
  <c r="X250" i="4"/>
  <c r="X30" i="4"/>
  <c r="X74" i="4"/>
  <c r="U33" i="4"/>
  <c r="U271" i="4"/>
  <c r="S41" i="4"/>
  <c r="S77" i="4"/>
  <c r="L41" i="4"/>
  <c r="L77" i="4"/>
  <c r="K364" i="4"/>
  <c r="K365" i="4"/>
  <c r="K26" i="4"/>
  <c r="O364" i="4"/>
  <c r="O365" i="4"/>
  <c r="O26" i="4"/>
  <c r="S364" i="4"/>
  <c r="S365" i="4"/>
  <c r="S26" i="4"/>
  <c r="W364" i="4"/>
  <c r="W365" i="4"/>
  <c r="W26" i="4"/>
  <c r="AA364" i="4"/>
  <c r="AA365" i="4"/>
  <c r="AA26" i="4"/>
  <c r="G365" i="4"/>
  <c r="H364" i="4"/>
  <c r="H365" i="4"/>
  <c r="H26" i="4"/>
  <c r="L364" i="4"/>
  <c r="P364" i="4"/>
  <c r="P365" i="4"/>
  <c r="P26" i="4"/>
  <c r="T364" i="4"/>
  <c r="T365" i="4"/>
  <c r="T26" i="4"/>
  <c r="X364" i="4"/>
  <c r="X365" i="4"/>
  <c r="X26" i="4"/>
  <c r="I364" i="4"/>
  <c r="I365" i="4"/>
  <c r="I26" i="4"/>
  <c r="M364" i="4"/>
  <c r="M365" i="4"/>
  <c r="M26" i="4"/>
  <c r="Q364" i="4"/>
  <c r="Q365" i="4"/>
  <c r="Q26" i="4"/>
  <c r="U364" i="4"/>
  <c r="U365" i="4"/>
  <c r="U26" i="4"/>
  <c r="Y364" i="4"/>
  <c r="Y365" i="4"/>
  <c r="Y26" i="4"/>
  <c r="Y130" i="4"/>
  <c r="Y166" i="4"/>
  <c r="Z365" i="4"/>
  <c r="Z26" i="4"/>
  <c r="K123" i="4"/>
  <c r="K347" i="4"/>
  <c r="AA28" i="4"/>
  <c r="AA72" i="4"/>
  <c r="AA208" i="4"/>
  <c r="AA42" i="4"/>
  <c r="K208" i="4"/>
  <c r="K28" i="4"/>
  <c r="K72" i="4"/>
  <c r="V250" i="4"/>
  <c r="V42" i="4"/>
  <c r="V30" i="4"/>
  <c r="V74" i="4"/>
  <c r="L365" i="4"/>
  <c r="L26" i="4"/>
  <c r="K40" i="4"/>
  <c r="K76" i="4"/>
  <c r="W41" i="4"/>
  <c r="W77" i="4"/>
  <c r="T33" i="4"/>
  <c r="T271" i="4"/>
  <c r="R77" i="4"/>
  <c r="R41" i="4"/>
  <c r="Q41" i="4"/>
  <c r="Q77" i="4"/>
  <c r="M33" i="4"/>
  <c r="M271" i="4"/>
  <c r="J76" i="4"/>
  <c r="J40" i="4"/>
  <c r="H271" i="4"/>
  <c r="H33" i="4"/>
  <c r="X130" i="4"/>
  <c r="X166" i="4"/>
  <c r="V365" i="4"/>
  <c r="V26" i="4"/>
  <c r="AA41" i="4"/>
  <c r="AA77" i="4"/>
  <c r="X33" i="4"/>
  <c r="X271" i="4"/>
  <c r="U250" i="4"/>
  <c r="U42" i="4"/>
  <c r="U30" i="4"/>
  <c r="U74" i="4"/>
  <c r="V166" i="4"/>
  <c r="N44" i="17"/>
  <c r="Z74" i="17"/>
  <c r="Z43" i="17"/>
  <c r="Z44" i="17"/>
  <c r="K42" i="4"/>
  <c r="N134" i="17"/>
  <c r="Q134" i="17"/>
  <c r="K44" i="17"/>
  <c r="P44" i="17"/>
  <c r="Q43" i="17"/>
  <c r="Q44" i="17"/>
  <c r="G47" i="17"/>
  <c r="G49" i="17"/>
  <c r="G50" i="17"/>
  <c r="Q60" i="17"/>
  <c r="Q62" i="17"/>
  <c r="Q66" i="17"/>
  <c r="Q70" i="17"/>
  <c r="Q74" i="17"/>
  <c r="Q79" i="17"/>
  <c r="Q81" i="17"/>
  <c r="Q83" i="17"/>
  <c r="Q90" i="17"/>
  <c r="Q97" i="17"/>
  <c r="J134" i="17"/>
  <c r="V41" i="8"/>
  <c r="T134" i="17"/>
  <c r="L332" i="17"/>
  <c r="M329" i="17"/>
  <c r="M332" i="17"/>
  <c r="N329" i="17"/>
  <c r="N332" i="17"/>
  <c r="O329" i="17"/>
  <c r="O332" i="17"/>
  <c r="P329" i="17"/>
  <c r="P332" i="17"/>
  <c r="Q329" i="17"/>
  <c r="Q332" i="17"/>
  <c r="R329" i="17"/>
  <c r="I134" i="17"/>
  <c r="X164" i="17"/>
  <c r="S133" i="17"/>
  <c r="S134" i="17"/>
  <c r="W134" i="17"/>
  <c r="R44" i="4"/>
  <c r="I290" i="4"/>
  <c r="J287" i="4"/>
  <c r="J290" i="4"/>
  <c r="K287" i="4"/>
  <c r="K290" i="4"/>
  <c r="L287" i="4"/>
  <c r="L290" i="4"/>
  <c r="M287" i="4"/>
  <c r="M290" i="4"/>
  <c r="N287" i="4"/>
  <c r="N290" i="4"/>
  <c r="O287" i="4"/>
  <c r="S235" i="4"/>
  <c r="T232" i="4"/>
  <c r="T235" i="4"/>
  <c r="U232" i="4"/>
  <c r="X185" i="4"/>
  <c r="V185" i="4"/>
  <c r="V284" i="4"/>
  <c r="J42" i="4"/>
  <c r="Y185" i="4"/>
  <c r="H213" i="4"/>
  <c r="H214" i="4"/>
  <c r="I211" i="4"/>
  <c r="I214" i="4"/>
  <c r="J211" i="4"/>
  <c r="J214" i="4"/>
  <c r="K211" i="4"/>
  <c r="K214" i="4"/>
  <c r="L211" i="4"/>
  <c r="L214" i="4"/>
  <c r="M211" i="4"/>
  <c r="M214" i="4"/>
  <c r="N211" i="4"/>
  <c r="N214" i="4"/>
  <c r="O211" i="4"/>
  <c r="O214" i="4"/>
  <c r="P211" i="4"/>
  <c r="P214" i="4"/>
  <c r="Q211" i="4"/>
  <c r="Q214" i="4"/>
  <c r="R211" i="4"/>
  <c r="R214" i="4"/>
  <c r="S211" i="4"/>
  <c r="S214" i="4"/>
  <c r="T211" i="4"/>
  <c r="T214" i="4"/>
  <c r="U211" i="4"/>
  <c r="U214" i="4"/>
  <c r="V211" i="4"/>
  <c r="V214" i="4"/>
  <c r="W211" i="4"/>
  <c r="W214" i="4"/>
  <c r="X211" i="4"/>
  <c r="X214" i="4"/>
  <c r="Y211" i="4"/>
  <c r="Y214" i="4"/>
  <c r="Z211" i="4"/>
  <c r="Z214" i="4"/>
  <c r="AA211" i="4"/>
  <c r="AA214" i="4"/>
  <c r="H208" i="4"/>
  <c r="H42" i="4"/>
  <c r="H39" i="4"/>
  <c r="H75" i="4"/>
  <c r="V133" i="17"/>
  <c r="V134" i="17"/>
  <c r="O290" i="4"/>
  <c r="P287" i="4"/>
  <c r="P290" i="4"/>
  <c r="Q287" i="4"/>
  <c r="X134" i="17"/>
  <c r="T118" i="4"/>
  <c r="T284" i="4"/>
  <c r="T132" i="4"/>
  <c r="M284" i="4"/>
  <c r="M118" i="4"/>
  <c r="M162" i="4"/>
  <c r="L284" i="4"/>
  <c r="L118" i="4"/>
  <c r="L162" i="4"/>
  <c r="S284" i="4"/>
  <c r="S118" i="4"/>
  <c r="S162" i="4"/>
  <c r="AA118" i="4"/>
  <c r="AA284" i="4"/>
  <c r="AA132" i="4"/>
  <c r="U284" i="4"/>
  <c r="U118" i="4"/>
  <c r="U162" i="4"/>
  <c r="Z284" i="4"/>
  <c r="Z132" i="4"/>
  <c r="Z118" i="4"/>
  <c r="O118" i="4"/>
  <c r="O162" i="4"/>
  <c r="O284" i="4"/>
  <c r="N284" i="4"/>
  <c r="N118" i="4"/>
  <c r="N162" i="4"/>
  <c r="K284" i="4"/>
  <c r="K118" i="4"/>
  <c r="K162" i="4"/>
  <c r="R284" i="4"/>
  <c r="R118" i="4"/>
  <c r="R162" i="4"/>
  <c r="P284" i="4"/>
  <c r="P118" i="4"/>
  <c r="P162" i="4"/>
  <c r="U289" i="4"/>
  <c r="U185" i="4"/>
  <c r="J284" i="4"/>
  <c r="J118" i="4"/>
  <c r="J162" i="4"/>
  <c r="R311" i="4"/>
  <c r="S308" i="4"/>
  <c r="S311" i="4"/>
  <c r="T308" i="4"/>
  <c r="T311" i="4"/>
  <c r="U308" i="4"/>
  <c r="U311" i="4"/>
  <c r="V308" i="4"/>
  <c r="V311" i="4"/>
  <c r="W308" i="4"/>
  <c r="W311" i="4"/>
  <c r="X308" i="4"/>
  <c r="X311" i="4"/>
  <c r="Y308" i="4"/>
  <c r="Y311" i="4"/>
  <c r="Z308" i="4"/>
  <c r="Z311" i="4"/>
  <c r="AA308" i="4"/>
  <c r="AA311" i="4"/>
  <c r="U132" i="4"/>
  <c r="Y118" i="4"/>
  <c r="Y284" i="4"/>
  <c r="Y132" i="4"/>
  <c r="T289" i="4"/>
  <c r="T185" i="4"/>
  <c r="X284" i="4"/>
  <c r="X132" i="4"/>
  <c r="X118" i="4"/>
  <c r="X162" i="4"/>
  <c r="I284" i="4"/>
  <c r="I118" i="4"/>
  <c r="I162" i="4"/>
  <c r="H164" i="17"/>
  <c r="H133" i="17"/>
  <c r="H134" i="17"/>
  <c r="Y102" i="8"/>
  <c r="Y83" i="8"/>
  <c r="Y85" i="8"/>
  <c r="L134" i="17"/>
  <c r="W132" i="4"/>
  <c r="W134" i="4"/>
  <c r="K134" i="17"/>
  <c r="V132" i="4"/>
  <c r="X256" i="17"/>
  <c r="Y253" i="17"/>
  <c r="Y256" i="17"/>
  <c r="Z253" i="17"/>
  <c r="Z256" i="17"/>
  <c r="AA253" i="17"/>
  <c r="AA256" i="17"/>
  <c r="V102" i="8"/>
  <c r="V83" i="8"/>
  <c r="V85" i="8"/>
  <c r="R332" i="17"/>
  <c r="S329" i="17"/>
  <c r="S332" i="17"/>
  <c r="T329" i="17"/>
  <c r="T332" i="17"/>
  <c r="U329" i="17"/>
  <c r="U332" i="17"/>
  <c r="V329" i="17"/>
  <c r="V332" i="17"/>
  <c r="W329" i="17"/>
  <c r="W332" i="17"/>
  <c r="X329" i="17"/>
  <c r="X332" i="17"/>
  <c r="Y329" i="17"/>
  <c r="Y332" i="17"/>
  <c r="Z329" i="17"/>
  <c r="Z332" i="17"/>
  <c r="AA329" i="17"/>
  <c r="AA332" i="17"/>
  <c r="G136" i="4"/>
  <c r="G138" i="4"/>
  <c r="G136" i="17"/>
  <c r="N42" i="1"/>
  <c r="Q290" i="4"/>
  <c r="R287" i="4"/>
  <c r="R290" i="4"/>
  <c r="S287" i="4"/>
  <c r="S290" i="4"/>
  <c r="T287" i="4"/>
  <c r="N68" i="4"/>
  <c r="N91" i="4"/>
  <c r="N43" i="4"/>
  <c r="N44" i="4"/>
  <c r="AA68" i="4"/>
  <c r="AA91" i="4"/>
  <c r="AA43" i="4"/>
  <c r="AA44" i="4"/>
  <c r="Q68" i="4"/>
  <c r="Q91" i="4"/>
  <c r="Q43" i="4"/>
  <c r="Q44" i="4"/>
  <c r="T68" i="4"/>
  <c r="T91" i="4"/>
  <c r="T43" i="4"/>
  <c r="O68" i="4"/>
  <c r="O91" i="4"/>
  <c r="O43" i="4"/>
  <c r="O158" i="4"/>
  <c r="O181" i="4"/>
  <c r="X42" i="4"/>
  <c r="V133" i="4"/>
  <c r="V162" i="4"/>
  <c r="I256" i="4"/>
  <c r="J253" i="4"/>
  <c r="J256" i="4"/>
  <c r="K253" i="4"/>
  <c r="K256" i="4"/>
  <c r="L253" i="4"/>
  <c r="L256" i="4"/>
  <c r="M253" i="4"/>
  <c r="M256" i="4"/>
  <c r="N253" i="4"/>
  <c r="N256" i="4"/>
  <c r="O253" i="4"/>
  <c r="O256" i="4"/>
  <c r="P253" i="4"/>
  <c r="P256" i="4"/>
  <c r="Q253" i="4"/>
  <c r="Q256" i="4"/>
  <c r="R253" i="4"/>
  <c r="R256" i="4"/>
  <c r="S253" i="4"/>
  <c r="S256" i="4"/>
  <c r="T253" i="4"/>
  <c r="T256" i="4"/>
  <c r="U253" i="4"/>
  <c r="U256" i="4"/>
  <c r="V253" i="4"/>
  <c r="V256" i="4"/>
  <c r="W253" i="4"/>
  <c r="W256" i="4"/>
  <c r="X253" i="4"/>
  <c r="X256" i="4"/>
  <c r="Y253" i="4"/>
  <c r="Y256" i="4"/>
  <c r="Z253" i="4"/>
  <c r="Z256" i="4"/>
  <c r="AA253" i="4"/>
  <c r="AA256" i="4"/>
  <c r="I42" i="4"/>
  <c r="H68" i="4"/>
  <c r="H91" i="4"/>
  <c r="H43" i="4"/>
  <c r="H77" i="4"/>
  <c r="H41" i="4"/>
  <c r="W68" i="4"/>
  <c r="W91" i="4"/>
  <c r="W43" i="4"/>
  <c r="W44" i="4"/>
  <c r="M68" i="4"/>
  <c r="M91" i="4"/>
  <c r="M43" i="4"/>
  <c r="P68" i="4"/>
  <c r="P91" i="4"/>
  <c r="P43" i="4"/>
  <c r="P44" i="4"/>
  <c r="K68" i="4"/>
  <c r="K91" i="4"/>
  <c r="K43" i="4"/>
  <c r="X163" i="4"/>
  <c r="X133" i="4"/>
  <c r="L113" i="23"/>
  <c r="N115" i="1"/>
  <c r="N92" i="1"/>
  <c r="N62" i="16"/>
  <c r="M113" i="23"/>
  <c r="O41" i="4"/>
  <c r="O77" i="4"/>
  <c r="V41" i="4"/>
  <c r="V77" i="4"/>
  <c r="T41" i="4"/>
  <c r="T77" i="4"/>
  <c r="V68" i="4"/>
  <c r="V91" i="4"/>
  <c r="V43" i="4"/>
  <c r="M41" i="4"/>
  <c r="M77" i="4"/>
  <c r="L68" i="4"/>
  <c r="L91" i="4"/>
  <c r="L43" i="4"/>
  <c r="L44" i="4"/>
  <c r="K131" i="4"/>
  <c r="K167" i="4"/>
  <c r="Y68" i="4"/>
  <c r="Y91" i="4"/>
  <c r="Y43" i="4"/>
  <c r="Y44" i="4"/>
  <c r="I68" i="4"/>
  <c r="I91" i="4"/>
  <c r="I43" i="4"/>
  <c r="L92" i="1"/>
  <c r="L49" i="1"/>
  <c r="L56" i="16"/>
  <c r="L115" i="1"/>
  <c r="L62" i="16"/>
  <c r="N63" i="16"/>
  <c r="L114" i="23"/>
  <c r="M114" i="23"/>
  <c r="N116" i="1"/>
  <c r="H162" i="4"/>
  <c r="U235" i="4"/>
  <c r="V232" i="4"/>
  <c r="V235" i="4"/>
  <c r="W232" i="4"/>
  <c r="W235" i="4"/>
  <c r="X232" i="4"/>
  <c r="X235" i="4"/>
  <c r="Y232" i="4"/>
  <c r="Y235" i="4"/>
  <c r="Z232" i="4"/>
  <c r="Z235" i="4"/>
  <c r="AA232" i="4"/>
  <c r="AA235" i="4"/>
  <c r="U133" i="4"/>
  <c r="X41" i="4"/>
  <c r="X77" i="4"/>
  <c r="Z68" i="4"/>
  <c r="Z91" i="4"/>
  <c r="Z43" i="4"/>
  <c r="Z44" i="4"/>
  <c r="U68" i="4"/>
  <c r="U91" i="4"/>
  <c r="U43" i="4"/>
  <c r="X68" i="4"/>
  <c r="X91" i="4"/>
  <c r="X43" i="4"/>
  <c r="S68" i="4"/>
  <c r="S91" i="4"/>
  <c r="S43" i="4"/>
  <c r="S44" i="4"/>
  <c r="U41" i="4"/>
  <c r="U77" i="4"/>
  <c r="J68" i="4"/>
  <c r="J91" i="4"/>
  <c r="J43" i="4"/>
  <c r="J44" i="4"/>
  <c r="K44" i="4"/>
  <c r="U134" i="4"/>
  <c r="X60" i="17"/>
  <c r="X62" i="17"/>
  <c r="X66" i="17"/>
  <c r="X70" i="17"/>
  <c r="X79" i="17"/>
  <c r="X81" i="17"/>
  <c r="X83" i="17"/>
  <c r="X90" i="17"/>
  <c r="X97" i="17"/>
  <c r="O44" i="4"/>
  <c r="T290" i="4"/>
  <c r="U287" i="4"/>
  <c r="U290" i="4"/>
  <c r="V287" i="4"/>
  <c r="V290" i="4"/>
  <c r="W287" i="4"/>
  <c r="W290" i="4"/>
  <c r="X287" i="4"/>
  <c r="X290" i="4"/>
  <c r="Y287" i="4"/>
  <c r="Y290" i="4"/>
  <c r="Z287" i="4"/>
  <c r="Z290" i="4"/>
  <c r="AA287" i="4"/>
  <c r="AA290" i="4"/>
  <c r="V45" i="8"/>
  <c r="N47" i="1"/>
  <c r="Z162" i="4"/>
  <c r="Z133" i="4"/>
  <c r="Z134" i="4"/>
  <c r="AA162" i="4"/>
  <c r="AA133" i="4"/>
  <c r="AA134" i="4"/>
  <c r="T162" i="4"/>
  <c r="T133" i="4"/>
  <c r="T134" i="4"/>
  <c r="X134" i="4"/>
  <c r="Y162" i="4"/>
  <c r="Y133" i="4"/>
  <c r="Y134" i="4"/>
  <c r="V134" i="4"/>
  <c r="H60" i="17"/>
  <c r="H62" i="17"/>
  <c r="H66" i="17"/>
  <c r="H70" i="17"/>
  <c r="H79" i="17"/>
  <c r="H81" i="17"/>
  <c r="H83" i="17"/>
  <c r="H90" i="17"/>
  <c r="H97" i="17"/>
  <c r="P60" i="17"/>
  <c r="P62" i="17"/>
  <c r="P66" i="17"/>
  <c r="P70" i="17"/>
  <c r="P79" i="17"/>
  <c r="P81" i="17"/>
  <c r="P83" i="17"/>
  <c r="P90" i="17"/>
  <c r="P97" i="17"/>
  <c r="K60" i="17"/>
  <c r="K62" i="17"/>
  <c r="K66" i="17"/>
  <c r="K70" i="17"/>
  <c r="K79" i="17"/>
  <c r="K81" i="17"/>
  <c r="K83" i="17"/>
  <c r="K90" i="17"/>
  <c r="K97" i="17"/>
  <c r="W60" i="17"/>
  <c r="W62" i="17"/>
  <c r="W66" i="17"/>
  <c r="W70" i="17"/>
  <c r="W79" i="17"/>
  <c r="W81" i="17"/>
  <c r="W83" i="17"/>
  <c r="W90" i="17"/>
  <c r="W97" i="17"/>
  <c r="S60" i="17"/>
  <c r="S62" i="17"/>
  <c r="S66" i="17"/>
  <c r="S70" i="17"/>
  <c r="S79" i="17"/>
  <c r="S81" i="17"/>
  <c r="S83" i="17"/>
  <c r="S90" i="17"/>
  <c r="S97" i="17"/>
  <c r="O60" i="17"/>
  <c r="O62" i="17"/>
  <c r="O66" i="17"/>
  <c r="O70" i="17"/>
  <c r="O79" i="17"/>
  <c r="L63" i="1"/>
  <c r="V60" i="17"/>
  <c r="V62" i="17"/>
  <c r="V66" i="17"/>
  <c r="V70" i="17"/>
  <c r="V79" i="17"/>
  <c r="V81" i="17"/>
  <c r="V83" i="17"/>
  <c r="V90" i="17"/>
  <c r="V97" i="17"/>
  <c r="J60" i="17"/>
  <c r="J62" i="17"/>
  <c r="J66" i="17"/>
  <c r="J70" i="17"/>
  <c r="J79" i="17"/>
  <c r="J81" i="17"/>
  <c r="M60" i="17"/>
  <c r="M62" i="17"/>
  <c r="M66" i="17"/>
  <c r="M70" i="17"/>
  <c r="M79" i="17"/>
  <c r="M81" i="17"/>
  <c r="M83" i="17"/>
  <c r="M90" i="17"/>
  <c r="M97" i="17"/>
  <c r="R60" i="17"/>
  <c r="R62" i="17"/>
  <c r="R66" i="17"/>
  <c r="R70" i="17"/>
  <c r="R79" i="17"/>
  <c r="R81" i="17"/>
  <c r="R83" i="17"/>
  <c r="R90" i="17"/>
  <c r="R97" i="17"/>
  <c r="N60" i="17"/>
  <c r="N62" i="17"/>
  <c r="N66" i="17"/>
  <c r="N70" i="17"/>
  <c r="N79" i="17"/>
  <c r="N81" i="17"/>
  <c r="N83" i="17"/>
  <c r="N90" i="17"/>
  <c r="N97" i="17"/>
  <c r="U60" i="17"/>
  <c r="U62" i="17"/>
  <c r="U66" i="17"/>
  <c r="U70" i="17"/>
  <c r="U79" i="17"/>
  <c r="U81" i="17"/>
  <c r="U83" i="17"/>
  <c r="U90" i="17"/>
  <c r="U97" i="17"/>
  <c r="AA60" i="17"/>
  <c r="AA62" i="17"/>
  <c r="AA66" i="17"/>
  <c r="AA70" i="17"/>
  <c r="AA79" i="17"/>
  <c r="AA81" i="17"/>
  <c r="AA83" i="17"/>
  <c r="AA90" i="17"/>
  <c r="AA97" i="17"/>
  <c r="L60" i="17"/>
  <c r="L62" i="17"/>
  <c r="L66" i="17"/>
  <c r="L70" i="17"/>
  <c r="L79" i="17"/>
  <c r="L81" i="17"/>
  <c r="L83" i="17"/>
  <c r="L90" i="17"/>
  <c r="L97" i="17"/>
  <c r="I60" i="17"/>
  <c r="I62" i="17"/>
  <c r="I66" i="17"/>
  <c r="I70" i="17"/>
  <c r="I79" i="17"/>
  <c r="I81" i="17"/>
  <c r="I83" i="17"/>
  <c r="I90" i="17"/>
  <c r="I97" i="17"/>
  <c r="Z60" i="17"/>
  <c r="Z62" i="17"/>
  <c r="Z66" i="17"/>
  <c r="Z70" i="17"/>
  <c r="Z79" i="17"/>
  <c r="Z81" i="17"/>
  <c r="Z83" i="17"/>
  <c r="Z90" i="17"/>
  <c r="Z97" i="17"/>
  <c r="Y60" i="17"/>
  <c r="Y62" i="17"/>
  <c r="Y66" i="17"/>
  <c r="Y70" i="17"/>
  <c r="Y79" i="17"/>
  <c r="Y81" i="17"/>
  <c r="Y83" i="17"/>
  <c r="Y90" i="17"/>
  <c r="Y97" i="17"/>
  <c r="T60" i="17"/>
  <c r="T62" i="17"/>
  <c r="T66" i="17"/>
  <c r="T70" i="17"/>
  <c r="T79" i="17"/>
  <c r="T81" i="17"/>
  <c r="T83" i="17"/>
  <c r="T90" i="17"/>
  <c r="T97" i="17"/>
  <c r="T44" i="4"/>
  <c r="O81" i="17"/>
  <c r="O83" i="17"/>
  <c r="O90" i="17"/>
  <c r="O97" i="17"/>
  <c r="H44" i="4"/>
  <c r="U44" i="4"/>
  <c r="N54" i="16"/>
  <c r="L83" i="23"/>
  <c r="G138" i="17"/>
  <c r="G137" i="17"/>
  <c r="M44" i="4"/>
  <c r="V44" i="4"/>
  <c r="N85" i="16"/>
  <c r="M192" i="23"/>
  <c r="S192" i="23"/>
  <c r="M169" i="23"/>
  <c r="X44" i="4"/>
  <c r="L119" i="1"/>
  <c r="L85" i="16"/>
  <c r="L120" i="23"/>
  <c r="M144" i="23"/>
  <c r="I44" i="4"/>
  <c r="N86" i="16"/>
  <c r="M194" i="23"/>
  <c r="S194" i="23"/>
  <c r="M170" i="23"/>
  <c r="G321" i="4"/>
  <c r="G321" i="17"/>
  <c r="J83" i="17"/>
  <c r="J90" i="17"/>
  <c r="J97" i="17"/>
  <c r="G99" i="17"/>
  <c r="G139" i="17"/>
  <c r="G140" i="17"/>
  <c r="U150" i="17"/>
  <c r="U152" i="17"/>
  <c r="U156" i="17"/>
  <c r="U160" i="17"/>
  <c r="U169" i="17"/>
  <c r="U171" i="17"/>
  <c r="U173" i="17"/>
  <c r="U180" i="17"/>
  <c r="U187" i="17"/>
  <c r="N47" i="16"/>
  <c r="M83" i="23"/>
  <c r="N49" i="1"/>
  <c r="N56" i="16"/>
  <c r="L325" i="4"/>
  <c r="N325" i="4"/>
  <c r="O325" i="4"/>
  <c r="K325" i="4"/>
  <c r="M325" i="4"/>
  <c r="S324" i="4"/>
  <c r="S325" i="4"/>
  <c r="I325" i="4"/>
  <c r="Q324" i="4"/>
  <c r="R325" i="4"/>
  <c r="I324" i="4"/>
  <c r="H324" i="4"/>
  <c r="Q325" i="4"/>
  <c r="L324" i="4"/>
  <c r="N324" i="4"/>
  <c r="P325" i="4"/>
  <c r="P324" i="4"/>
  <c r="J324" i="4"/>
  <c r="M324" i="4"/>
  <c r="O324" i="4"/>
  <c r="R324" i="4"/>
  <c r="K324" i="4"/>
  <c r="H325" i="4"/>
  <c r="J325" i="4"/>
  <c r="G47" i="4"/>
  <c r="G49" i="4"/>
  <c r="G50" i="4"/>
  <c r="X60" i="4"/>
  <c r="X62" i="4"/>
  <c r="X66" i="4"/>
  <c r="X70" i="4"/>
  <c r="X79" i="4"/>
  <c r="L89" i="16"/>
  <c r="L137" i="1"/>
  <c r="L150" i="1"/>
  <c r="M134" i="23"/>
  <c r="L132" i="1"/>
  <c r="N43" i="24"/>
  <c r="M60" i="4"/>
  <c r="M62" i="4"/>
  <c r="M66" i="4"/>
  <c r="M70" i="4"/>
  <c r="M79" i="4"/>
  <c r="M81" i="4"/>
  <c r="M83" i="4"/>
  <c r="M90" i="4"/>
  <c r="M97" i="4"/>
  <c r="P150" i="17"/>
  <c r="P152" i="17"/>
  <c r="P156" i="17"/>
  <c r="P160" i="17"/>
  <c r="P169" i="17"/>
  <c r="P171" i="17"/>
  <c r="P173" i="17"/>
  <c r="P180" i="17"/>
  <c r="P187" i="17"/>
  <c r="H150" i="17"/>
  <c r="H152" i="17"/>
  <c r="H156" i="17"/>
  <c r="H160" i="17"/>
  <c r="H169" i="17"/>
  <c r="H171" i="17"/>
  <c r="H173" i="17"/>
  <c r="H180" i="17"/>
  <c r="H187" i="17"/>
  <c r="S60" i="4"/>
  <c r="S62" i="4"/>
  <c r="S66" i="4"/>
  <c r="S70" i="4"/>
  <c r="S79" i="4"/>
  <c r="S81" i="4"/>
  <c r="S83" i="4"/>
  <c r="S90" i="4"/>
  <c r="S97" i="4"/>
  <c r="U60" i="4"/>
  <c r="U62" i="4"/>
  <c r="U66" i="4"/>
  <c r="U70" i="4"/>
  <c r="U79" i="4"/>
  <c r="Q150" i="17"/>
  <c r="Q152" i="17"/>
  <c r="Q156" i="17"/>
  <c r="Q160" i="17"/>
  <c r="Q169" i="17"/>
  <c r="Y150" i="17"/>
  <c r="Y152" i="17"/>
  <c r="Y156" i="17"/>
  <c r="Y160" i="17"/>
  <c r="Y169" i="17"/>
  <c r="Y171" i="17"/>
  <c r="Y173" i="17"/>
  <c r="Y180" i="17"/>
  <c r="Y187" i="17"/>
  <c r="W60" i="4"/>
  <c r="W62" i="4"/>
  <c r="W66" i="4"/>
  <c r="W70" i="4"/>
  <c r="W79" i="4"/>
  <c r="W81" i="4"/>
  <c r="W83" i="4"/>
  <c r="W90" i="4"/>
  <c r="W97" i="4"/>
  <c r="T150" i="17"/>
  <c r="T152" i="17"/>
  <c r="T156" i="17"/>
  <c r="T160" i="17"/>
  <c r="T169" i="17"/>
  <c r="T171" i="17"/>
  <c r="T173" i="17"/>
  <c r="T180" i="17"/>
  <c r="T187" i="17"/>
  <c r="J150" i="17"/>
  <c r="J152" i="17"/>
  <c r="J156" i="17"/>
  <c r="J160" i="17"/>
  <c r="J169" i="17"/>
  <c r="J171" i="17"/>
  <c r="J173" i="17"/>
  <c r="J180" i="17"/>
  <c r="J187" i="17"/>
  <c r="O150" i="17"/>
  <c r="O152" i="17"/>
  <c r="O156" i="17"/>
  <c r="O160" i="17"/>
  <c r="O169" i="17"/>
  <c r="O171" i="17"/>
  <c r="O173" i="17"/>
  <c r="O180" i="17"/>
  <c r="O187" i="17"/>
  <c r="I150" i="17"/>
  <c r="I152" i="17"/>
  <c r="I156" i="17"/>
  <c r="I160" i="17"/>
  <c r="I169" i="17"/>
  <c r="I171" i="17"/>
  <c r="I173" i="17"/>
  <c r="I180" i="17"/>
  <c r="I187" i="17"/>
  <c r="N63" i="1"/>
  <c r="H60" i="4"/>
  <c r="H62" i="4"/>
  <c r="H66" i="4"/>
  <c r="H70" i="4"/>
  <c r="H79" i="4"/>
  <c r="H81" i="4"/>
  <c r="H83" i="4"/>
  <c r="H90" i="4"/>
  <c r="H97" i="4"/>
  <c r="L60" i="4"/>
  <c r="L62" i="4"/>
  <c r="L66" i="4"/>
  <c r="L70" i="4"/>
  <c r="L79" i="4"/>
  <c r="J60" i="4"/>
  <c r="J62" i="4"/>
  <c r="J66" i="4"/>
  <c r="J70" i="4"/>
  <c r="J79" i="4"/>
  <c r="J81" i="4"/>
  <c r="J83" i="4"/>
  <c r="J90" i="4"/>
  <c r="J97" i="4"/>
  <c r="L62" i="1"/>
  <c r="L61" i="1"/>
  <c r="L143" i="1"/>
  <c r="I60" i="4"/>
  <c r="I62" i="4"/>
  <c r="I66" i="4"/>
  <c r="I70" i="4"/>
  <c r="I79" i="4"/>
  <c r="I81" i="4"/>
  <c r="I83" i="4"/>
  <c r="I90" i="4"/>
  <c r="I97" i="4"/>
  <c r="V60" i="4"/>
  <c r="V62" i="4"/>
  <c r="V66" i="4"/>
  <c r="V70" i="4"/>
  <c r="V79" i="4"/>
  <c r="V81" i="4"/>
  <c r="V83" i="4"/>
  <c r="V90" i="4"/>
  <c r="V97" i="4"/>
  <c r="K60" i="4"/>
  <c r="K62" i="4"/>
  <c r="K66" i="4"/>
  <c r="K70" i="4"/>
  <c r="K79" i="4"/>
  <c r="K81" i="4"/>
  <c r="K83" i="4"/>
  <c r="K90" i="4"/>
  <c r="K97" i="4"/>
  <c r="Y60" i="4"/>
  <c r="Y62" i="4"/>
  <c r="Y66" i="4"/>
  <c r="Y70" i="4"/>
  <c r="Y79" i="4"/>
  <c r="Y81" i="4"/>
  <c r="Y83" i="4"/>
  <c r="Y90" i="4"/>
  <c r="Y97" i="4"/>
  <c r="Z60" i="4"/>
  <c r="Z62" i="4"/>
  <c r="Z66" i="4"/>
  <c r="Z70" i="4"/>
  <c r="Z79" i="4"/>
  <c r="Z81" i="4"/>
  <c r="Z83" i="4"/>
  <c r="Z90" i="4"/>
  <c r="Z97" i="4"/>
  <c r="Q60" i="4"/>
  <c r="Q62" i="4"/>
  <c r="Q66" i="4"/>
  <c r="Q70" i="4"/>
  <c r="Q79" i="4"/>
  <c r="Q81" i="4"/>
  <c r="Q83" i="4"/>
  <c r="Q90" i="4"/>
  <c r="Q97" i="4"/>
  <c r="O60" i="4"/>
  <c r="O62" i="4"/>
  <c r="O66" i="4"/>
  <c r="O70" i="4"/>
  <c r="O79" i="4"/>
  <c r="O81" i="4"/>
  <c r="O83" i="4"/>
  <c r="O90" i="4"/>
  <c r="O97" i="4"/>
  <c r="T60" i="4"/>
  <c r="T62" i="4"/>
  <c r="T66" i="4"/>
  <c r="T70" i="4"/>
  <c r="T79" i="4"/>
  <c r="T81" i="4"/>
  <c r="T83" i="4"/>
  <c r="T90" i="4"/>
  <c r="T97" i="4"/>
  <c r="R150" i="17"/>
  <c r="R152" i="17"/>
  <c r="R156" i="17"/>
  <c r="R160" i="17"/>
  <c r="R169" i="17"/>
  <c r="R171" i="17"/>
  <c r="R173" i="17"/>
  <c r="R180" i="17"/>
  <c r="R187" i="17"/>
  <c r="X150" i="17"/>
  <c r="X152" i="17"/>
  <c r="X156" i="17"/>
  <c r="X160" i="17"/>
  <c r="X169" i="17"/>
  <c r="X171" i="17"/>
  <c r="X173" i="17"/>
  <c r="X180" i="17"/>
  <c r="X187" i="17"/>
  <c r="AA150" i="17"/>
  <c r="AA152" i="17"/>
  <c r="AA156" i="17"/>
  <c r="AA160" i="17"/>
  <c r="AA169" i="17"/>
  <c r="AA171" i="17"/>
  <c r="AA173" i="17"/>
  <c r="AA180" i="17"/>
  <c r="AA187" i="17"/>
  <c r="M150" i="17"/>
  <c r="M152" i="17"/>
  <c r="M156" i="17"/>
  <c r="M160" i="17"/>
  <c r="M169" i="17"/>
  <c r="M171" i="17"/>
  <c r="M173" i="17"/>
  <c r="M180" i="17"/>
  <c r="M187" i="17"/>
  <c r="Z150" i="17"/>
  <c r="Z152" i="17"/>
  <c r="Z156" i="17"/>
  <c r="Z160" i="17"/>
  <c r="Z169" i="17"/>
  <c r="Z171" i="17"/>
  <c r="Z173" i="17"/>
  <c r="Z180" i="17"/>
  <c r="Z187" i="17"/>
  <c r="S150" i="17"/>
  <c r="S152" i="17"/>
  <c r="S156" i="17"/>
  <c r="S160" i="17"/>
  <c r="S169" i="17"/>
  <c r="S171" i="17"/>
  <c r="S173" i="17"/>
  <c r="S180" i="17"/>
  <c r="S187" i="17"/>
  <c r="V150" i="17"/>
  <c r="V152" i="17"/>
  <c r="V156" i="17"/>
  <c r="V160" i="17"/>
  <c r="V169" i="17"/>
  <c r="V171" i="17"/>
  <c r="V173" i="17"/>
  <c r="V180" i="17"/>
  <c r="V187" i="17"/>
  <c r="L150" i="17"/>
  <c r="L152" i="17"/>
  <c r="L156" i="17"/>
  <c r="L160" i="17"/>
  <c r="L169" i="17"/>
  <c r="L171" i="17"/>
  <c r="L173" i="17"/>
  <c r="L180" i="17"/>
  <c r="L187" i="17"/>
  <c r="N150" i="17"/>
  <c r="N152" i="17"/>
  <c r="N156" i="17"/>
  <c r="N160" i="17"/>
  <c r="N169" i="17"/>
  <c r="N171" i="17"/>
  <c r="N173" i="17"/>
  <c r="N180" i="17"/>
  <c r="N187" i="17"/>
  <c r="AA60" i="4"/>
  <c r="AA62" i="4"/>
  <c r="AA66" i="4"/>
  <c r="AA70" i="4"/>
  <c r="AA79" i="4"/>
  <c r="P60" i="4"/>
  <c r="P62" i="4"/>
  <c r="P66" i="4"/>
  <c r="P70" i="4"/>
  <c r="P79" i="4"/>
  <c r="P81" i="4"/>
  <c r="P83" i="4"/>
  <c r="P90" i="4"/>
  <c r="P97" i="4"/>
  <c r="N60" i="4"/>
  <c r="N62" i="4"/>
  <c r="N66" i="4"/>
  <c r="N70" i="4"/>
  <c r="N79" i="4"/>
  <c r="N81" i="4"/>
  <c r="N83" i="4"/>
  <c r="N90" i="4"/>
  <c r="N97" i="4"/>
  <c r="R60" i="4"/>
  <c r="R62" i="4"/>
  <c r="R66" i="4"/>
  <c r="R70" i="4"/>
  <c r="R79" i="4"/>
  <c r="R81" i="4"/>
  <c r="R83" i="4"/>
  <c r="R90" i="4"/>
  <c r="R97" i="4"/>
  <c r="K150" i="17"/>
  <c r="K152" i="17"/>
  <c r="K156" i="17"/>
  <c r="K160" i="17"/>
  <c r="K169" i="17"/>
  <c r="K171" i="17"/>
  <c r="K173" i="17"/>
  <c r="K180" i="17"/>
  <c r="K187" i="17"/>
  <c r="W150" i="17"/>
  <c r="W152" i="17"/>
  <c r="W156" i="17"/>
  <c r="W160" i="17"/>
  <c r="W169" i="17"/>
  <c r="W171" i="17"/>
  <c r="W173" i="17"/>
  <c r="W180" i="17"/>
  <c r="W187" i="17"/>
  <c r="R326" i="4"/>
  <c r="R132" i="4"/>
  <c r="R120" i="4"/>
  <c r="P326" i="4"/>
  <c r="P132" i="4"/>
  <c r="P120" i="4"/>
  <c r="Q331" i="4"/>
  <c r="Q185" i="4"/>
  <c r="Q120" i="4"/>
  <c r="Q326" i="4"/>
  <c r="Q132" i="4"/>
  <c r="M185" i="4"/>
  <c r="M331" i="4"/>
  <c r="L185" i="4"/>
  <c r="L331" i="4"/>
  <c r="J185" i="4"/>
  <c r="J331" i="4"/>
  <c r="O326" i="4"/>
  <c r="O132" i="4"/>
  <c r="O120" i="4"/>
  <c r="P185" i="4"/>
  <c r="P331" i="4"/>
  <c r="H326" i="4"/>
  <c r="H132" i="4"/>
  <c r="H120" i="4"/>
  <c r="I185" i="4"/>
  <c r="I331" i="4"/>
  <c r="K331" i="4"/>
  <c r="K185" i="4"/>
  <c r="H185" i="4"/>
  <c r="H331" i="4"/>
  <c r="H332" i="4"/>
  <c r="I329" i="4"/>
  <c r="I332" i="4"/>
  <c r="J329" i="4"/>
  <c r="J332" i="4"/>
  <c r="K329" i="4"/>
  <c r="M120" i="4"/>
  <c r="M326" i="4"/>
  <c r="M132" i="4"/>
  <c r="N326" i="4"/>
  <c r="N132" i="4"/>
  <c r="N120" i="4"/>
  <c r="I326" i="4"/>
  <c r="I132" i="4"/>
  <c r="I120" i="4"/>
  <c r="S331" i="4"/>
  <c r="S185" i="4"/>
  <c r="O331" i="4"/>
  <c r="O185" i="4"/>
  <c r="K120" i="4"/>
  <c r="K326" i="4"/>
  <c r="K132" i="4"/>
  <c r="J120" i="4"/>
  <c r="J326" i="4"/>
  <c r="J132" i="4"/>
  <c r="L120" i="4"/>
  <c r="L326" i="4"/>
  <c r="L132" i="4"/>
  <c r="R331" i="4"/>
  <c r="R185" i="4"/>
  <c r="S326" i="4"/>
  <c r="S132" i="4"/>
  <c r="S120" i="4"/>
  <c r="N185" i="4"/>
  <c r="N331" i="4"/>
  <c r="Q171" i="17"/>
  <c r="Q173" i="17"/>
  <c r="Q180" i="17"/>
  <c r="Q187" i="17"/>
  <c r="L81" i="4"/>
  <c r="L83" i="4"/>
  <c r="L90" i="4"/>
  <c r="L97" i="4"/>
  <c r="N76" i="24"/>
  <c r="U81" i="4"/>
  <c r="U83" i="4"/>
  <c r="U90" i="4"/>
  <c r="U97" i="4"/>
  <c r="X81" i="4"/>
  <c r="X83" i="4"/>
  <c r="X90" i="4"/>
  <c r="X97" i="4"/>
  <c r="AA81" i="4"/>
  <c r="AA83" i="4"/>
  <c r="AA90" i="4"/>
  <c r="AA97" i="4"/>
  <c r="M21" i="23"/>
  <c r="H164" i="4"/>
  <c r="H133" i="4"/>
  <c r="H134" i="4"/>
  <c r="O164" i="4"/>
  <c r="O133" i="4"/>
  <c r="O134" i="4"/>
  <c r="J164" i="4"/>
  <c r="J133" i="4"/>
  <c r="J134" i="4"/>
  <c r="M164" i="4"/>
  <c r="M133" i="4"/>
  <c r="M134" i="4"/>
  <c r="Q133" i="4"/>
  <c r="Q134" i="4"/>
  <c r="Q164" i="4"/>
  <c r="I164" i="4"/>
  <c r="I133" i="4"/>
  <c r="I134" i="4"/>
  <c r="S164" i="4"/>
  <c r="S133" i="4"/>
  <c r="S134" i="4"/>
  <c r="N133" i="4"/>
  <c r="N134" i="4"/>
  <c r="N164" i="4"/>
  <c r="K332" i="4"/>
  <c r="L329" i="4"/>
  <c r="L332" i="4"/>
  <c r="M329" i="4"/>
  <c r="M332" i="4"/>
  <c r="N329" i="4"/>
  <c r="N332" i="4"/>
  <c r="O329" i="4"/>
  <c r="O332" i="4"/>
  <c r="P329" i="4"/>
  <c r="P332" i="4"/>
  <c r="Q329" i="4"/>
  <c r="Q332" i="4"/>
  <c r="R329" i="4"/>
  <c r="R332" i="4"/>
  <c r="S329" i="4"/>
  <c r="S332" i="4"/>
  <c r="T329" i="4"/>
  <c r="T332" i="4"/>
  <c r="U329" i="4"/>
  <c r="U332" i="4"/>
  <c r="V329" i="4"/>
  <c r="V332" i="4"/>
  <c r="W329" i="4"/>
  <c r="W332" i="4"/>
  <c r="X329" i="4"/>
  <c r="X332" i="4"/>
  <c r="Y329" i="4"/>
  <c r="Y332" i="4"/>
  <c r="Z329" i="4"/>
  <c r="Z332" i="4"/>
  <c r="AA329" i="4"/>
  <c r="AA332" i="4"/>
  <c r="R133" i="4"/>
  <c r="R134" i="4"/>
  <c r="R164" i="4"/>
  <c r="P164" i="4"/>
  <c r="P133" i="4"/>
  <c r="P134" i="4"/>
  <c r="L133" i="4"/>
  <c r="L134" i="4"/>
  <c r="L164" i="4"/>
  <c r="K164" i="4"/>
  <c r="K133" i="4"/>
  <c r="K134" i="4"/>
  <c r="G189" i="17"/>
  <c r="G99" i="4"/>
  <c r="G137" i="4"/>
  <c r="G139" i="4"/>
  <c r="G140" i="4"/>
  <c r="N150" i="4"/>
  <c r="N152" i="4"/>
  <c r="N156" i="4"/>
  <c r="N160" i="4"/>
  <c r="N169" i="4"/>
  <c r="N171" i="4"/>
  <c r="N173" i="4"/>
  <c r="N180" i="4"/>
  <c r="N187" i="4"/>
  <c r="J150" i="4"/>
  <c r="J152" i="4"/>
  <c r="J156" i="4"/>
  <c r="J160" i="4"/>
  <c r="J169" i="4"/>
  <c r="J171" i="4"/>
  <c r="J173" i="4"/>
  <c r="J180" i="4"/>
  <c r="J187" i="4"/>
  <c r="L150" i="4"/>
  <c r="L152" i="4"/>
  <c r="L156" i="4"/>
  <c r="L160" i="4"/>
  <c r="L169" i="4"/>
  <c r="L171" i="4"/>
  <c r="L173" i="4"/>
  <c r="L180" i="4"/>
  <c r="L187" i="4"/>
  <c r="N62" i="1"/>
  <c r="N61" i="1"/>
  <c r="M150" i="4"/>
  <c r="M152" i="4"/>
  <c r="M156" i="4"/>
  <c r="M160" i="4"/>
  <c r="M169" i="4"/>
  <c r="M171" i="4"/>
  <c r="M173" i="4"/>
  <c r="M180" i="4"/>
  <c r="M187" i="4"/>
  <c r="W150" i="4"/>
  <c r="W152" i="4"/>
  <c r="W156" i="4"/>
  <c r="W160" i="4"/>
  <c r="W169" i="4"/>
  <c r="W171" i="4"/>
  <c r="W173" i="4"/>
  <c r="W180" i="4"/>
  <c r="W187" i="4"/>
  <c r="AA150" i="4"/>
  <c r="AA152" i="4"/>
  <c r="AA156" i="4"/>
  <c r="AA160" i="4"/>
  <c r="AA169" i="4"/>
  <c r="AA171" i="4"/>
  <c r="AA173" i="4"/>
  <c r="AA180" i="4"/>
  <c r="AA187" i="4"/>
  <c r="O150" i="4"/>
  <c r="O152" i="4"/>
  <c r="O156" i="4"/>
  <c r="O160" i="4"/>
  <c r="O169" i="4"/>
  <c r="O171" i="4"/>
  <c r="O173" i="4"/>
  <c r="O180" i="4"/>
  <c r="O187" i="4"/>
  <c r="Y150" i="4"/>
  <c r="Y152" i="4"/>
  <c r="Y156" i="4"/>
  <c r="Y160" i="4"/>
  <c r="Y169" i="4"/>
  <c r="Y171" i="4"/>
  <c r="Y173" i="4"/>
  <c r="Y180" i="4"/>
  <c r="Y187" i="4"/>
  <c r="Z150" i="4"/>
  <c r="Z152" i="4"/>
  <c r="Z156" i="4"/>
  <c r="Z160" i="4"/>
  <c r="Z169" i="4"/>
  <c r="Z171" i="4"/>
  <c r="Z173" i="4"/>
  <c r="Z180" i="4"/>
  <c r="Z187" i="4"/>
  <c r="H150" i="4"/>
  <c r="H152" i="4"/>
  <c r="H156" i="4"/>
  <c r="H160" i="4"/>
  <c r="H169" i="4"/>
  <c r="H171" i="4"/>
  <c r="H173" i="4"/>
  <c r="H180" i="4"/>
  <c r="H187" i="4"/>
  <c r="K150" i="4"/>
  <c r="K152" i="4"/>
  <c r="K156" i="4"/>
  <c r="K160" i="4"/>
  <c r="K169" i="4"/>
  <c r="K171" i="4"/>
  <c r="K173" i="4"/>
  <c r="K180" i="4"/>
  <c r="K187" i="4"/>
  <c r="S150" i="4"/>
  <c r="S152" i="4"/>
  <c r="S156" i="4"/>
  <c r="S160" i="4"/>
  <c r="S169" i="4"/>
  <c r="S171" i="4"/>
  <c r="S173" i="4"/>
  <c r="S180" i="4"/>
  <c r="S187" i="4"/>
  <c r="R150" i="4"/>
  <c r="R152" i="4"/>
  <c r="R156" i="4"/>
  <c r="R160" i="4"/>
  <c r="R169" i="4"/>
  <c r="R171" i="4"/>
  <c r="R173" i="4"/>
  <c r="R180" i="4"/>
  <c r="R187" i="4"/>
  <c r="T150" i="4"/>
  <c r="T152" i="4"/>
  <c r="T156" i="4"/>
  <c r="T160" i="4"/>
  <c r="T169" i="4"/>
  <c r="T171" i="4"/>
  <c r="T173" i="4"/>
  <c r="T180" i="4"/>
  <c r="T187" i="4"/>
  <c r="U150" i="4"/>
  <c r="U152" i="4"/>
  <c r="U156" i="4"/>
  <c r="U160" i="4"/>
  <c r="U169" i="4"/>
  <c r="U171" i="4"/>
  <c r="U173" i="4"/>
  <c r="U180" i="4"/>
  <c r="U187" i="4"/>
  <c r="I150" i="4"/>
  <c r="I152" i="4"/>
  <c r="I156" i="4"/>
  <c r="I160" i="4"/>
  <c r="I169" i="4"/>
  <c r="I171" i="4"/>
  <c r="I173" i="4"/>
  <c r="I180" i="4"/>
  <c r="I187" i="4"/>
  <c r="V150" i="4"/>
  <c r="V152" i="4"/>
  <c r="V156" i="4"/>
  <c r="V160" i="4"/>
  <c r="V169" i="4"/>
  <c r="V171" i="4"/>
  <c r="V173" i="4"/>
  <c r="V180" i="4"/>
  <c r="V187" i="4"/>
  <c r="P150" i="4"/>
  <c r="P152" i="4"/>
  <c r="P156" i="4"/>
  <c r="P160" i="4"/>
  <c r="P169" i="4"/>
  <c r="P171" i="4"/>
  <c r="P173" i="4"/>
  <c r="P180" i="4"/>
  <c r="P187" i="4"/>
  <c r="X150" i="4"/>
  <c r="X152" i="4"/>
  <c r="X156" i="4"/>
  <c r="X160" i="4"/>
  <c r="X169" i="4"/>
  <c r="X171" i="4"/>
  <c r="X173" i="4"/>
  <c r="X180" i="4"/>
  <c r="X187" i="4"/>
  <c r="Q150" i="4"/>
  <c r="Q152" i="4"/>
  <c r="Q156" i="4"/>
  <c r="Q160" i="4"/>
  <c r="Q169" i="4"/>
  <c r="Q171" i="4"/>
  <c r="Q173" i="4"/>
  <c r="Q180" i="4"/>
  <c r="Q187" i="4"/>
  <c r="G189" i="4"/>
  <c r="O76" i="24"/>
  <c r="N143" i="1"/>
  <c r="N144" i="1"/>
  <c r="O75" i="24"/>
  <c r="N21" i="23"/>
  <c r="H36" i="27"/>
  <c r="H37" i="27"/>
  <c r="N83" i="23"/>
  <c r="J47" i="27"/>
  <c r="P47" i="27"/>
  <c r="W56" i="27"/>
  <c r="W57" i="27"/>
  <c r="S56" i="27"/>
  <c r="Q56" i="27"/>
  <c r="V56" i="27"/>
  <c r="V57" i="27"/>
  <c r="Y56" i="27"/>
  <c r="Y57" i="27"/>
  <c r="J56" i="27"/>
  <c r="O47" i="27"/>
  <c r="T39" i="27"/>
  <c r="Y47" i="27"/>
  <c r="Y48" i="27"/>
  <c r="Y49" i="27"/>
  <c r="M56" i="27"/>
  <c r="U39" i="27"/>
  <c r="L47" i="27"/>
  <c r="Z56" i="27"/>
  <c r="Z57" i="27"/>
  <c r="AC47" i="27"/>
  <c r="AC48" i="27"/>
  <c r="AC49" i="27"/>
  <c r="W39" i="27"/>
  <c r="W40" i="27"/>
  <c r="W41" i="27"/>
  <c r="AB47" i="27"/>
  <c r="AB48" i="27"/>
  <c r="AB49" i="27"/>
  <c r="V39" i="27"/>
  <c r="V40" i="27"/>
  <c r="V41" i="27"/>
  <c r="U47" i="27"/>
  <c r="N56" i="27"/>
  <c r="K47" i="27"/>
  <c r="R39" i="27"/>
  <c r="K39" i="27"/>
  <c r="R47" i="27"/>
  <c r="Z47" i="27"/>
  <c r="Z48" i="27"/>
  <c r="Z49" i="27"/>
  <c r="L56" i="27"/>
  <c r="T56" i="27"/>
  <c r="W47" i="27"/>
  <c r="W48" i="27"/>
  <c r="W49" i="27"/>
  <c r="AA47" i="27"/>
  <c r="AA48" i="27"/>
  <c r="AA49" i="27"/>
  <c r="K56" i="27"/>
  <c r="P56" i="27"/>
  <c r="V47" i="27"/>
  <c r="V48" i="27"/>
  <c r="V49" i="27"/>
  <c r="Z39" i="27"/>
  <c r="Z40" i="27"/>
  <c r="Z41" i="27"/>
  <c r="O39" i="27"/>
  <c r="I52" i="27"/>
  <c r="M112" i="23"/>
  <c r="M121" i="23"/>
  <c r="N146" i="23"/>
  <c r="N47" i="27"/>
  <c r="AC39" i="27"/>
  <c r="AC40" i="27"/>
  <c r="AC41" i="27"/>
  <c r="Q47" i="27"/>
  <c r="Q39" i="27"/>
  <c r="P39" i="27"/>
  <c r="N39" i="27"/>
  <c r="O56" i="27"/>
  <c r="X56" i="27"/>
  <c r="X57" i="27"/>
  <c r="R56" i="27"/>
  <c r="T47" i="27"/>
  <c r="M47" i="27"/>
  <c r="U56" i="27"/>
  <c r="AA56" i="27"/>
  <c r="AA57" i="27"/>
  <c r="M39" i="27"/>
  <c r="S47" i="27"/>
  <c r="X39" i="27"/>
  <c r="X40" i="27"/>
  <c r="X41" i="27"/>
  <c r="AC56" i="27"/>
  <c r="AC57" i="27"/>
  <c r="L39" i="27"/>
  <c r="AB56" i="27"/>
  <c r="AB57" i="27"/>
  <c r="Y39" i="27"/>
  <c r="Y40" i="27"/>
  <c r="Y41" i="27"/>
  <c r="AB39" i="27"/>
  <c r="AB40" i="27"/>
  <c r="AB41" i="27"/>
  <c r="S39" i="27"/>
  <c r="X47" i="27"/>
  <c r="X48" i="27"/>
  <c r="X49" i="27"/>
  <c r="J39" i="27"/>
  <c r="AA39" i="27"/>
  <c r="AA40" i="27"/>
  <c r="AA41" i="27"/>
  <c r="M48" i="27"/>
  <c r="M49" i="27"/>
  <c r="AL47" i="27"/>
  <c r="AL48" i="27"/>
  <c r="AL49" i="27"/>
  <c r="O40" i="27"/>
  <c r="O41" i="27"/>
  <c r="AJ39" i="27"/>
  <c r="AJ40" i="27"/>
  <c r="AJ41" i="27"/>
  <c r="AM39" i="27"/>
  <c r="AM40" i="27"/>
  <c r="AM41" i="27"/>
  <c r="L40" i="27"/>
  <c r="L41" i="27"/>
  <c r="N40" i="27"/>
  <c r="N41" i="27"/>
  <c r="AK39" i="27"/>
  <c r="AK40" i="27"/>
  <c r="AK41" i="27"/>
  <c r="K48" i="27"/>
  <c r="K49" i="27"/>
  <c r="AN47" i="27"/>
  <c r="AN48" i="27"/>
  <c r="AN49" i="27"/>
  <c r="AM47" i="27"/>
  <c r="AM48" i="27"/>
  <c r="AM49" i="27"/>
  <c r="L48" i="27"/>
  <c r="L49" i="27"/>
  <c r="T40" i="27"/>
  <c r="T41" i="27"/>
  <c r="AE39" i="27"/>
  <c r="AE40" i="27"/>
  <c r="AE41" i="27"/>
  <c r="AI47" i="27"/>
  <c r="AI48" i="27"/>
  <c r="AI49" i="27"/>
  <c r="P48" i="27"/>
  <c r="P49" i="27"/>
  <c r="AF47" i="27"/>
  <c r="AF48" i="27"/>
  <c r="AF49" i="27"/>
  <c r="S48" i="27"/>
  <c r="S49" i="27"/>
  <c r="AH47" i="27"/>
  <c r="AH48" i="27"/>
  <c r="AH49" i="27"/>
  <c r="Q48" i="27"/>
  <c r="Q49" i="27"/>
  <c r="L57" i="27"/>
  <c r="AM56" i="27"/>
  <c r="AM57" i="27"/>
  <c r="AE47" i="27"/>
  <c r="AE48" i="27"/>
  <c r="AE49" i="27"/>
  <c r="T48" i="27"/>
  <c r="T49" i="27"/>
  <c r="R57" i="27"/>
  <c r="AG56" i="27"/>
  <c r="AG57" i="27"/>
  <c r="AI39" i="27"/>
  <c r="AI40" i="27"/>
  <c r="AI41" i="27"/>
  <c r="P40" i="27"/>
  <c r="P41" i="27"/>
  <c r="AK47" i="27"/>
  <c r="AK48" i="27"/>
  <c r="AK49" i="27"/>
  <c r="N48" i="27"/>
  <c r="N49" i="27"/>
  <c r="AG47" i="27"/>
  <c r="AG48" i="27"/>
  <c r="AG49" i="27"/>
  <c r="R48" i="27"/>
  <c r="R49" i="27"/>
  <c r="AK56" i="27"/>
  <c r="AK57" i="27"/>
  <c r="N57" i="27"/>
  <c r="U40" i="27"/>
  <c r="U41" i="27"/>
  <c r="AD39" i="27"/>
  <c r="AD40" i="27"/>
  <c r="AD41" i="27"/>
  <c r="O48" i="27"/>
  <c r="O49" i="27"/>
  <c r="AJ47" i="27"/>
  <c r="AJ48" i="27"/>
  <c r="AJ49" i="27"/>
  <c r="AH56" i="27"/>
  <c r="AH57" i="27"/>
  <c r="Q57" i="27"/>
  <c r="J48" i="27"/>
  <c r="J49" i="27"/>
  <c r="AO47" i="27"/>
  <c r="AO48" i="27"/>
  <c r="AO49" i="27"/>
  <c r="AJ56" i="27"/>
  <c r="AJ57" i="27"/>
  <c r="O57" i="27"/>
  <c r="AN56" i="27"/>
  <c r="AN57" i="27"/>
  <c r="K57" i="27"/>
  <c r="AG39" i="27"/>
  <c r="AG40" i="27"/>
  <c r="AG41" i="27"/>
  <c r="R40" i="27"/>
  <c r="R41" i="27"/>
  <c r="AF39" i="27"/>
  <c r="AF40" i="27"/>
  <c r="AF41" i="27"/>
  <c r="S40" i="27"/>
  <c r="S41" i="27"/>
  <c r="M40" i="27"/>
  <c r="M41" i="27"/>
  <c r="AL39" i="27"/>
  <c r="AL40" i="27"/>
  <c r="AL41" i="27"/>
  <c r="J40" i="27"/>
  <c r="J41" i="27"/>
  <c r="AO39" i="27"/>
  <c r="AO40" i="27"/>
  <c r="AO41" i="27"/>
  <c r="AD56" i="27"/>
  <c r="AD57" i="27"/>
  <c r="U57" i="27"/>
  <c r="Q40" i="27"/>
  <c r="Q41" i="27"/>
  <c r="AH39" i="27"/>
  <c r="AH40" i="27"/>
  <c r="AH41" i="27"/>
  <c r="P57" i="27"/>
  <c r="AI56" i="27"/>
  <c r="AI57" i="27"/>
  <c r="AE56" i="27"/>
  <c r="AE57" i="27"/>
  <c r="T57" i="27"/>
  <c r="K40" i="27"/>
  <c r="K41" i="27"/>
  <c r="AN39" i="27"/>
  <c r="AN40" i="27"/>
  <c r="AN41" i="27"/>
  <c r="U48" i="27"/>
  <c r="U49" i="27"/>
  <c r="AD47" i="27"/>
  <c r="AD48" i="27"/>
  <c r="AD49" i="27"/>
  <c r="AL56" i="27"/>
  <c r="AL57" i="27"/>
  <c r="M57" i="27"/>
  <c r="AO56" i="27"/>
  <c r="AO57" i="27"/>
  <c r="J57" i="27"/>
  <c r="S57" i="27"/>
  <c r="AF56" i="27"/>
  <c r="AF57" i="27"/>
  <c r="I59" i="27"/>
  <c r="I60" i="27"/>
  <c r="V192" i="8"/>
  <c r="I51" i="27"/>
  <c r="V191" i="8"/>
  <c r="I43" i="27"/>
  <c r="V190" i="8"/>
  <c r="N112" i="1"/>
  <c r="L111" i="23"/>
  <c r="L112" i="23"/>
  <c r="L119" i="23"/>
  <c r="N113" i="1"/>
  <c r="L116" i="23"/>
  <c r="N118" i="1"/>
  <c r="N116" i="23"/>
  <c r="M116" i="23"/>
  <c r="M191" i="23"/>
  <c r="S191" i="23"/>
  <c r="M168" i="23"/>
  <c r="N83" i="16"/>
  <c r="M197" i="23"/>
  <c r="S197" i="23"/>
  <c r="M172" i="23"/>
  <c r="N88" i="16"/>
  <c r="M190" i="23"/>
  <c r="N119" i="1"/>
  <c r="N82" i="16"/>
  <c r="M111" i="23"/>
  <c r="L117" i="23"/>
  <c r="N125" i="23"/>
  <c r="N134" i="23"/>
  <c r="L118" i="23"/>
  <c r="L144" i="23"/>
  <c r="O144" i="23"/>
  <c r="N111" i="23"/>
  <c r="N117" i="23"/>
  <c r="N118" i="23"/>
  <c r="L148" i="23"/>
  <c r="O148" i="23"/>
  <c r="N132" i="1"/>
  <c r="N89" i="16"/>
  <c r="P84" i="23"/>
  <c r="N137" i="1"/>
  <c r="M198" i="23"/>
  <c r="S190" i="23"/>
  <c r="M167" i="23"/>
  <c r="M118" i="23"/>
  <c r="L146" i="23"/>
  <c r="O146" i="23"/>
  <c r="M117" i="23"/>
  <c r="O43" i="24"/>
  <c r="N150" i="1"/>
  <c r="N58" i="24"/>
  <c r="R15" i="1"/>
  <c r="L66" i="1"/>
  <c r="L68" i="1"/>
  <c r="H20" i="27"/>
  <c r="J24" i="27"/>
  <c r="K24" i="27"/>
  <c r="L24" i="27"/>
  <c r="M24" i="27"/>
  <c r="N24" i="27"/>
  <c r="O24" i="27"/>
  <c r="P24" i="27"/>
  <c r="Q24" i="27"/>
  <c r="R24" i="27"/>
  <c r="S24" i="27"/>
  <c r="T24" i="27"/>
  <c r="U24" i="27"/>
  <c r="V24" i="27"/>
  <c r="W24" i="27"/>
  <c r="X24" i="27"/>
  <c r="Y24" i="27"/>
  <c r="Z24" i="27"/>
  <c r="AA24" i="27"/>
  <c r="AB24" i="27"/>
  <c r="AC24" i="27"/>
  <c r="AD24" i="27"/>
  <c r="AE24" i="27"/>
  <c r="AF24" i="27"/>
  <c r="AG24" i="27"/>
  <c r="AH24" i="27"/>
  <c r="AI24" i="27"/>
  <c r="AJ24" i="27"/>
  <c r="AK24" i="27"/>
  <c r="AL24" i="27"/>
  <c r="AM24" i="27"/>
  <c r="AN24" i="27"/>
  <c r="AO24" i="27"/>
  <c r="I28" i="27"/>
  <c r="L70" i="1"/>
  <c r="L122" i="1"/>
  <c r="L139" i="1"/>
  <c r="L149" i="1"/>
  <c r="L152" i="1"/>
  <c r="N66" i="1"/>
  <c r="N68" i="1"/>
  <c r="H21" i="27"/>
  <c r="J25" i="27"/>
  <c r="K25" i="27"/>
  <c r="L25" i="27"/>
  <c r="M25" i="27"/>
  <c r="N25" i="27"/>
  <c r="O25" i="27"/>
  <c r="P25" i="27"/>
  <c r="Q25" i="27"/>
  <c r="R25" i="27"/>
  <c r="S25" i="27"/>
  <c r="T25" i="27"/>
  <c r="U25" i="27"/>
  <c r="V25" i="27"/>
  <c r="W25" i="27"/>
  <c r="X25" i="27"/>
  <c r="Y25" i="27"/>
  <c r="Z25" i="27"/>
  <c r="AA25" i="27"/>
  <c r="AB25" i="27"/>
  <c r="AC25" i="27"/>
  <c r="AD25" i="27"/>
  <c r="AE25" i="27"/>
  <c r="AF25" i="27"/>
  <c r="AG25" i="27"/>
  <c r="AH25" i="27"/>
  <c r="AI25" i="27"/>
  <c r="AJ25" i="27"/>
  <c r="AK25" i="27"/>
  <c r="AL25" i="27"/>
  <c r="AM25" i="27"/>
  <c r="AN25" i="27"/>
  <c r="AO25" i="27"/>
  <c r="I29" i="27"/>
  <c r="N70" i="1"/>
  <c r="N122" i="1"/>
  <c r="N139" i="1"/>
  <c r="N149" i="1"/>
  <c r="N131" i="1"/>
  <c r="N140" i="1"/>
  <c r="Q83" i="23"/>
  <c r="N128" i="23"/>
  <c r="Q59" i="24"/>
  <c r="Q63" i="24"/>
  <c r="Q64" i="24"/>
  <c r="O59" i="24"/>
  <c r="P60" i="24"/>
  <c r="P62" i="24"/>
  <c r="P61" i="24"/>
  <c r="P59" i="24"/>
  <c r="N127" i="23"/>
  <c r="M133" i="23"/>
  <c r="M132" i="23"/>
  <c r="N133" i="23"/>
  <c r="O44" i="24"/>
  <c r="N92" i="16"/>
  <c r="N93" i="24"/>
  <c r="N74" i="1"/>
  <c r="L131" i="1"/>
  <c r="N41" i="24"/>
  <c r="L129" i="1"/>
  <c r="N40" i="24"/>
  <c r="N44" i="24"/>
  <c r="O63" i="24"/>
  <c r="O64" i="24"/>
  <c r="L92" i="16"/>
  <c r="N72" i="1"/>
  <c r="N73" i="1"/>
  <c r="N69" i="1"/>
  <c r="N146" i="1"/>
  <c r="H18" i="27"/>
  <c r="N25" i="24"/>
  <c r="P25" i="24"/>
  <c r="P28" i="24"/>
  <c r="P26" i="24"/>
  <c r="O77" i="24"/>
  <c r="O78" i="24"/>
  <c r="L146" i="1"/>
  <c r="L69" i="1"/>
  <c r="H17" i="27"/>
  <c r="O25" i="24"/>
  <c r="O26" i="24"/>
  <c r="O27" i="24"/>
  <c r="O28" i="24"/>
  <c r="P27" i="24"/>
  <c r="N78" i="24"/>
  <c r="N77" i="24"/>
  <c r="O29" i="24"/>
  <c r="O30" i="24"/>
  <c r="N27" i="24"/>
  <c r="O79" i="24"/>
  <c r="O80" i="24"/>
  <c r="L145" i="1"/>
  <c r="N145" i="1"/>
  <c r="L21" i="23"/>
  <c r="V183" i="8" l="1"/>
  <c r="N104" i="1"/>
  <c r="M182" i="23" s="1"/>
  <c r="N75" i="16" l="1"/>
  <c r="S182" i="23"/>
  <c r="M162" i="23" s="1"/>
  <c r="M186" i="23"/>
  <c r="N108" i="1"/>
  <c r="P83" i="23" l="1"/>
  <c r="P85" i="23" s="1"/>
  <c r="N133" i="1"/>
  <c r="N138" i="1"/>
  <c r="N79" i="16"/>
  <c r="N151" i="1" l="1"/>
  <c r="N62" i="24"/>
  <c r="N126" i="23"/>
  <c r="N124" i="23" s="1"/>
  <c r="N136" i="1"/>
  <c r="N55" i="24" s="1"/>
  <c r="N129" i="1"/>
  <c r="O40" i="24" s="1"/>
  <c r="O41" i="24"/>
  <c r="O46" i="24"/>
  <c r="O42" i="24" s="1"/>
  <c r="N57" i="24" l="1"/>
  <c r="N56" i="24"/>
  <c r="N152" i="1"/>
  <c r="N135" i="23"/>
  <c r="N132" i="23" s="1"/>
  <c r="N131" i="23" s="1"/>
  <c r="O93" i="24" l="1"/>
  <c r="N153" i="1"/>
  <c r="O92" i="24" s="1"/>
</calcChain>
</file>

<file path=xl/comments1.xml><?xml version="1.0" encoding="utf-8"?>
<comments xmlns="http://schemas.openxmlformats.org/spreadsheetml/2006/main">
  <authors>
    <author>Mehmet</author>
  </authors>
  <commentList>
    <comment ref="H37" authorId="0" shapeId="0">
      <text>
        <r>
          <rPr>
            <sz val="9"/>
            <color indexed="81"/>
            <rFont val="Tahoma"/>
            <family val="2"/>
          </rPr>
          <t>includes front-end fees for loans only.</t>
        </r>
      </text>
    </comment>
    <comment ref="H38" authorId="0" shapeId="0">
      <text>
        <r>
          <rPr>
            <sz val="9"/>
            <color indexed="81"/>
            <rFont val="Tahoma"/>
            <family val="2"/>
          </rPr>
          <t xml:space="preserve">includes front end fee and guarantee fee for guarantee coverage. Front-end fee is only included in Year 1. </t>
        </r>
      </text>
    </comment>
    <comment ref="H39" authorId="0" shapeId="0">
      <text>
        <r>
          <rPr>
            <sz val="9"/>
            <color indexed="81"/>
            <rFont val="Tahoma"/>
            <family val="2"/>
          </rPr>
          <t xml:space="preserve">includes front-end fee and annual risk insurance premium. Front end fee is only included in Year 1. </t>
        </r>
      </text>
    </comment>
    <comment ref="H82" authorId="0" shapeId="0">
      <text>
        <r>
          <rPr>
            <sz val="9"/>
            <color indexed="81"/>
            <rFont val="Tahoma"/>
            <family val="2"/>
          </rPr>
          <t>includes front-end fees for loans only.</t>
        </r>
      </text>
    </comment>
    <comment ref="H83" authorId="0" shapeId="0">
      <text>
        <r>
          <rPr>
            <sz val="9"/>
            <color indexed="81"/>
            <rFont val="Tahoma"/>
            <family val="2"/>
          </rPr>
          <t xml:space="preserve">includes front end fee and guarantee fee for guarantee coverage. Front-end fee is only included in Year 1. </t>
        </r>
      </text>
    </comment>
    <comment ref="H84" authorId="0" shapeId="0">
      <text>
        <r>
          <rPr>
            <sz val="9"/>
            <color indexed="81"/>
            <rFont val="Tahoma"/>
            <family val="2"/>
          </rPr>
          <t xml:space="preserve">includes front-end fee and annual risk insurance premium. Front end fee is only included in Year 1. </t>
        </r>
      </text>
    </comment>
    <comment ref="H129" authorId="0" shapeId="0">
      <text>
        <r>
          <rPr>
            <sz val="9"/>
            <color indexed="81"/>
            <rFont val="Tahoma"/>
            <family val="2"/>
          </rPr>
          <t>includes front-end fees for loans only.</t>
        </r>
      </text>
    </comment>
    <comment ref="H130" authorId="0" shapeId="0">
      <text>
        <r>
          <rPr>
            <sz val="9"/>
            <color indexed="81"/>
            <rFont val="Tahoma"/>
            <family val="2"/>
          </rPr>
          <t xml:space="preserve">includes front end fee and guarantee fee for guarantee coverage. Front-end fee is only included in Year 1. </t>
        </r>
      </text>
    </comment>
    <comment ref="H131" authorId="0" shapeId="0">
      <text>
        <r>
          <rPr>
            <sz val="9"/>
            <color indexed="81"/>
            <rFont val="Tahoma"/>
            <family val="2"/>
          </rPr>
          <t xml:space="preserve">includes front-end fee and annual risk insurance premium. Front end fee is only included in Year 1. </t>
        </r>
      </text>
    </comment>
    <comment ref="H174" authorId="0" shapeId="0">
      <text>
        <r>
          <rPr>
            <sz val="9"/>
            <color indexed="81"/>
            <rFont val="Tahoma"/>
            <family val="2"/>
          </rPr>
          <t>includes front-end fees for loans only.</t>
        </r>
      </text>
    </comment>
    <comment ref="H175" authorId="0" shapeId="0">
      <text>
        <r>
          <rPr>
            <sz val="9"/>
            <color indexed="81"/>
            <rFont val="Tahoma"/>
            <family val="2"/>
          </rPr>
          <t xml:space="preserve">includes front end fee and guarantee fee for guarantee coverage. Front-end fee is only included in Year 1. </t>
        </r>
      </text>
    </comment>
    <comment ref="H176" authorId="0" shapeId="0">
      <text>
        <r>
          <rPr>
            <sz val="9"/>
            <color indexed="81"/>
            <rFont val="Tahoma"/>
            <family val="2"/>
          </rPr>
          <t xml:space="preserve">includes front-end fee and annual risk insurance premium. Front end fee is only included in Year 1. </t>
        </r>
      </text>
    </comment>
    <comment ref="H221" authorId="0" shapeId="0">
      <text>
        <r>
          <rPr>
            <sz val="9"/>
            <color indexed="81"/>
            <rFont val="Tahoma"/>
            <family val="2"/>
          </rPr>
          <t>includes front-end fees for loans only.</t>
        </r>
      </text>
    </comment>
    <comment ref="H222" authorId="0" shapeId="0">
      <text>
        <r>
          <rPr>
            <sz val="9"/>
            <color indexed="81"/>
            <rFont val="Tahoma"/>
            <family val="2"/>
          </rPr>
          <t xml:space="preserve">includes front end fee and guarantee fee for guarantee coverage. Front-end fee is only included in Year 1. </t>
        </r>
      </text>
    </comment>
    <comment ref="H223" authorId="0" shapeId="0">
      <text>
        <r>
          <rPr>
            <sz val="9"/>
            <color indexed="81"/>
            <rFont val="Tahoma"/>
            <family val="2"/>
          </rPr>
          <t xml:space="preserve">includes front-end fee and annual risk insurance premium. Front end fee is only included in Year 1. </t>
        </r>
      </text>
    </comment>
    <comment ref="H266" authorId="0" shapeId="0">
      <text>
        <r>
          <rPr>
            <sz val="9"/>
            <color indexed="81"/>
            <rFont val="Tahoma"/>
            <family val="2"/>
          </rPr>
          <t>includes front-end fees for loans only.</t>
        </r>
      </text>
    </comment>
    <comment ref="H267" authorId="0" shapeId="0">
      <text>
        <r>
          <rPr>
            <sz val="9"/>
            <color indexed="81"/>
            <rFont val="Tahoma"/>
            <family val="2"/>
          </rPr>
          <t xml:space="preserve">includes front end fee and guarantee fee for guarantee coverage. Front-end fee is only included in Year 1. </t>
        </r>
      </text>
    </comment>
    <comment ref="H268" authorId="0" shapeId="0">
      <text>
        <r>
          <rPr>
            <sz val="9"/>
            <color indexed="81"/>
            <rFont val="Tahoma"/>
            <family val="2"/>
          </rPr>
          <t xml:space="preserve">includes front-end fee and annual risk insurance premium. Front end fee is only included in Year 1. </t>
        </r>
      </text>
    </comment>
  </commentList>
</comments>
</file>

<file path=xl/comments2.xml><?xml version="1.0" encoding="utf-8"?>
<comments xmlns="http://schemas.openxmlformats.org/spreadsheetml/2006/main">
  <authors>
    <author>Mehmet</author>
  </authors>
  <commentList>
    <comment ref="H31" authorId="0" shapeId="0">
      <text>
        <r>
          <rPr>
            <sz val="9"/>
            <color indexed="81"/>
            <rFont val="Tahoma"/>
            <family val="2"/>
          </rPr>
          <t>includes front-end fees for loans only.</t>
        </r>
      </text>
    </comment>
    <comment ref="H32" authorId="0" shapeId="0">
      <text>
        <r>
          <rPr>
            <sz val="9"/>
            <color indexed="81"/>
            <rFont val="Tahoma"/>
            <family val="2"/>
          </rPr>
          <t xml:space="preserve">includes front end fee and guarantee fee for guarantee coverage. Front-end fee is only included in Year 1. </t>
        </r>
      </text>
    </comment>
    <comment ref="H33" authorId="0" shapeId="0">
      <text>
        <r>
          <rPr>
            <sz val="9"/>
            <color indexed="81"/>
            <rFont val="Tahoma"/>
            <family val="2"/>
          </rPr>
          <t xml:space="preserve">includes front-end fee and annual risk insurance premium. Front end fee is only included in Year 1. </t>
        </r>
      </text>
    </comment>
    <comment ref="H121" authorId="0" shapeId="0">
      <text>
        <r>
          <rPr>
            <sz val="9"/>
            <color indexed="81"/>
            <rFont val="Tahoma"/>
            <family val="2"/>
          </rPr>
          <t>includes front-end fees for loans only.</t>
        </r>
      </text>
    </comment>
    <comment ref="H122" authorId="0" shapeId="0">
      <text>
        <r>
          <rPr>
            <sz val="9"/>
            <color indexed="81"/>
            <rFont val="Tahoma"/>
            <family val="2"/>
          </rPr>
          <t xml:space="preserve">includes front end fee and guarantee fee for guarantee coverage. Front-end fee is only included in Year 1. </t>
        </r>
      </text>
    </comment>
    <comment ref="H123" authorId="0" shapeId="0">
      <text>
        <r>
          <rPr>
            <sz val="9"/>
            <color indexed="81"/>
            <rFont val="Tahoma"/>
            <family val="2"/>
          </rPr>
          <t xml:space="preserve">includes front-end fee and annual risk insurance premium. Front end fee is only included in Year 1. </t>
        </r>
      </text>
    </comment>
  </commentList>
</comments>
</file>

<file path=xl/comments3.xml><?xml version="1.0" encoding="utf-8"?>
<comments xmlns="http://schemas.openxmlformats.org/spreadsheetml/2006/main">
  <authors>
    <author>Mehmet</author>
  </authors>
  <commentList>
    <comment ref="H31" authorId="0" shapeId="0">
      <text>
        <r>
          <rPr>
            <sz val="9"/>
            <color indexed="81"/>
            <rFont val="Tahoma"/>
            <family val="2"/>
          </rPr>
          <t>includes front-end fees for loans only.</t>
        </r>
      </text>
    </comment>
    <comment ref="H32" authorId="0" shapeId="0">
      <text>
        <r>
          <rPr>
            <sz val="9"/>
            <color indexed="81"/>
            <rFont val="Tahoma"/>
            <family val="2"/>
          </rPr>
          <t xml:space="preserve">includes front end fee and guarantee fee for guarantee coverage. Front-end fee is only included in Year 1. </t>
        </r>
      </text>
    </comment>
    <comment ref="H33" authorId="0" shapeId="0">
      <text>
        <r>
          <rPr>
            <sz val="9"/>
            <color indexed="81"/>
            <rFont val="Tahoma"/>
            <family val="2"/>
          </rPr>
          <t xml:space="preserve">includes front-end fee and annual risk insurance premium. Front end fee is only included in Year 1. </t>
        </r>
      </text>
    </comment>
    <comment ref="H121" authorId="0" shapeId="0">
      <text>
        <r>
          <rPr>
            <sz val="9"/>
            <color indexed="81"/>
            <rFont val="Tahoma"/>
            <family val="2"/>
          </rPr>
          <t>includes front-end fees for loans only.</t>
        </r>
      </text>
    </comment>
    <comment ref="H122" authorId="0" shapeId="0">
      <text>
        <r>
          <rPr>
            <sz val="9"/>
            <color indexed="81"/>
            <rFont val="Tahoma"/>
            <family val="2"/>
          </rPr>
          <t xml:space="preserve">includes front end fee and guarantee fee for guarantee coverage. Front-end fee is only included in Year 1. </t>
        </r>
      </text>
    </comment>
    <comment ref="H123" authorId="0" shapeId="0">
      <text>
        <r>
          <rPr>
            <sz val="9"/>
            <color indexed="81"/>
            <rFont val="Tahoma"/>
            <family val="2"/>
          </rPr>
          <t xml:space="preserve">includes front-end fee and annual risk insurance premium. Front end fee is only included in Year 1. </t>
        </r>
      </text>
    </comment>
  </commentList>
</comments>
</file>

<file path=xl/comments4.xml><?xml version="1.0" encoding="utf-8"?>
<comments xmlns="http://schemas.openxmlformats.org/spreadsheetml/2006/main">
  <authors>
    <author>Claire Jin</author>
  </authors>
  <commentList>
    <comment ref="L202" authorId="0" shapeId="0">
      <text>
        <r>
          <rPr>
            <b/>
            <sz val="9"/>
            <color indexed="81"/>
            <rFont val="Tahoma"/>
            <family val="2"/>
          </rPr>
          <t>Notes:</t>
        </r>
        <r>
          <rPr>
            <sz val="9"/>
            <color indexed="81"/>
            <rFont val="Tahoma"/>
            <family val="2"/>
          </rPr>
          <t xml:space="preserve">
hardcode this column
</t>
        </r>
      </text>
    </comment>
    <comment ref="K204" authorId="0" shapeId="0">
      <text>
        <r>
          <rPr>
            <b/>
            <sz val="9"/>
            <color indexed="81"/>
            <rFont val="Tahoma"/>
            <family val="2"/>
          </rPr>
          <t>Notes:</t>
        </r>
        <r>
          <rPr>
            <sz val="9"/>
            <color indexed="81"/>
            <rFont val="Tahoma"/>
            <family val="2"/>
          </rPr>
          <t xml:space="preserve">
hardcode number here</t>
        </r>
      </text>
    </comment>
    <comment ref="L207" authorId="0" shapeId="0">
      <text>
        <r>
          <rPr>
            <b/>
            <sz val="9"/>
            <color indexed="81"/>
            <rFont val="Tahoma"/>
            <family val="2"/>
          </rPr>
          <t>Notes:</t>
        </r>
        <r>
          <rPr>
            <sz val="9"/>
            <color indexed="81"/>
            <rFont val="Tahoma"/>
            <family val="2"/>
          </rPr>
          <t xml:space="preserve">
hardcode this column</t>
        </r>
      </text>
    </comment>
    <comment ref="K209" authorId="0" shapeId="0">
      <text>
        <r>
          <rPr>
            <b/>
            <sz val="9"/>
            <color indexed="81"/>
            <rFont val="Tahoma"/>
            <family val="2"/>
          </rPr>
          <t>Notes:</t>
        </r>
        <r>
          <rPr>
            <sz val="9"/>
            <color indexed="81"/>
            <rFont val="Tahoma"/>
            <family val="2"/>
          </rPr>
          <t xml:space="preserve">
hardcode number here</t>
        </r>
      </text>
    </comment>
    <comment ref="L212" authorId="0" shapeId="0">
      <text>
        <r>
          <rPr>
            <b/>
            <sz val="9"/>
            <color indexed="81"/>
            <rFont val="Tahoma"/>
            <family val="2"/>
          </rPr>
          <t>Notes:</t>
        </r>
        <r>
          <rPr>
            <sz val="9"/>
            <color indexed="81"/>
            <rFont val="Tahoma"/>
            <family val="2"/>
          </rPr>
          <t xml:space="preserve">
hardcode this column</t>
        </r>
      </text>
    </comment>
  </commentList>
</comments>
</file>

<file path=xl/comments5.xml><?xml version="1.0" encoding="utf-8"?>
<comments xmlns="http://schemas.openxmlformats.org/spreadsheetml/2006/main">
  <authors>
    <author>Mischa Repmann</author>
    <author>Claire Jin</author>
  </authors>
  <commentList>
    <comment ref="N42" authorId="0" shapeId="0">
      <text>
        <r>
          <rPr>
            <b/>
            <sz val="9"/>
            <color indexed="81"/>
            <rFont val="Tahoma"/>
            <family val="2"/>
          </rPr>
          <t xml:space="preserve">Notes: 
</t>
        </r>
        <r>
          <rPr>
            <sz val="9"/>
            <color indexed="81"/>
            <rFont val="Tahoma"/>
            <family val="2"/>
          </rPr>
          <t xml:space="preserve">Blown up by 30 for improved visibility in plot
</t>
        </r>
      </text>
    </comment>
    <comment ref="O42" authorId="0" shapeId="0">
      <text>
        <r>
          <rPr>
            <b/>
            <sz val="9"/>
            <color indexed="81"/>
            <rFont val="Tahoma"/>
            <family val="2"/>
          </rPr>
          <t>Notes:</t>
        </r>
        <r>
          <rPr>
            <sz val="9"/>
            <color indexed="81"/>
            <rFont val="Tahoma"/>
            <family val="2"/>
          </rPr>
          <t xml:space="preserve">
blown up by 30 for visibility in plot</t>
        </r>
      </text>
    </comment>
    <comment ref="O45" authorId="0" shapeId="0">
      <text>
        <r>
          <rPr>
            <b/>
            <sz val="9"/>
            <color indexed="81"/>
            <rFont val="Tahoma"/>
            <family val="2"/>
          </rPr>
          <t>Notes:</t>
        </r>
        <r>
          <rPr>
            <sz val="9"/>
            <color indexed="81"/>
            <rFont val="Tahoma"/>
            <family val="2"/>
          </rPr>
          <t xml:space="preserve">
dont' delete, label  behind</t>
        </r>
      </text>
    </comment>
    <comment ref="N57" authorId="1" shapeId="0">
      <text>
        <r>
          <rPr>
            <b/>
            <sz val="9"/>
            <color indexed="81"/>
            <rFont val="Tahoma"/>
            <family val="2"/>
          </rPr>
          <t>Notes:</t>
        </r>
        <r>
          <rPr>
            <sz val="9"/>
            <color indexed="81"/>
            <rFont val="Tahoma"/>
            <family val="2"/>
          </rPr>
          <t xml:space="preserve">
blown up by 15 for visibility in plot</t>
        </r>
      </text>
    </comment>
    <comment ref="N60" authorId="0" shapeId="0">
      <text>
        <r>
          <rPr>
            <b/>
            <sz val="9"/>
            <color indexed="81"/>
            <rFont val="Tahoma"/>
            <family val="2"/>
          </rPr>
          <t>Notes:</t>
        </r>
        <r>
          <rPr>
            <sz val="9"/>
            <color indexed="81"/>
            <rFont val="Tahoma"/>
            <family val="2"/>
          </rPr>
          <t xml:space="preserve">
dont' delete, label  behind</t>
        </r>
      </text>
    </comment>
  </commentList>
</comments>
</file>

<file path=xl/sharedStrings.xml><?xml version="1.0" encoding="utf-8"?>
<sst xmlns="http://schemas.openxmlformats.org/spreadsheetml/2006/main" count="2562" uniqueCount="781">
  <si>
    <t>Social Acceptance Risk</t>
  </si>
  <si>
    <t>Counterparty Risk</t>
  </si>
  <si>
    <t>Financial Sector Risk</t>
  </si>
  <si>
    <t>Political Risk</t>
  </si>
  <si>
    <t>Cost of Equity</t>
  </si>
  <si>
    <t>Y</t>
  </si>
  <si>
    <t>N</t>
  </si>
  <si>
    <t>Selection</t>
  </si>
  <si>
    <t>Time Effect</t>
  </si>
  <si>
    <t>Effectiveness (Equity)</t>
  </si>
  <si>
    <t>Effectiveness (Debt)</t>
  </si>
  <si>
    <t>Instrument Selection (Y/N)</t>
  </si>
  <si>
    <t xml:space="preserve">Investment Cost </t>
  </si>
  <si>
    <t>MW</t>
  </si>
  <si>
    <t>%</t>
  </si>
  <si>
    <t>Effective Tax Rate</t>
  </si>
  <si>
    <t xml:space="preserve">Non-depreciable </t>
  </si>
  <si>
    <t>hours/annum</t>
  </si>
  <si>
    <t>years</t>
  </si>
  <si>
    <t>Depreciation Allocation</t>
  </si>
  <si>
    <t>O&amp;M Costing Method</t>
  </si>
  <si>
    <t>Model Default</t>
  </si>
  <si>
    <t>User-defined, inflation adjusted</t>
  </si>
  <si>
    <t>Capital Structure</t>
  </si>
  <si>
    <t>% Debt</t>
  </si>
  <si>
    <t>% Equity</t>
  </si>
  <si>
    <t>Loan Tenor</t>
  </si>
  <si>
    <t>bps</t>
  </si>
  <si>
    <t xml:space="preserve">Generation Mix </t>
  </si>
  <si>
    <t>System Efficiencies</t>
  </si>
  <si>
    <t>Full Load Hours</t>
  </si>
  <si>
    <t>Load Factor</t>
  </si>
  <si>
    <t>Plant Size</t>
  </si>
  <si>
    <t xml:space="preserve">Fuel Cost </t>
  </si>
  <si>
    <t>Natural Gas</t>
  </si>
  <si>
    <t>Fuel Cost</t>
  </si>
  <si>
    <t>User-defined, annually adjusted</t>
  </si>
  <si>
    <t>Operations &amp; Maintenance Expense, year 1</t>
  </si>
  <si>
    <t>Operations &amp; Maintenance Expense (excl. fuel)</t>
  </si>
  <si>
    <t>Operations &amp; Maintenance Expense, annual increase</t>
  </si>
  <si>
    <t>Target Installed Capacity</t>
  </si>
  <si>
    <t xml:space="preserve">WIND MODEL - PREDERISKING </t>
  </si>
  <si>
    <t>Power Market Risk</t>
  </si>
  <si>
    <t>WIND MODEL - POST DERISKING</t>
  </si>
  <si>
    <t>Prederisking</t>
  </si>
  <si>
    <t xml:space="preserve"> </t>
  </si>
  <si>
    <t xml:space="preserve">Cost of Capital </t>
  </si>
  <si>
    <t xml:space="preserve">Cost of Debt </t>
  </si>
  <si>
    <t>Financial Derisking Instruments</t>
  </si>
  <si>
    <t>Technology</t>
  </si>
  <si>
    <t>Straight Line</t>
  </si>
  <si>
    <t>Year</t>
  </si>
  <si>
    <t>Straight Line depreciation schedule</t>
  </si>
  <si>
    <t>Non-depreciable</t>
  </si>
  <si>
    <t>Allocation</t>
  </si>
  <si>
    <t>Depreciation Base</t>
  </si>
  <si>
    <t>Annual depreciation expense</t>
  </si>
  <si>
    <t>Life of Asset</t>
  </si>
  <si>
    <t>Loan Amortization Schedule</t>
  </si>
  <si>
    <t>Ending balance</t>
  </si>
  <si>
    <t>Debt Service</t>
  </si>
  <si>
    <t xml:space="preserve">   - Loan Amount</t>
  </si>
  <si>
    <t xml:space="preserve">   - Loan Tenor</t>
  </si>
  <si>
    <t xml:space="preserve">   - Interest Rate</t>
  </si>
  <si>
    <t>Fees</t>
  </si>
  <si>
    <t xml:space="preserve">   Principal Payment</t>
  </si>
  <si>
    <t xml:space="preserve">   Interest Payment</t>
  </si>
  <si>
    <t xml:space="preserve">Total Debt Service </t>
  </si>
  <si>
    <t xml:space="preserve">   Beginning balance</t>
  </si>
  <si>
    <t xml:space="preserve">   Drawdowns</t>
  </si>
  <si>
    <t xml:space="preserve">   Loan repayment</t>
  </si>
  <si>
    <t>Cost of Capital</t>
  </si>
  <si>
    <t xml:space="preserve">Cost of Equity </t>
  </si>
  <si>
    <t>Difference</t>
  </si>
  <si>
    <t xml:space="preserve">Total </t>
  </si>
  <si>
    <t>Instrument Effectiveness</t>
  </si>
  <si>
    <t>Annual Cost</t>
  </si>
  <si>
    <t xml:space="preserve">   - Equity Investment Covered </t>
  </si>
  <si>
    <t xml:space="preserve">Total Fees for PRI </t>
  </si>
  <si>
    <t>Political Risk Insurance (PRI) for Equity Investment</t>
  </si>
  <si>
    <t xml:space="preserve">Risk Category </t>
  </si>
  <si>
    <t>Political Risk Insurance for Equity Investment</t>
  </si>
  <si>
    <t xml:space="preserve">% Debt </t>
  </si>
  <si>
    <t>Period</t>
  </si>
  <si>
    <t xml:space="preserve">Public Cost of Capital </t>
  </si>
  <si>
    <t xml:space="preserve">Energy production </t>
  </si>
  <si>
    <t>MWh</t>
  </si>
  <si>
    <t>Operating &amp; Financial Expenses</t>
  </si>
  <si>
    <t>Operations &amp; Maintenance Expenses</t>
  </si>
  <si>
    <t xml:space="preserve">Depreciation </t>
  </si>
  <si>
    <t>Debt Financing Costs (principal and interest payments)</t>
  </si>
  <si>
    <t>Tax benefit of O&amp;M expenses, depreciation, interest expense, and other financial expenses</t>
  </si>
  <si>
    <t>Total costs</t>
  </si>
  <si>
    <t>Cost of equity</t>
  </si>
  <si>
    <t>Net Present Value of total costs</t>
  </si>
  <si>
    <t>Net Present Value of RE generation</t>
  </si>
  <si>
    <t>LCOE (year 1)</t>
  </si>
  <si>
    <t>LCOE (year 1) adjusted for taxes</t>
  </si>
  <si>
    <t>ESTIMATED CASH FLOWS TO EQUITY FROM RENEWABLE ENERGY INVESTMENT - CHECK - NPV = 0 AT THE COE</t>
  </si>
  <si>
    <t xml:space="preserve">Tariff </t>
  </si>
  <si>
    <t>Operating Revenues</t>
  </si>
  <si>
    <t>Operating &amp; Maintenance Expenses</t>
  </si>
  <si>
    <t>EBITDA</t>
  </si>
  <si>
    <t>Depreciation</t>
  </si>
  <si>
    <t>EBIT</t>
  </si>
  <si>
    <t>Taxable Income</t>
  </si>
  <si>
    <t>Taxes (Paid)/Refunded</t>
  </si>
  <si>
    <t>Net Income</t>
  </si>
  <si>
    <t xml:space="preserve">Investment cost </t>
  </si>
  <si>
    <t xml:space="preserve">Net of debt financing </t>
  </si>
  <si>
    <t xml:space="preserve">Equity investment </t>
  </si>
  <si>
    <t>Net income</t>
  </si>
  <si>
    <t xml:space="preserve">  + Depreciation </t>
  </si>
  <si>
    <t xml:space="preserve">  - Capital expenditures</t>
  </si>
  <si>
    <t xml:space="preserve">  - Change in working capital </t>
  </si>
  <si>
    <t xml:space="preserve">  - Principal repayments</t>
  </si>
  <si>
    <t xml:space="preserve">  + Salvage value </t>
  </si>
  <si>
    <t xml:space="preserve">After-tax Cash Flow to Equity </t>
  </si>
  <si>
    <t>Net Present Value</t>
  </si>
  <si>
    <t>InstrumentSelectionMB</t>
  </si>
  <si>
    <t xml:space="preserve">Front-end Fees </t>
  </si>
  <si>
    <t>Political Risk Insurance - Fees &amp; Annual Premium Payments</t>
  </si>
  <si>
    <t>Plant Operation</t>
  </si>
  <si>
    <t>Operations &amp; Maintenance Expenses, excluding fuel cost</t>
  </si>
  <si>
    <t>Total Fuel Cost</t>
  </si>
  <si>
    <t>CAPITAL STRUCTURE &amp; FINANCING SUMMARY</t>
  </si>
  <si>
    <t xml:space="preserve">Loan Tenor </t>
  </si>
  <si>
    <t>OVERVIEW OF FINANCING</t>
  </si>
  <si>
    <t xml:space="preserve">Equity Financing, Total </t>
  </si>
  <si>
    <t xml:space="preserve">Debt Financing, Total </t>
  </si>
  <si>
    <t>COST OF PUBLIC INSTRUMENTS</t>
  </si>
  <si>
    <t>METRIC 1 - INVESTMENT LEVERAGE RATIO</t>
  </si>
  <si>
    <t>METRIC 2 - SAVINGS LEVERAGE RATIO</t>
  </si>
  <si>
    <t xml:space="preserve">METRIC 4 - CARBON ABATEMENT </t>
  </si>
  <si>
    <t>Debt/Equity Split</t>
  </si>
  <si>
    <t>GENERAL INPUTS</t>
  </si>
  <si>
    <t>Model Country</t>
  </si>
  <si>
    <t>a (increase per annum)</t>
  </si>
  <si>
    <t>b</t>
  </si>
  <si>
    <t>Manual Entry</t>
  </si>
  <si>
    <t xml:space="preserve">User-defined, linear function </t>
  </si>
  <si>
    <t>USER-DEFINED, LINEAR FUNCTION</t>
  </si>
  <si>
    <t>Total</t>
  </si>
  <si>
    <t>tCO2e/MWh</t>
  </si>
  <si>
    <t>Effective Corporate Tax Rate</t>
  </si>
  <si>
    <t>Public Cost of Capital</t>
  </si>
  <si>
    <t>Total Annual  Energy Production for Target</t>
  </si>
  <si>
    <t>Costing Method</t>
  </si>
  <si>
    <t>Annual Cost Method</t>
  </si>
  <si>
    <t>Lump Sum Method</t>
  </si>
  <si>
    <t>Policy Instrument Costing</t>
  </si>
  <si>
    <t>Commercial loans with public guarantees</t>
  </si>
  <si>
    <t>Commercial loans without public guarantees</t>
  </si>
  <si>
    <t xml:space="preserve">Breakdown of debt products </t>
  </si>
  <si>
    <t>Yes</t>
  </si>
  <si>
    <t>Paid-in Capital Multiplier</t>
  </si>
  <si>
    <t>No</t>
  </si>
  <si>
    <t>If multiplier is not used, please assign 1</t>
  </si>
  <si>
    <t xml:space="preserve">METRIC 3 - END-USER AFFORDABILITY </t>
  </si>
  <si>
    <t>Public Guarantees</t>
  </si>
  <si>
    <t>Interest Expense, commercial loan with public guarantees</t>
  </si>
  <si>
    <t>Interest Expense, commercial loan without public guarantees</t>
  </si>
  <si>
    <t xml:space="preserve">Public Guarantee Fees </t>
  </si>
  <si>
    <t>Permits Risk</t>
  </si>
  <si>
    <t>Resources</t>
  </si>
  <si>
    <t>LCOE by Technology</t>
  </si>
  <si>
    <t>This sheet is organised into two sections.</t>
  </si>
  <si>
    <t>Investment</t>
  </si>
  <si>
    <t>Lifetime of Investment</t>
  </si>
  <si>
    <t>Country Inputs</t>
  </si>
  <si>
    <t>Pre-derisking</t>
  </si>
  <si>
    <t>Post-derisking</t>
  </si>
  <si>
    <t>B. Stage 1: Risk Environment</t>
  </si>
  <si>
    <t>C. Stage 2: Public Instruments</t>
  </si>
  <si>
    <t>D. Stage 3: LCOE</t>
  </si>
  <si>
    <t>B. STAGE 1: RISK ENVIRONMENT</t>
  </si>
  <si>
    <t>CAPITAL STRUCTURE &amp; FINANCING INPUTS</t>
  </si>
  <si>
    <t>C. STAGE 2: PUBLIC INSTRUMENTS</t>
  </si>
  <si>
    <t xml:space="preserve">Term of guarantee coverage </t>
  </si>
  <si>
    <t xml:space="preserve">Term of Political Risk Insurance </t>
  </si>
  <si>
    <t xml:space="preserve">Front-end Fee </t>
  </si>
  <si>
    <t xml:space="preserve">Annual Political Risk Insurance Premium </t>
  </si>
  <si>
    <t>This sheet is organised into four sections.</t>
  </si>
  <si>
    <t>Time Effect Discount</t>
  </si>
  <si>
    <t>TECHNOLOGY &amp; OPERATIONAL INPUTS</t>
  </si>
  <si>
    <t>Technology Inputs</t>
  </si>
  <si>
    <t>Public Loans</t>
  </si>
  <si>
    <t>Public Loan</t>
  </si>
  <si>
    <t>Calculation Methodology</t>
  </si>
  <si>
    <t>D. STAGE 3: LCOE</t>
  </si>
  <si>
    <t xml:space="preserve">Public loans </t>
  </si>
  <si>
    <t>INSTRUMENT SELECTION</t>
  </si>
  <si>
    <t>Lump Sum</t>
  </si>
  <si>
    <t>PV @ Public Cost of Capital</t>
  </si>
  <si>
    <t>Commercial Loan w/out Guarantees</t>
  </si>
  <si>
    <t>Commercial Loan with Guarantees</t>
  </si>
  <si>
    <t>Equity</t>
  </si>
  <si>
    <t>Cost of Instrument</t>
  </si>
  <si>
    <t>Cost of Equity &amp; Cost of Debt</t>
  </si>
  <si>
    <t>Incremental Risk Apportioning to Cost of Equity and Cost of Debt</t>
  </si>
  <si>
    <t>NA</t>
  </si>
  <si>
    <t>Front-end fees, commercial loan without guarantees</t>
  </si>
  <si>
    <t>Front-end fee, commercial loan with guarantees</t>
  </si>
  <si>
    <t>Front-end fee, public loan</t>
  </si>
  <si>
    <t>Guarantee coverage</t>
  </si>
  <si>
    <t>Front-end fee, commercial loans without public guarantees</t>
  </si>
  <si>
    <t xml:space="preserve"> Instrument Impact on                                                                                                  Cost of Equity &amp; Cost of Debt</t>
  </si>
  <si>
    <t>Best-in-Class Country</t>
  </si>
  <si>
    <t>INSTRUMENT EFFECTIVENESS &amp; IMPACT</t>
  </si>
  <si>
    <t>INSTRUMENT COSTING</t>
  </si>
  <si>
    <t>RISK WATERFALL</t>
  </si>
  <si>
    <t>Instrument Selection (Y/ N)</t>
  </si>
  <si>
    <t xml:space="preserve">Total Impact </t>
  </si>
  <si>
    <t>POLICY DERISKING INSTRUMENTS</t>
  </si>
  <si>
    <t>Multiple</t>
  </si>
  <si>
    <t>FINANCIAL DERISKING INSTRUMENTS, SELECTION &amp; COSTING</t>
  </si>
  <si>
    <t>PostDeriskingInputMethod</t>
  </si>
  <si>
    <t>Risk Waterfall</t>
  </si>
  <si>
    <t>Manual Entry Method, Financing Assumptions</t>
  </si>
  <si>
    <t xml:space="preserve">Interest Expense, public loan </t>
  </si>
  <si>
    <t>Public loan</t>
  </si>
  <si>
    <t>C. Depreciation, Supporting Calculations</t>
  </si>
  <si>
    <t>This sheet is organised into three sections.</t>
  </si>
  <si>
    <t>B. FINANCING, SUPPORTING CALCULATIONS</t>
  </si>
  <si>
    <t>C. DEPRECIATION, SUPPORTING CALCULATIONS</t>
  </si>
  <si>
    <t>C. FINANCING, SUPPORTING CALCULATIONS</t>
  </si>
  <si>
    <t>D. DEPRECIATION, SUPPORTING CALCULATIONS</t>
  </si>
  <si>
    <t>D. Depreciation, Supporting Calculations</t>
  </si>
  <si>
    <t>I.</t>
  </si>
  <si>
    <t>II.</t>
  </si>
  <si>
    <t>III.</t>
  </si>
  <si>
    <t>IV.</t>
  </si>
  <si>
    <t>V.</t>
  </si>
  <si>
    <t>VI.</t>
  </si>
  <si>
    <t>DERISKING RENEWABLE ENERGY INVESTMENT</t>
  </si>
  <si>
    <t>Baseline Energy Mix LCOE</t>
  </si>
  <si>
    <t xml:space="preserve">Inputs, Baseline Energy Mix </t>
  </si>
  <si>
    <t>Summary Outputs</t>
  </si>
  <si>
    <t xml:space="preserve">LCOE, Baseline Energy Mix </t>
  </si>
  <si>
    <t>B. TABLE OF CONTENTS</t>
  </si>
  <si>
    <t>C. IMPORTANT GUIDANCE</t>
  </si>
  <si>
    <t>D. DISCLAIMER</t>
  </si>
  <si>
    <t xml:space="preserve"> - An output cell consists of a pre-existing formula. Do NOT enter data into an output cell. If the formula is overwritten, this could compromise the financial tool.</t>
  </si>
  <si>
    <t xml:space="preserve">This financial tool is for informational purposes only. UNDP is not responsible and does not accept any liability whatsoever for the accuracy of this financial tool or any data within it. </t>
  </si>
  <si>
    <t>This financial tool does not represent an endorsement by UNDP of any activity or project.</t>
  </si>
  <si>
    <t>WIND, VERSION 1.0 (APRIL 2013)</t>
  </si>
  <si>
    <t>A.  OVERVIEW</t>
  </si>
  <si>
    <t>I. SUMMARY OUTPUTS</t>
  </si>
  <si>
    <t>A. BASELINE ENERGY MIX</t>
  </si>
  <si>
    <t>LCOE - Baseline Energy Mix</t>
  </si>
  <si>
    <t xml:space="preserve">Share of Generation Mix by Technology </t>
  </si>
  <si>
    <t xml:space="preserve">Debt </t>
  </si>
  <si>
    <t xml:space="preserve">LCOE AND INCREMENTAL COSTS </t>
  </si>
  <si>
    <t>Commercial Loans with Public Guarantees</t>
  </si>
  <si>
    <t>Commercial Loans without Public Guarantees</t>
  </si>
  <si>
    <t>Public Guarantees for Commercial Loans</t>
  </si>
  <si>
    <t>Direct Financial Incentives</t>
  </si>
  <si>
    <t xml:space="preserve">Policy Derisking Instruments </t>
  </si>
  <si>
    <t>Present Value of:</t>
  </si>
  <si>
    <t>Policy Derisking Costs</t>
  </si>
  <si>
    <t xml:space="preserve">Financial Derisking Costs </t>
  </si>
  <si>
    <t>Incremental Cost</t>
  </si>
  <si>
    <t>II. INPUTS, BASELINE ENERGY MIX</t>
  </si>
  <si>
    <t>A. GENERAL INPUTS, BASELINE ENERGY MIX</t>
  </si>
  <si>
    <t xml:space="preserve">Public Loans </t>
  </si>
  <si>
    <t xml:space="preserve">Pre-derisking </t>
  </si>
  <si>
    <t>A. General Inputs, Baseline Energy Mix</t>
  </si>
  <si>
    <t>Input cells</t>
  </si>
  <si>
    <t>Output cells</t>
  </si>
  <si>
    <t>Checks</t>
  </si>
  <si>
    <t>Protected sheets and cells</t>
  </si>
  <si>
    <t>FINANCIAL DERISKING INSTRUMENTS</t>
  </si>
  <si>
    <t xml:space="preserve">Total Cost </t>
  </si>
  <si>
    <t>POLICY DERISKING INSTRUMENTS (COST TO PUBLIC SECTOR)</t>
  </si>
  <si>
    <t>Public Guarantees to Commercial Loans</t>
  </si>
  <si>
    <t xml:space="preserve">Instrument Description </t>
  </si>
  <si>
    <t>Instrument Description</t>
  </si>
  <si>
    <t xml:space="preserve">On Cost of Equity </t>
  </si>
  <si>
    <t>On Cost of Debt</t>
  </si>
  <si>
    <t>A. LCOE Models by Baseline Technology</t>
  </si>
  <si>
    <t>B. Financing, Supporting Calculations</t>
  </si>
  <si>
    <t>IV. LCOE,  BASELINE ENERGY MIX</t>
  </si>
  <si>
    <t>A. LCOE MODELS BY BASELINE TECHNOLOGY</t>
  </si>
  <si>
    <t>C. Financing, Supporting Calculations</t>
  </si>
  <si>
    <t>Political Risk Insurance (PRI) for Equity Providers</t>
  </si>
  <si>
    <t xml:space="preserve"> Post-derisking</t>
  </si>
  <si>
    <t xml:space="preserve"> - To unprotect sheets and cells, go to review &gt; unprotect sheet. The password to unprotect sheets is "energy". </t>
  </si>
  <si>
    <t xml:space="preserve"> - This introductory sheet may not be unprotected.</t>
  </si>
  <si>
    <t>The following modelling conventions are used throughout this tool:</t>
  </si>
  <si>
    <t>Commercial loans with Public Guarantees</t>
  </si>
  <si>
    <t>Commercial loans without Public Guarantees</t>
  </si>
  <si>
    <t>Financial Instrument Reserve Allocation</t>
  </si>
  <si>
    <t>Front End Fees</t>
  </si>
  <si>
    <t>VIII.</t>
  </si>
  <si>
    <r>
      <t xml:space="preserve"> - Output cells are formatted in </t>
    </r>
    <r>
      <rPr>
        <b/>
        <sz val="10"/>
        <rFont val="Arial"/>
        <family val="2"/>
      </rPr>
      <t xml:space="preserve">black </t>
    </r>
    <r>
      <rPr>
        <sz val="10"/>
        <rFont val="Arial"/>
        <family val="2"/>
      </rPr>
      <t>font</t>
    </r>
    <r>
      <rPr>
        <b/>
        <sz val="10"/>
        <rFont val="Arial"/>
        <family val="2"/>
      </rPr>
      <t xml:space="preserve">. </t>
    </r>
  </si>
  <si>
    <t>BASELINE</t>
  </si>
  <si>
    <t>BACKUP</t>
  </si>
  <si>
    <r>
      <t xml:space="preserve"> - Input cells are formatted in </t>
    </r>
    <r>
      <rPr>
        <sz val="10"/>
        <color indexed="12"/>
        <rFont val="Arial"/>
        <family val="2"/>
      </rPr>
      <t xml:space="preserve">blue </t>
    </r>
    <r>
      <rPr>
        <sz val="10"/>
        <rFont val="Arial"/>
        <family val="2"/>
      </rPr>
      <t>font.</t>
    </r>
    <r>
      <rPr>
        <sz val="10"/>
        <color indexed="12"/>
        <rFont val="Arial"/>
        <family val="2"/>
      </rPr>
      <t xml:space="preserve"> </t>
    </r>
    <r>
      <rPr>
        <b/>
        <sz val="10"/>
        <color indexed="12"/>
        <rFont val="Arial"/>
        <family val="2"/>
      </rPr>
      <t xml:space="preserve"> </t>
    </r>
    <r>
      <rPr>
        <sz val="10"/>
        <rFont val="Arial"/>
        <family val="2"/>
      </rPr>
      <t>An example of the format is as follows:</t>
    </r>
  </si>
  <si>
    <r>
      <t xml:space="preserve"> - Check cells will appear when there is an invalid entry of some sort. Check cells are formatted in </t>
    </r>
    <r>
      <rPr>
        <i/>
        <sz val="10"/>
        <color rgb="FFFF0000"/>
        <rFont val="Arial"/>
        <family val="2"/>
      </rPr>
      <t xml:space="preserve">red font. </t>
    </r>
    <r>
      <rPr>
        <sz val="10"/>
        <rFont val="Arial"/>
        <family val="2"/>
      </rPr>
      <t>If it appears, the check cell provides guidance on how to rectify the invalid entry.</t>
    </r>
  </si>
  <si>
    <t xml:space="preserve"> - In order to ensure that the tool maintains its functionality and formulae are not accidently deleted and/or comprimised, this tool is distributed with sheets and cells in 'protected' mode. </t>
  </si>
  <si>
    <t>A. Baseline Energy Mix</t>
  </si>
  <si>
    <t>Total Public Cost of Policy Derisking Instruments</t>
  </si>
  <si>
    <t>Total Public Cost of Financial Derisking Instruments</t>
  </si>
  <si>
    <t>Mt CO2e</t>
  </si>
  <si>
    <t>Share of Debt Financing</t>
  </si>
  <si>
    <t>Front-end Fee</t>
  </si>
  <si>
    <t>Annual Interest Rate, Public Loans</t>
  </si>
  <si>
    <t>Annual Interest Rate, Commercial Loans with Public Guarantees</t>
  </si>
  <si>
    <t>Front-end Fee, Commercial Loans</t>
  </si>
  <si>
    <t>Loan Tenor, Commercial Loans</t>
  </si>
  <si>
    <t xml:space="preserve">Term of Public Guarantee Coverage </t>
  </si>
  <si>
    <t>Guarantee Coverage, as a % of Commercial Loan Value</t>
  </si>
  <si>
    <t>Front-end Fee, Public Guarantee</t>
  </si>
  <si>
    <t xml:space="preserve">Annual Public Guarantee Fee </t>
  </si>
  <si>
    <t>PRI Coverage, as a % of Total Equity Investment</t>
  </si>
  <si>
    <t>User-Defined, Annually Adjusted (% change yoy)</t>
  </si>
  <si>
    <t>Fuel Cost, Starting Price</t>
  </si>
  <si>
    <t>Fuel Cost, Annual Increase</t>
  </si>
  <si>
    <t>User-Defined, Linear Function (y = ax + b)</t>
  </si>
  <si>
    <t>Operations &amp; Maintenance Expense, Year 1</t>
  </si>
  <si>
    <t>Operations &amp; Maintenance Expense, Annual Increase</t>
  </si>
  <si>
    <t>Check -&gt;</t>
  </si>
  <si>
    <t>Commercial Loans with Public Guarantees as Share of Total Debt Financing</t>
  </si>
  <si>
    <t>Public Loans as Share of Total Debt Financing</t>
  </si>
  <si>
    <t>Straight Line (over the Life Span of Each Investment)</t>
  </si>
  <si>
    <t>Share of Debt Financing by Product</t>
  </si>
  <si>
    <t>Check-&gt;</t>
  </si>
  <si>
    <t>Cost of Debt: Public Loans</t>
  </si>
  <si>
    <t>Cost of Debt: Commercial Loans with Public Guarantees</t>
  </si>
  <si>
    <t>Cost of Debt: Commercial Loans without Public Guarantees</t>
  </si>
  <si>
    <t>Annual Interest Rate, Commercial Loans</t>
  </si>
  <si>
    <t xml:space="preserve">Front-end Fee, Commercial Loans </t>
  </si>
  <si>
    <t>Guarantee coverage, as a % of Commercial Loan Value</t>
  </si>
  <si>
    <t>Term of Public Guarantee</t>
  </si>
  <si>
    <t>Annual Guarantee Fee</t>
  </si>
  <si>
    <t>Political Risk Insurance for Equity Investmnet</t>
  </si>
  <si>
    <t>Public Cost Reserve Allocation for Public Guarantees, as a % of Total Value</t>
  </si>
  <si>
    <t>Public Cost Reserve allocation for Political Risk Insurance, as a % of Total Value</t>
  </si>
  <si>
    <t>Public Cost Leverage Inputs</t>
  </si>
  <si>
    <t>Use of Paid-in Capital Leverage Multiplier</t>
  </si>
  <si>
    <t>Paid-in Capital Leverage Multiplier</t>
  </si>
  <si>
    <t xml:space="preserve">Please select costing method for each policy instrument and input cost assumptions. </t>
  </si>
  <si>
    <t>POST-DERISKING INPUT METHOD</t>
  </si>
  <si>
    <t>Input method for Post-derisking Financing Assumptions</t>
  </si>
  <si>
    <t>Please input loan tenor assumptions in whole numbers.</t>
  </si>
  <si>
    <t>Currency/Macro Risk</t>
  </si>
  <si>
    <t>Weighted Average Cost of Capital (Post tax)</t>
  </si>
  <si>
    <t>MWh/year</t>
  </si>
  <si>
    <t>Grid/Transmission Risk</t>
  </si>
  <si>
    <t>Take or Pay Clause in PPA</t>
  </si>
  <si>
    <t>Government Guarantee for PPA</t>
  </si>
  <si>
    <t>Partial Indexing</t>
  </si>
  <si>
    <t>hours/year</t>
  </si>
  <si>
    <t xml:space="preserve">Present Value of </t>
  </si>
  <si>
    <t>Share of Public Loans to Total Debt Financing</t>
  </si>
  <si>
    <t>Share of Commercial Loans with Public Guarantees to Total Debt Financing</t>
  </si>
  <si>
    <t>FINANCIAL DERISKING INSTRUMENTS - WITH RESERVES (COST TO PROJECT SPONSOR)</t>
  </si>
  <si>
    <t>FINANCIAL DERISKING INSTRUMENTS - WITH RESERVES (COST TO PUBLIC SECTOR)</t>
  </si>
  <si>
    <t>FINANCIAL DERISKING INSTRUMENTS - WITHOUT RESERVES (COST TO PUBLIC SECTOR)</t>
  </si>
  <si>
    <t>GENERATION COSTS - RESOURCE INPUTS</t>
  </si>
  <si>
    <t>GENERATION COSTS  - OPERATIONAL INPUTS</t>
  </si>
  <si>
    <t>Typical length of Transmission Line</t>
  </si>
  <si>
    <t>Km</t>
  </si>
  <si>
    <t xml:space="preserve">Voltage of Transmission Line </t>
  </si>
  <si>
    <t>Typical size of RE Plant</t>
  </si>
  <si>
    <t>kV</t>
  </si>
  <si>
    <t>IX.</t>
  </si>
  <si>
    <t>Inputs, Renewable Energy</t>
  </si>
  <si>
    <t xml:space="preserve">LCOE, Renewable Energy - Generation </t>
  </si>
  <si>
    <t xml:space="preserve">B. Renewable Energy </t>
  </si>
  <si>
    <t xml:space="preserve">B. RENEWABLE ENERGY </t>
  </si>
  <si>
    <t>Renewable Energy Capacity Factor (%)</t>
  </si>
  <si>
    <t>Renewable Energy Investment Cost</t>
  </si>
  <si>
    <t xml:space="preserve">Renewable Energy </t>
  </si>
  <si>
    <t>LCOE - Renewable Energy</t>
  </si>
  <si>
    <t>LCOE - Renewable Energy - Generation Component</t>
  </si>
  <si>
    <t xml:space="preserve">LCOE - Renewable Energy - Balancing Cost Component </t>
  </si>
  <si>
    <t>Total Investment in Renewable Energy to Meet Target</t>
  </si>
  <si>
    <t>Investment in Renewable Energy</t>
  </si>
  <si>
    <t>Renewable Energy LCOE</t>
  </si>
  <si>
    <t>% Change in Renewable Energy LCOE</t>
  </si>
  <si>
    <t>III. INPUTS, RENEWABLE ENERGY</t>
  </si>
  <si>
    <t xml:space="preserve">A. GENERAL INPUTS, RENEWABLE ENERGY </t>
  </si>
  <si>
    <t>A. General Inputs, Renewable Energy</t>
  </si>
  <si>
    <t>Renewable Energy Generation, Post-derisking</t>
  </si>
  <si>
    <t>V. LCOE, RENEWABLE ENERGY GENERATION</t>
  </si>
  <si>
    <t>A. LCOE Model, Renewable Energy Generation Pre-derisking</t>
  </si>
  <si>
    <t>B. LCOE Model, Renewable Energy Generation Post-derisking</t>
  </si>
  <si>
    <t>A. LCOE MODEL: RENEWABLE ENERGY GENERATION, PRE-DERISKING</t>
  </si>
  <si>
    <t>RENEWABLE ENERGY GENERATION, PRE-DERISKING</t>
  </si>
  <si>
    <t>B. LCOE MODEL: RENEWABLE ENERGY GENERATION, POST-DERISKING</t>
  </si>
  <si>
    <t>RENEWABLE ENERGY GENERATION, POST-DERISKING</t>
  </si>
  <si>
    <t>Renewable Energy Generation, Pre-derisking</t>
  </si>
  <si>
    <t>VI. LCOE, RENEWABLE ENERGY GRID INTERCONNECTION</t>
  </si>
  <si>
    <t>A. LCOE MODEL: RENEWABLE ENERGY GRID INTERCONNECTION, PRE-DERISKING</t>
  </si>
  <si>
    <t>RENEWABLE ENERGY GRID INTERCONNECTION, PRE-DERISKING</t>
  </si>
  <si>
    <t>B. LCOE MODEL: RENEWABLE ENERGY GRID INTERCONNECTION, POST-DERISKING</t>
  </si>
  <si>
    <t>RENEWABLE ENERGY GRID INTERCONNECTION, POST-DERISKING</t>
  </si>
  <si>
    <t>Renewable Energy Grid Interconnection, Pre-derisking</t>
  </si>
  <si>
    <t>Renewable Energy Grid Interconnection, Post-derisking</t>
  </si>
  <si>
    <t>After-Tax LCOE</t>
  </si>
  <si>
    <t>A. LCOE Model, Renewable Energy Grid Interconnection, Pre-derisking</t>
  </si>
  <si>
    <t>B. LCOE Model, Renewable Energy Grid Interconnection, Post-derisking</t>
  </si>
  <si>
    <t>LCOE - Renewable Energy - Grid Interconnection Component</t>
  </si>
  <si>
    <t>Technology:</t>
  </si>
  <si>
    <t>Baseline Energy Mix Technology</t>
  </si>
  <si>
    <t>Please select method to calculate the post-derisking cost of financing</t>
  </si>
  <si>
    <t xml:space="preserve">GRID INTERCONNECTION COSTS </t>
  </si>
  <si>
    <t xml:space="preserve">VII. </t>
  </si>
  <si>
    <t xml:space="preserve">A. </t>
  </si>
  <si>
    <t xml:space="preserve">B. </t>
  </si>
  <si>
    <t xml:space="preserve">C. </t>
  </si>
  <si>
    <t>Renewable Energy</t>
  </si>
  <si>
    <t>Capacity Factor</t>
  </si>
  <si>
    <t>Fuel Costs</t>
  </si>
  <si>
    <t>WIND TARGET AND RESOURCES</t>
  </si>
  <si>
    <t>Total Annual  Energy Production for Target (in MWh)</t>
  </si>
  <si>
    <t>Grid Emission Factor (tCO2e/MWh)</t>
  </si>
  <si>
    <t>GENERAL COUNTRY INPUTS</t>
  </si>
  <si>
    <t>Effective Corporate Tax Rate (%)</t>
  </si>
  <si>
    <t>Public Cost of Capital (%)</t>
  </si>
  <si>
    <t>Business-as-Usual</t>
  </si>
  <si>
    <t>Post Derisking</t>
  </si>
  <si>
    <t>Scenario</t>
  </si>
  <si>
    <t>FINANCING COSTS</t>
  </si>
  <si>
    <t xml:space="preserve">Debt/Equity Split </t>
  </si>
  <si>
    <t>Weighted Average Cost of Capital (WACC) (After-tax)</t>
  </si>
  <si>
    <t xml:space="preserve">INVESTMENT </t>
  </si>
  <si>
    <t xml:space="preserve">Commercial loans with public guarantees </t>
  </si>
  <si>
    <t>Public Sector Equity</t>
  </si>
  <si>
    <t>Funded by domestic public sector</t>
  </si>
  <si>
    <t>Funded by international public sector</t>
  </si>
  <si>
    <t>Financing Costs</t>
  </si>
  <si>
    <t>Private Sector Equity</t>
  </si>
  <si>
    <t>Cost per Km of Individual Transmission Line</t>
  </si>
  <si>
    <t>#</t>
  </si>
  <si>
    <t>Number of Transmission Lines (Redundancy)</t>
  </si>
  <si>
    <t>Concessional public loan</t>
  </si>
  <si>
    <t xml:space="preserve">Concessional public loan </t>
  </si>
  <si>
    <t xml:space="preserve">Present Value of 20 year PPA Premium </t>
  </si>
  <si>
    <t>2030 Target (in MW)</t>
  </si>
  <si>
    <t>Capacity Factor (%)</t>
  </si>
  <si>
    <t>LCOE, Renewable Energy - Grid Interconnection</t>
  </si>
  <si>
    <t>Investment in Renewable Energy Generation</t>
  </si>
  <si>
    <t>Investment in Renewable Energy Grid Interconnection</t>
  </si>
  <si>
    <t xml:space="preserve">Total Cost of Tranmission Lines to Meet Target Installed Capacity </t>
  </si>
  <si>
    <t xml:space="preserve">Total Cost of Sub-Stations to Meet Target Installed Capacity </t>
  </si>
  <si>
    <t>Total Grid Interconnection Costs</t>
  </si>
  <si>
    <t xml:space="preserve">Cost per Sub Station </t>
  </si>
  <si>
    <t>% Change in Total Abatement Costs per t/CO2e</t>
  </si>
  <si>
    <t>Abatement Costs due to Incremental Costs</t>
  </si>
  <si>
    <t>Abatement Costs due to Financial Derisking Costs</t>
  </si>
  <si>
    <t>Abatement Costs due to Policy Derisking Costs</t>
  </si>
  <si>
    <t>Total Carbon Abatement Costs per t/CO2e</t>
  </si>
  <si>
    <t>Post derisking tariff</t>
  </si>
  <si>
    <t>PV of Cost of Take or Pay Clause</t>
  </si>
  <si>
    <t>PV of marginal cost due to currency depreciation</t>
  </si>
  <si>
    <t>Cost of partial indexing product</t>
  </si>
  <si>
    <t>Annual energy production for target</t>
  </si>
  <si>
    <t>Net Present Value of generation</t>
  </si>
  <si>
    <t>After-Tax LCOE (Prederisking)</t>
  </si>
  <si>
    <t>Net Present Value generation</t>
  </si>
  <si>
    <t>Developer Risk</t>
  </si>
  <si>
    <t xml:space="preserve">Counterparty Risk </t>
  </si>
  <si>
    <t>US Government 10-Year Bond Rate</t>
  </si>
  <si>
    <t>Opportunity Cost (assumes no compounding)</t>
  </si>
  <si>
    <t>Face Value</t>
  </si>
  <si>
    <t>Minimum Capital Requirement for Public Loans, as a % of Total Value</t>
  </si>
  <si>
    <t>Fuel Price Inputs</t>
  </si>
  <si>
    <t>Base-Case</t>
  </si>
  <si>
    <t>&lt; 20% (Sensitivity)</t>
  </si>
  <si>
    <t>&gt; 20% (Sensitivity)</t>
  </si>
  <si>
    <t xml:space="preserve">Coal Price Projections </t>
  </si>
  <si>
    <t>Gas Price  Projections</t>
  </si>
  <si>
    <t>Assumptions:</t>
  </si>
  <si>
    <t>CAGR (Natural Gas, EU, nominal)</t>
  </si>
  <si>
    <t>2020-2030</t>
  </si>
  <si>
    <t>2030-2040</t>
  </si>
  <si>
    <t>CAGR (Coal, EU, nominal)</t>
  </si>
  <si>
    <t xml:space="preserve">Coal </t>
  </si>
  <si>
    <t xml:space="preserve">PERFORMANCE METRICS </t>
  </si>
  <si>
    <t>This sheet is left blank for user notes</t>
  </si>
  <si>
    <t xml:space="preserve">LCOE outputs for sensitivity analysis on key input assumptions </t>
  </si>
  <si>
    <t>Key outputs for sensitivity analysis on sub-sets of derisking instruments</t>
  </si>
  <si>
    <t>Public cost outputs for sensitivity analysis varying costing approach for financial derisking instruments</t>
  </si>
  <si>
    <t>BASELINE 
LCOE</t>
  </si>
  <si>
    <t>[WIND/SOLAR PV] 
BAU LCOE</t>
  </si>
  <si>
    <t>[WIND/SOLAR PV] 
POST-DERISKING LCOE</t>
  </si>
  <si>
    <t>TYPE OF 
SENSITIVITY</t>
  </si>
  <si>
    <t>DESCRIPTION OF 
SENSITIVITY</t>
  </si>
  <si>
    <t>Base Case</t>
  </si>
  <si>
    <t xml:space="preserve">Investment and O&amp;M Costs </t>
  </si>
  <si>
    <t xml:space="preserve">POST-DERISKING COST OF FINANCING </t>
  </si>
  <si>
    <t>EQUITY</t>
  </si>
  <si>
    <t>DEBT</t>
  </si>
  <si>
    <t>Policy:</t>
  </si>
  <si>
    <t>Financial:</t>
  </si>
  <si>
    <t>Total:</t>
  </si>
  <si>
    <t>SCENARIO</t>
  </si>
  <si>
    <t>DESCRIPTION OF SCENARIO</t>
  </si>
  <si>
    <t>Base case</t>
  </si>
  <si>
    <t xml:space="preserve">Base case instruments. </t>
  </si>
  <si>
    <t>Policy derisking only</t>
  </si>
  <si>
    <t xml:space="preserve">Policy derisking instruments only </t>
  </si>
  <si>
    <t>Financial derisking only</t>
  </si>
  <si>
    <t xml:space="preserve">Financial derisking instruments only </t>
  </si>
  <si>
    <t>High impact risk categories</t>
  </si>
  <si>
    <t xml:space="preserve">Policy &amp; financial derisking instruments addressing only high impact risk categories </t>
  </si>
  <si>
    <t>SAVINGS RATIO</t>
  </si>
  <si>
    <t>Actual/Opp cost</t>
  </si>
  <si>
    <t>Loss reserves</t>
  </si>
  <si>
    <t>Face value</t>
  </si>
  <si>
    <t>Total cost</t>
  </si>
  <si>
    <t>Table [3]: [Wind/Solar PV]: summary of public cost outputs for sensitivity analysis varying costing approach for financial derisking instruments</t>
  </si>
  <si>
    <t>High cost approach</t>
  </si>
  <si>
    <t>Low cost approach</t>
  </si>
  <si>
    <r>
      <t xml:space="preserve">Table [2]: [Wind/Solar PV]: summary of key outputs for sensitivity analysis </t>
    </r>
    <r>
      <rPr>
        <i/>
        <sz val="10"/>
        <color theme="1"/>
        <rFont val="Arial"/>
        <family val="2"/>
      </rPr>
      <t>on sub-sets of derisking instruments</t>
    </r>
  </si>
  <si>
    <t>Y-label</t>
  </si>
  <si>
    <t>X-labels</t>
  </si>
  <si>
    <t>Baseline Investment</t>
  </si>
  <si>
    <t>LCOE Baseline</t>
  </si>
  <si>
    <t>Incremental cost for plot</t>
  </si>
  <si>
    <t>for Plot</t>
  </si>
  <si>
    <t>Horizontal line</t>
  </si>
  <si>
    <t>(Horizontal line)</t>
  </si>
  <si>
    <t>Cost of BAU Instruments</t>
  </si>
  <si>
    <t>Cost of
Post-Derisking
Instruments</t>
  </si>
  <si>
    <t>Incremental
Cost 
BAU</t>
  </si>
  <si>
    <t>Savings</t>
  </si>
  <si>
    <t>Incremental
Cost
Post-Derisking</t>
  </si>
  <si>
    <t>Leverage</t>
  </si>
  <si>
    <t>Policy derisking instruments</t>
  </si>
  <si>
    <t>Financial derisking instruments</t>
  </si>
  <si>
    <t>Price premium (FIT, PPA)</t>
  </si>
  <si>
    <t>Total Investments</t>
  </si>
  <si>
    <t>Original label</t>
  </si>
  <si>
    <t>Horizontal lines</t>
  </si>
  <si>
    <t>Decrease</t>
  </si>
  <si>
    <t>Abatement cost</t>
  </si>
  <si>
    <t>Incremental cost BAU</t>
  </si>
  <si>
    <t>Legend</t>
  </si>
  <si>
    <t>Marginal baseline LCOE</t>
  </si>
  <si>
    <t xml:space="preserve">Incremental Cost of Renewable Energy vs. Baseline </t>
  </si>
  <si>
    <t>Present Value of Total Incremental Cost</t>
  </si>
  <si>
    <t>(Reserves)</t>
  </si>
  <si>
    <t>(Cost)</t>
  </si>
  <si>
    <t>[Actual cost for take or pay and partial indexing; loss reserve for PRI; face value for government guarantee and public loans]</t>
  </si>
  <si>
    <t>(Opp. Cost)</t>
  </si>
  <si>
    <t>Total Reserves</t>
  </si>
  <si>
    <t>Total Actual Cost</t>
  </si>
  <si>
    <t>Total Opp Cost</t>
  </si>
  <si>
    <t>Total Face Value</t>
  </si>
  <si>
    <t>Public Guarantees for Com. Loans</t>
  </si>
  <si>
    <t>Take or Pay</t>
  </si>
  <si>
    <t>Gov. Guarantee for PPA</t>
  </si>
  <si>
    <t>PRI</t>
  </si>
  <si>
    <t xml:space="preserve">Political Risk </t>
  </si>
  <si>
    <t>BASE CASE</t>
  </si>
  <si>
    <t>HIGH COST</t>
  </si>
  <si>
    <t>[Actual cost for take or pay and partial indexing, and opportunity cost for government guarantee; loss reserves for public loans and PRI]</t>
  </si>
  <si>
    <t>[Actual cost for take or pay and partial indexing, loss reserve for PRI; no cost for government guarantee and public loans]</t>
  </si>
  <si>
    <t>LOW COST</t>
  </si>
  <si>
    <t>Annual Incremental Cost at full target Renewable Energy capacity</t>
  </si>
  <si>
    <t>Present Value of Total Incremental Cost over lifetime of Renewable Energy Investment</t>
  </si>
  <si>
    <t>Present Value of Total Savings Due to Derisking over lifetime of Renewable Energy Investment</t>
  </si>
  <si>
    <t>Cost</t>
  </si>
  <si>
    <t>Risk Category</t>
  </si>
  <si>
    <t>FACTORS</t>
  </si>
  <si>
    <t>Post-derisking LCOE</t>
  </si>
  <si>
    <t>Factor</t>
  </si>
  <si>
    <t>Cost of Debt</t>
  </si>
  <si>
    <t>Direct Impact</t>
  </si>
  <si>
    <t>with public loan</t>
  </si>
  <si>
    <t>without public loan</t>
  </si>
  <si>
    <t>D.</t>
  </si>
  <si>
    <t>Summary of results for sensitivity analysis on the cost-efficiency of individual instruments</t>
  </si>
  <si>
    <t>This sheet is organised into 4 sections.</t>
  </si>
  <si>
    <t>RISK CATEGORY</t>
  </si>
  <si>
    <t xml:space="preserve">INSTRUMENT </t>
  </si>
  <si>
    <t>Various</t>
  </si>
  <si>
    <t>Table [4]: [Wind/Solar PV]: summary of results for sensitivity analysis on the cost-effiency of individual instruments</t>
  </si>
  <si>
    <t>Notes</t>
  </si>
  <si>
    <t>X.</t>
  </si>
  <si>
    <t>XI.</t>
  </si>
  <si>
    <t>VERSION 2.0 (AUGUST 2017)</t>
  </si>
  <si>
    <t>Instruments Costing</t>
  </si>
  <si>
    <t>Sensitivity Analysis</t>
  </si>
  <si>
    <t>Charts</t>
  </si>
  <si>
    <t>Report Summary Table</t>
  </si>
  <si>
    <t>Technology #2</t>
  </si>
  <si>
    <t>Technology #3</t>
  </si>
  <si>
    <t>Technology #4</t>
  </si>
  <si>
    <t>Technology #5</t>
  </si>
  <si>
    <t>Technology #6</t>
  </si>
  <si>
    <t>Grid Emission Factor</t>
  </si>
  <si>
    <t>Baseline model assumes 1MW plant size for each applicable technology.</t>
  </si>
  <si>
    <t>E. ADDITIONAL BASELINE ENERGY DATA</t>
  </si>
  <si>
    <t>E. Additional Baseline Energy Data</t>
  </si>
  <si>
    <t>Fuel Price Data</t>
  </si>
  <si>
    <t>USER-DEFINED, ANNUALLY ADJUSTED</t>
  </si>
  <si>
    <t>MANUAL ENTRY</t>
  </si>
  <si>
    <t>Guidance: ungroup to reveal</t>
  </si>
  <si>
    <t>Modelling Start Year</t>
  </si>
  <si>
    <t>Full days per year with curtailment</t>
  </si>
  <si>
    <t>Percentage cost assumed by government</t>
  </si>
  <si>
    <t>Equivalent percentage of days/year</t>
  </si>
  <si>
    <t>days</t>
  </si>
  <si>
    <t>Months of payments guaranteed</t>
  </si>
  <si>
    <t>months</t>
  </si>
  <si>
    <t>Opportunity cost (assumes no compounding)</t>
  </si>
  <si>
    <t>Hedging premium</t>
  </si>
  <si>
    <t>Percentage of tariff indexed to hard currencies</t>
  </si>
  <si>
    <t>Percentage of exposure hedged by government</t>
  </si>
  <si>
    <t>No.</t>
  </si>
  <si>
    <t>Target annual production</t>
  </si>
  <si>
    <t>Cost of lost annual production</t>
  </si>
  <si>
    <t>Cost of lost annual production assumed by government</t>
  </si>
  <si>
    <t>Annual production</t>
  </si>
  <si>
    <t xml:space="preserve">PV of Opportunity Cost @ Public Cost of Capital </t>
  </si>
  <si>
    <t>Annual cost of hedging</t>
  </si>
  <si>
    <t>Approach 1 - User-defined, annually adjusted</t>
  </si>
  <si>
    <t>Approach 2 - User-defined, linear function</t>
  </si>
  <si>
    <t>Approach 3 - Manual Entry</t>
  </si>
  <si>
    <t>Annual degradation rate</t>
  </si>
  <si>
    <t>Operations &amp; Maintenance Calculation (inflation adjusted)</t>
  </si>
  <si>
    <t xml:space="preserve">Incremental Cost of Renewable Energy vs Baseline </t>
  </si>
  <si>
    <t>Incremental Cost of Renewable Energy vs. Baseline - Pre vs. Post Derisking</t>
  </si>
  <si>
    <t>Annual Incremental Cost vs. Baseline</t>
  </si>
  <si>
    <t>PV of total incremental cost pre-derisking</t>
  </si>
  <si>
    <t>PV of total incremental cost post-derisking</t>
  </si>
  <si>
    <t>Annual Savings Due to Derisking  at full target Renewable Energy capacity</t>
  </si>
  <si>
    <t>Present Value of FIT/PPA Price Premium over lifetime of Renewable Energy Investment</t>
  </si>
  <si>
    <t>Instrument Cost Efficiency Calculation</t>
  </si>
  <si>
    <t>LCOE (kWh) Cost of Equity impact of instrument</t>
  </si>
  <si>
    <t>LCOE (kWh) Cost of Debt impact of instrument</t>
  </si>
  <si>
    <t>Total LCOE (kWh) impact of instrument</t>
  </si>
  <si>
    <t>$ cost of instrument /$0.1 cent LCOE Impact</t>
  </si>
  <si>
    <t>Cost of Equity Impact of Instrument</t>
  </si>
  <si>
    <t>Cost of Debt Impact of Instrument</t>
  </si>
  <si>
    <t>Instrument</t>
  </si>
  <si>
    <t>TABLE FOR REPORT</t>
  </si>
  <si>
    <t>LINKED MODULE</t>
  </si>
  <si>
    <t>CARBON ABATEMENT COST</t>
  </si>
  <si>
    <t>BASELINE ENERGY MIX</t>
  </si>
  <si>
    <t>VII. INSTRUMENT COSTING</t>
  </si>
  <si>
    <t>Direct impact of Instrument (through concessional interest rate)</t>
  </si>
  <si>
    <t>Risk Waterfall: if selected, please input data into the risk waterfall module</t>
  </si>
  <si>
    <t>Manual Entry: if selected, please input the cost of financing directly below</t>
  </si>
  <si>
    <t>Lump Sum: The user inputs the total cost of a policy derisking instrument for the full implementation period, discounted to today</t>
  </si>
  <si>
    <t>Country:</t>
  </si>
  <si>
    <t>Owner:</t>
  </si>
  <si>
    <t>Date last updated (Mo/Dy/Yr):</t>
  </si>
  <si>
    <t>-</t>
  </si>
  <si>
    <t>Degradation discount</t>
  </si>
  <si>
    <t>Manual entry</t>
  </si>
  <si>
    <t>Guidance [Ungroup to reveal]</t>
  </si>
  <si>
    <t>Sum of all technologies in generation mix - cell T19 - must equal 100%</t>
  </si>
  <si>
    <t>This LCOE tool is one component of the DREI framework to assist policymakers in selecting public instruments to promote renewable energy investment.</t>
  </si>
  <si>
    <t>This tool calculates the levelised cost of electricity (LCOE) for a given country’s baseline energy mix and the LCOE of the target renewable energy, before and after the introduction of public instruments.</t>
  </si>
  <si>
    <t xml:space="preserve">This tool is tailored towards utilty-scale renewable energy generation, across a mix of technologies (wind, solar PV, small hydro). </t>
  </si>
  <si>
    <t xml:space="preserve">This tool is accompanied by a package of complementary tools, materials and guidance. Please visit www.undp.org/DREI </t>
  </si>
  <si>
    <t>This financial tool is organised into the following eleven sheets</t>
  </si>
  <si>
    <t xml:space="preserve"> - Input cells require the user to enter numeric or qualitative data, to adjust a formula, or to select an option from a drop-down menu.</t>
  </si>
  <si>
    <t>In-model guidance</t>
  </si>
  <si>
    <t xml:space="preserve">- Guidance is provided at various points in the model in red italicized fonts as follows: </t>
  </si>
  <si>
    <t>Guidance [Ungroup cells to reveal]</t>
  </si>
  <si>
    <t xml:space="preserve">- For further guidance on the use of this tool, please see the guidance note available at www.undp.org/DREI </t>
  </si>
  <si>
    <t>Exchange Rate as of (Day/Mo/Year)</t>
  </si>
  <si>
    <t>Date</t>
  </si>
  <si>
    <t>Years</t>
  </si>
  <si>
    <t>For the calculation methdology:</t>
  </si>
  <si>
    <t>User-Defined, Annually Adjusted: is inputted by the user in rows 111 onwards</t>
  </si>
  <si>
    <t>User-Defined, Linear Function: is inputted by the user in row 114 onwards</t>
  </si>
  <si>
    <t xml:space="preserve">Manual Entry: is inputted in Section E </t>
  </si>
  <si>
    <t>If a risk category is not applicable or not relevant, for example in the Cost of Debt waterfall, please denote by putting NA in the appropriate cell.</t>
  </si>
  <si>
    <t>If "incorrect apportioning" appears as the 'check', the values inputed for risk apportioning do not equal the delta b/w the modelling country and best in class country</t>
  </si>
  <si>
    <t>Duration
(in years)</t>
  </si>
  <si>
    <t xml:space="preserve">Instrument Assumptions </t>
  </si>
  <si>
    <t>Certain risk categories have multiple instruments. The sum of the efffectiveness percentages cannot exceed 100%. The check will identify when this occurs</t>
  </si>
  <si>
    <t xml:space="preserve">Annual Cost: This is an automated calculation. The user inputs the annual cost of a policy derisking instrument, the number of years for implementation, and the public discount rate. </t>
  </si>
  <si>
    <t xml:space="preserve">Paid-in-capital multiplier refers to the ability of multilateral development banks to leverage paid-in capital on the international bond markets. </t>
  </si>
  <si>
    <t>For depreciation, propose value for non-depreciable is set to 5% to reflect land</t>
  </si>
  <si>
    <t xml:space="preserve">This module is applicable if grid interconnection costs are not already factored into overall installed cost/MW assumption. </t>
  </si>
  <si>
    <t>A. FIT/PPA PRICE PREMIUM</t>
  </si>
  <si>
    <t>Per MWh</t>
  </si>
  <si>
    <t>Per kWh</t>
  </si>
  <si>
    <t>B. COST OF TAKE OR PAY</t>
  </si>
  <si>
    <t>C. COST OF GOVERNMENT GUARANTEE FOR PPA</t>
  </si>
  <si>
    <t>D. COST OF FX PARTIAL INDEXING</t>
  </si>
  <si>
    <t>A. FiT/PPA Price Premium</t>
  </si>
  <si>
    <t>B. Cost of Take or Pay</t>
  </si>
  <si>
    <t>C. Cost of Government Guarantee for PPA</t>
  </si>
  <si>
    <t>D. Cost of Partial Indexing</t>
  </si>
  <si>
    <t>Change assumptions in the inputs sheets (Sheet II and Sheet III)</t>
  </si>
  <si>
    <t>Then paste the values from the 'Linked Module' into the "Table for Report'</t>
  </si>
  <si>
    <t>This sheet semi-automates the process of generating the sensitivity output tables for the report.</t>
  </si>
  <si>
    <t>20xx -2020</t>
  </si>
  <si>
    <t>A. LCOE OUTPUTS FOR SENSITIVITY ANALYSIS ON KEY INPUT ASSUMPTIONS</t>
  </si>
  <si>
    <t>B. KEY OUTPUTS FOR SENSITIVITY ANALYSIS ON SUB-SETS OF DERISKING INSTRUMENTS</t>
  </si>
  <si>
    <t>VIII. SENSITIVITY OUTPUTS</t>
  </si>
  <si>
    <t>C. PUBLIC COST OUTPUTS FOR SENSITIVITY ANALYSIS VARYING COSTING APPROACH FOR FINANCIAL DERISKING INSTRUMENTS</t>
  </si>
  <si>
    <t>D. SUMMARY OF RESULTS FOR SENSITIVITY ANALYSIS ON THE COST-EFFICIENCY OF INDIVIDUAL INSTRUMENTS</t>
  </si>
  <si>
    <t>LCOE Comparison</t>
  </si>
  <si>
    <t>Investment Leverage Ratio</t>
  </si>
  <si>
    <t>Savings Ratio</t>
  </si>
  <si>
    <t>Affordability</t>
  </si>
  <si>
    <t>A. LCOE COMPARISON</t>
  </si>
  <si>
    <t>B. INVESTMENT LEVERAGE RATIO</t>
  </si>
  <si>
    <t>C. SAVINGS RATIO</t>
  </si>
  <si>
    <t xml:space="preserve">D. AFFORDABILITY </t>
  </si>
  <si>
    <t xml:space="preserve">E. CARBON ABATEMENT </t>
  </si>
  <si>
    <t xml:space="preserve">This sheet semi-automates the process of generating key graphics </t>
  </si>
  <si>
    <t>Blue cells and certain labels etc will need to be edited in data sets and moved on charts</t>
  </si>
  <si>
    <t>IX. CHARTS</t>
  </si>
  <si>
    <t>E. Carbon Abatement</t>
  </si>
  <si>
    <t>X. REPORT SUMMARY TABLE</t>
  </si>
  <si>
    <t>This sheet is organised into 5 sections.</t>
  </si>
  <si>
    <t>This sheet is organised into 1 sections.</t>
  </si>
  <si>
    <t>A.  Summary Report Table</t>
  </si>
  <si>
    <t>This sheet semi-automates the process of generating the report summary table</t>
  </si>
  <si>
    <t>Certain line items and labels will need to be edited in data sets and moved on charts</t>
  </si>
  <si>
    <t>A. SUMMARY REPORT TABLE</t>
  </si>
  <si>
    <t>XI. NOTES</t>
  </si>
  <si>
    <t>Guarantee term is set equal to the tenor of the underlying commercial loan.</t>
  </si>
  <si>
    <t>Financing Risk</t>
  </si>
  <si>
    <t>EUR</t>
  </si>
  <si>
    <t>EUR/MW</t>
  </si>
  <si>
    <t>EUR/kWh</t>
  </si>
  <si>
    <t>EUR/MWh</t>
  </si>
  <si>
    <t xml:space="preserve">Table [1]: [Wind/Solar PV]: summary of LCOE outputs for sensitivity analysis on key input assumptions [EUR cents/kWh] </t>
  </si>
  <si>
    <t>POST-DERISKING LCOE 
(EUR/KWh)</t>
  </si>
  <si>
    <t>COST OF INSTRUMENTS 
(EUR million)</t>
  </si>
  <si>
    <t xml:space="preserve">SAVINGS TO THE ECONOMY (EUR million) </t>
  </si>
  <si>
    <t>COST TO PUBLIC (EUR million)</t>
  </si>
  <si>
    <t>CARBON ABATEMENT COST* (EUR/tCO2)</t>
  </si>
  <si>
    <t>EUR cost of instrument/EUR 0.1 cents of impact on post-derisking LCOE</t>
  </si>
  <si>
    <t>Millions EUR</t>
  </si>
  <si>
    <t>EUR cents/kWh</t>
  </si>
  <si>
    <t>EUR/tCO2e</t>
  </si>
  <si>
    <t>LCOE (EURcents/kWh)</t>
  </si>
  <si>
    <t>Total Investment (EUR million)</t>
  </si>
  <si>
    <t>Debt (EUR million)</t>
  </si>
  <si>
    <t>Equity (EUR million)</t>
  </si>
  <si>
    <t>Policy Derisking Instruments (EUR million, present value)</t>
  </si>
  <si>
    <t>Financial Derisking Instruments (EUR million, present value)</t>
  </si>
  <si>
    <t>Direct Financial Incentives (EUR million)</t>
  </si>
  <si>
    <t>UTILITY-SCALE LCOE TOOL (EUR)</t>
  </si>
  <si>
    <t>EUR/year</t>
  </si>
  <si>
    <t>€</t>
  </si>
  <si>
    <t>€/MWh</t>
  </si>
  <si>
    <t>CCGT</t>
  </si>
  <si>
    <t>Exchange Rate (1 EUR: 1 USD)</t>
  </si>
  <si>
    <t>USD/EUR</t>
  </si>
  <si>
    <t>Long term targets; regulatory framework; standardised PPA; independent regulator</t>
  </si>
  <si>
    <t>Streamlined process for permits; Establish a dedicated one-stop shop for RE permits; contract enforcement and recourse mechanisms</t>
  </si>
  <si>
    <t>Awareness-raising campaigns targeting communities and end-users; pilot models for community involvement at project sites</t>
  </si>
  <si>
    <t>Resource assessment; Technology and O&amp;M assistance</t>
  </si>
  <si>
    <t>Grid code; grid management studies</t>
  </si>
  <si>
    <t>Strengthening utility's management &amp; operational performance for existing operations</t>
  </si>
  <si>
    <t>Financial sector reform; strengthening investors' familiarity and assessment capacity for renewable energy</t>
  </si>
  <si>
    <t>Tunisia</t>
  </si>
  <si>
    <t>SolarPV</t>
  </si>
  <si>
    <t>Solar PV Energy Investment
BAU</t>
  </si>
  <si>
    <t>Solar PV Energy Investment
Post-Derisking</t>
  </si>
  <si>
    <t>Solar PV Energy
Investments</t>
  </si>
  <si>
    <t>Solar PV Energy LCOE
Post-Derisking</t>
  </si>
  <si>
    <t>Solar PV Energy LCOE
BAU</t>
  </si>
  <si>
    <t>Solar PV Energy
Abatement Cost
Post-Derisking</t>
  </si>
  <si>
    <t>Solar PV Energy
Abatement Cost
BAU</t>
  </si>
  <si>
    <t>20% higher fuel cost projections</t>
  </si>
  <si>
    <t>20% lower fuel cost projections</t>
  </si>
  <si>
    <t>1% point higher financing costs: CoE=18%, CoD=9%</t>
  </si>
  <si>
    <t>1% point lower financing costs: CoE=16%, CoD=7%</t>
  </si>
  <si>
    <t>vs. Base case CoE=17%, CoD=8%</t>
  </si>
  <si>
    <t>vs. Base case is 19.4%</t>
  </si>
  <si>
    <t>Years until investment target is (ramp up/ramp down)</t>
  </si>
  <si>
    <t>Higher investment and O&amp;M costs: investment 763,953 EUR/MW and O&amp;M costs €23,136   
 EUR/MW/y</t>
  </si>
  <si>
    <t>vs. Base case 636,627 EUR/MW and 19,280   
 EUR/MW/y</t>
  </si>
  <si>
    <t>Higher capacity factor: 25%</t>
  </si>
  <si>
    <t>06/06/2018</t>
  </si>
  <si>
    <t>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</si>
</sst>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4">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0.0%"/>
    <numFmt numFmtId="165" formatCode="#,##0.000_);\(#,##0.000\)"/>
    <numFmt numFmtId="166" formatCode="0.0\x"/>
    <numFmt numFmtId="167" formatCode="&quot;$&quot;#,##0.00"/>
    <numFmt numFmtId="168" formatCode="&quot;$&quot;#,##0"/>
    <numFmt numFmtId="169" formatCode="_(* #,##0_);_(* \(#,##0\);_(* &quot;-&quot;??_);_(@_)"/>
    <numFmt numFmtId="170" formatCode="&quot;$&quot;#,##0.0_);\(&quot;$&quot;#,##0.0\)"/>
    <numFmt numFmtId="171" formatCode="&quot;$&quot;#,##0.0000_);\(&quot;$&quot;#,##0.0000\)"/>
    <numFmt numFmtId="172" formatCode="&quot;$&quot;#,##0.000_);\(&quot;$&quot;#,##0.000\)"/>
    <numFmt numFmtId="173" formatCode="_(&quot;$&quot;* #,##0_);_(&quot;$&quot;* \(#,##0\);_(&quot;$&quot;* &quot;-&quot;??_);_(@_)"/>
    <numFmt numFmtId="174" formatCode="0.000000000%"/>
    <numFmt numFmtId="175" formatCode="#,##0.0_);\(#,##0.0\)"/>
    <numFmt numFmtId="176" formatCode="[$€-2]\ #,##0_);\([$€-2]\ #,##0\)"/>
    <numFmt numFmtId="177" formatCode="0.000%"/>
    <numFmt numFmtId="178" formatCode="0.0"/>
    <numFmt numFmtId="179" formatCode="[$€-83C]#,##0.00;\-[$€-83C]#,##0.00"/>
    <numFmt numFmtId="180" formatCode="_([$€-2]\ * #,##0_);_([$€-2]\ * \(#,##0\);_([$€-2]\ * &quot;-&quot;??_);_(@_)"/>
    <numFmt numFmtId="181" formatCode="[$€-2]#,##0_);\([$€-2]#,##0\)"/>
    <numFmt numFmtId="182" formatCode="&quot;$&quot;#,##0.000"/>
    <numFmt numFmtId="183" formatCode="0.000"/>
    <numFmt numFmtId="184" formatCode="0.0000%"/>
    <numFmt numFmtId="185" formatCode="#,##0.0"/>
    <numFmt numFmtId="186" formatCode="_(&quot;$&quot;* #,##0.0000_);_(&quot;$&quot;* \(#,##0.0000\);_(&quot;$&quot;* &quot;-&quot;??_);_(@_)"/>
    <numFmt numFmtId="187" formatCode="0.0000"/>
    <numFmt numFmtId="188" formatCode="0_);\(0\)"/>
    <numFmt numFmtId="189" formatCode="[$-409]dd\-mmm\-yy;@"/>
    <numFmt numFmtId="190" formatCode="&quot;€&quot;#,##0_);\(&quot;€&quot;#,##0\)"/>
    <numFmt numFmtId="191" formatCode="&quot;€&quot;#,##0.00_);\(&quot;€&quot;#,##0.00\)"/>
    <numFmt numFmtId="192" formatCode="&quot;€&quot;#,##0.000_);\(&quot;€&quot;#,##0.000\)"/>
  </numFmts>
  <fonts count="50" x14ac:knownFonts="1">
    <font>
      <sz val="11"/>
      <color theme="1"/>
      <name val="Calibri"/>
      <family val="2"/>
      <scheme val="minor"/>
    </font>
    <font>
      <sz val="11"/>
      <color theme="1"/>
      <name val="Calibri"/>
      <family val="2"/>
      <scheme val="minor"/>
    </font>
    <font>
      <b/>
      <sz val="11"/>
      <color theme="1"/>
      <name val="Calibri"/>
      <family val="2"/>
      <scheme val="minor"/>
    </font>
    <font>
      <sz val="11"/>
      <color theme="4"/>
      <name val="Calibri"/>
      <family val="2"/>
      <scheme val="minor"/>
    </font>
    <font>
      <sz val="9"/>
      <color indexed="81"/>
      <name val="Tahoma"/>
      <family val="2"/>
    </font>
    <font>
      <sz val="10"/>
      <name val="Arial"/>
      <family val="2"/>
    </font>
    <font>
      <u/>
      <sz val="11"/>
      <color theme="10"/>
      <name val="Calibri"/>
      <family val="2"/>
      <scheme val="minor"/>
    </font>
    <font>
      <u/>
      <sz val="11"/>
      <color theme="11"/>
      <name val="Calibri"/>
      <family val="2"/>
      <scheme val="minor"/>
    </font>
    <font>
      <b/>
      <sz val="12"/>
      <color theme="0"/>
      <name val="Calibri"/>
      <family val="2"/>
      <scheme val="minor"/>
    </font>
    <font>
      <b/>
      <sz val="10"/>
      <color indexed="9"/>
      <name val="Arial"/>
      <family val="2"/>
    </font>
    <font>
      <sz val="10"/>
      <color indexed="9"/>
      <name val="Arial"/>
      <family val="2"/>
    </font>
    <font>
      <sz val="10"/>
      <color theme="1"/>
      <name val="Arial"/>
      <family val="2"/>
    </font>
    <font>
      <b/>
      <sz val="10"/>
      <color theme="1"/>
      <name val="Arial"/>
      <family val="2"/>
    </font>
    <font>
      <sz val="10"/>
      <color theme="3"/>
      <name val="Arial"/>
      <family val="2"/>
    </font>
    <font>
      <b/>
      <i/>
      <sz val="10"/>
      <color theme="1"/>
      <name val="Arial"/>
      <family val="2"/>
    </font>
    <font>
      <b/>
      <i/>
      <sz val="10"/>
      <color indexed="9"/>
      <name val="Arial"/>
      <family val="2"/>
    </font>
    <font>
      <i/>
      <sz val="10"/>
      <color indexed="9"/>
      <name val="Arial"/>
      <family val="2"/>
    </font>
    <font>
      <i/>
      <sz val="10"/>
      <name val="Arial"/>
      <family val="2"/>
    </font>
    <font>
      <sz val="10"/>
      <color theme="4"/>
      <name val="Arial"/>
      <family val="2"/>
    </font>
    <font>
      <sz val="10"/>
      <color rgb="FFFF0000"/>
      <name val="Arial"/>
      <family val="2"/>
    </font>
    <font>
      <i/>
      <sz val="10"/>
      <color theme="1"/>
      <name val="Arial"/>
      <family val="2"/>
    </font>
    <font>
      <i/>
      <sz val="10"/>
      <color rgb="FFFF0000"/>
      <name val="Arial"/>
      <family val="2"/>
    </font>
    <font>
      <b/>
      <sz val="10"/>
      <color rgb="FF0070C0"/>
      <name val="Arial"/>
      <family val="2"/>
    </font>
    <font>
      <sz val="10"/>
      <color rgb="FF7030A0"/>
      <name val="Arial"/>
      <family val="2"/>
    </font>
    <font>
      <b/>
      <sz val="10"/>
      <name val="Arial"/>
      <family val="2"/>
    </font>
    <font>
      <sz val="10"/>
      <color rgb="FF0070C0"/>
      <name val="Arial"/>
      <family val="2"/>
    </font>
    <font>
      <sz val="10"/>
      <name val="Arial"/>
      <family val="2"/>
    </font>
    <font>
      <b/>
      <i/>
      <sz val="10"/>
      <name val="Arial"/>
      <family val="2"/>
    </font>
    <font>
      <b/>
      <sz val="20"/>
      <name val="Arial"/>
      <family val="2"/>
    </font>
    <font>
      <sz val="10"/>
      <color indexed="12"/>
      <name val="Arial"/>
      <family val="2"/>
    </font>
    <font>
      <b/>
      <sz val="10"/>
      <color indexed="12"/>
      <name val="Arial"/>
      <family val="2"/>
    </font>
    <font>
      <sz val="10"/>
      <color indexed="22"/>
      <name val="Arial"/>
      <family val="2"/>
    </font>
    <font>
      <u/>
      <sz val="9.35"/>
      <color theme="10"/>
      <name val="Calibri"/>
      <family val="2"/>
    </font>
    <font>
      <b/>
      <sz val="20"/>
      <color rgb="FFFF0000"/>
      <name val="Arial"/>
      <family val="2"/>
    </font>
    <font>
      <sz val="10"/>
      <color rgb="FF3527E9"/>
      <name val="Arial"/>
      <family val="2"/>
    </font>
    <font>
      <sz val="11"/>
      <color rgb="FF3527E9"/>
      <name val="Calibri"/>
      <family val="2"/>
      <scheme val="minor"/>
    </font>
    <font>
      <sz val="10"/>
      <color rgb="FF000000"/>
      <name val="Arial"/>
      <family val="2"/>
    </font>
    <font>
      <b/>
      <sz val="10"/>
      <color rgb="FF3527E9"/>
      <name val="Arial"/>
      <family val="2"/>
    </font>
    <font>
      <b/>
      <sz val="10"/>
      <color rgb="FFFF0000"/>
      <name val="Arial"/>
      <family val="2"/>
    </font>
    <font>
      <b/>
      <sz val="9"/>
      <color indexed="81"/>
      <name val="Tahoma"/>
      <family val="2"/>
    </font>
    <font>
      <sz val="10"/>
      <color theme="0"/>
      <name val="Arial"/>
      <family val="2"/>
    </font>
    <font>
      <b/>
      <sz val="10"/>
      <color theme="0"/>
      <name val="Arial"/>
      <family val="2"/>
    </font>
    <font>
      <i/>
      <sz val="10"/>
      <color rgb="FF000000"/>
      <name val="Arial"/>
      <family val="2"/>
    </font>
    <font>
      <i/>
      <sz val="10"/>
      <color rgb="FF3527E9"/>
      <name val="Arial"/>
      <family val="2"/>
    </font>
    <font>
      <b/>
      <sz val="10"/>
      <color rgb="FFFFFFFF"/>
      <name val="Arial"/>
      <family val="2"/>
    </font>
    <font>
      <sz val="10"/>
      <color rgb="FF0000FF"/>
      <name val="Arial"/>
      <family val="2"/>
    </font>
    <font>
      <sz val="11"/>
      <color rgb="FF0000FF"/>
      <name val="Calibri"/>
      <family val="2"/>
      <scheme val="minor"/>
    </font>
    <font>
      <b/>
      <sz val="10"/>
      <color theme="0" tint="-0.249977111117893"/>
      <name val="Arial"/>
      <family val="2"/>
    </font>
    <font>
      <sz val="8"/>
      <name val="Arial"/>
      <family val="2"/>
    </font>
    <font>
      <i/>
      <sz val="10"/>
      <color rgb="FF0070C0"/>
      <name val="Arial"/>
      <family val="2"/>
    </font>
  </fonts>
  <fills count="30">
    <fill>
      <patternFill patternType="none"/>
    </fill>
    <fill>
      <patternFill patternType="gray125"/>
    </fill>
    <fill>
      <patternFill patternType="solid">
        <fgColor theme="3" tint="0.79998168889431442"/>
        <bgColor indexed="64"/>
      </patternFill>
    </fill>
    <fill>
      <patternFill patternType="solid">
        <fgColor theme="2"/>
        <bgColor indexed="64"/>
      </patternFill>
    </fill>
    <fill>
      <patternFill patternType="solid">
        <fgColor rgb="FFA5A5A5"/>
      </patternFill>
    </fill>
    <fill>
      <patternFill patternType="solid">
        <fgColor theme="9" tint="0.79998168889431442"/>
        <bgColor indexed="64"/>
      </patternFill>
    </fill>
    <fill>
      <patternFill patternType="solid">
        <fgColor theme="5" tint="0.39994506668294322"/>
        <bgColor indexed="64"/>
      </patternFill>
    </fill>
    <fill>
      <patternFill patternType="solid">
        <fgColor theme="2" tint="-9.9948118533890809E-2"/>
        <bgColor indexed="64"/>
      </patternFill>
    </fill>
    <fill>
      <patternFill patternType="solid">
        <fgColor theme="7" tint="0.59996337778862885"/>
        <bgColor indexed="64"/>
      </patternFill>
    </fill>
    <fill>
      <patternFill patternType="solid">
        <fgColor theme="9" tint="0.39994506668294322"/>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6" tint="0.39994506668294322"/>
        <bgColor indexed="64"/>
      </patternFill>
    </fill>
    <fill>
      <patternFill patternType="solid">
        <fgColor theme="0" tint="-0.14996795556505021"/>
        <bgColor indexed="64"/>
      </patternFill>
    </fill>
    <fill>
      <patternFill patternType="solid">
        <fgColor indexed="61"/>
        <bgColor indexed="64"/>
      </patternFill>
    </fill>
    <fill>
      <patternFill patternType="solid">
        <fgColor theme="0"/>
        <bgColor indexed="64"/>
      </patternFill>
    </fill>
    <fill>
      <patternFill patternType="solid">
        <fgColor rgb="FF002060"/>
        <bgColor indexed="64"/>
      </patternFill>
    </fill>
    <fill>
      <patternFill patternType="solid">
        <fgColor theme="0" tint="-4.9989318521683403E-2"/>
        <bgColor indexed="64"/>
      </patternFill>
    </fill>
    <fill>
      <patternFill patternType="solid">
        <fgColor rgb="FFFDE9D9"/>
        <bgColor indexed="64"/>
      </patternFill>
    </fill>
    <fill>
      <patternFill patternType="solid">
        <fgColor theme="0" tint="-0.499984740745262"/>
        <bgColor indexed="64"/>
      </patternFill>
    </fill>
    <fill>
      <patternFill patternType="solid">
        <fgColor theme="3"/>
        <bgColor indexed="64"/>
      </patternFill>
    </fill>
    <fill>
      <patternFill patternType="solid">
        <fgColor rgb="FF4F81BD"/>
        <bgColor indexed="64"/>
      </patternFill>
    </fill>
    <fill>
      <patternFill patternType="solid">
        <fgColor rgb="FFD3DFEE"/>
        <bgColor indexed="64"/>
      </patternFill>
    </fill>
    <fill>
      <patternFill patternType="solid">
        <fgColor theme="0" tint="-0.249977111117893"/>
        <bgColor indexed="64"/>
      </patternFill>
    </fill>
    <fill>
      <patternFill patternType="solid">
        <fgColor rgb="FFC4D79B"/>
        <bgColor indexed="64"/>
      </patternFill>
    </fill>
    <fill>
      <patternFill patternType="solid">
        <fgColor rgb="FFC8CDEA"/>
        <bgColor theme="0" tint="-4.9989318521683403E-2"/>
      </patternFill>
    </fill>
  </fills>
  <borders count="43">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double">
        <color rgb="FF3F3F3F"/>
      </left>
      <right style="double">
        <color rgb="FF3F3F3F"/>
      </right>
      <top style="double">
        <color rgb="FF3F3F3F"/>
      </top>
      <bottom style="double">
        <color rgb="FF3F3F3F"/>
      </bottom>
      <diagonal/>
    </border>
    <border>
      <left style="thin">
        <color auto="1"/>
      </left>
      <right/>
      <top/>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right style="medium">
        <color auto="1"/>
      </right>
      <top/>
      <bottom style="thin">
        <color auto="1"/>
      </bottom>
      <diagonal/>
    </border>
    <border>
      <left style="medium">
        <color rgb="FF7BA0CD"/>
      </left>
      <right/>
      <top style="medium">
        <color rgb="FF7BA0CD"/>
      </top>
      <bottom/>
      <diagonal/>
    </border>
    <border>
      <left/>
      <right/>
      <top style="medium">
        <color rgb="FF7BA0CD"/>
      </top>
      <bottom/>
      <diagonal/>
    </border>
    <border>
      <left/>
      <right style="medium">
        <color rgb="FF7BA0CD"/>
      </right>
      <top style="medium">
        <color rgb="FF7BA0CD"/>
      </top>
      <bottom/>
      <diagonal/>
    </border>
    <border>
      <left style="medium">
        <color rgb="FF7BA0CD"/>
      </left>
      <right/>
      <top/>
      <bottom style="medium">
        <color rgb="FF7BA0CD"/>
      </bottom>
      <diagonal/>
    </border>
    <border>
      <left/>
      <right/>
      <top/>
      <bottom style="medium">
        <color rgb="FF7BA0CD"/>
      </bottom>
      <diagonal/>
    </border>
    <border>
      <left/>
      <right style="medium">
        <color rgb="FF7BA0CD"/>
      </right>
      <top/>
      <bottom style="medium">
        <color rgb="FF7BA0CD"/>
      </bottom>
      <diagonal/>
    </border>
    <border>
      <left style="medium">
        <color rgb="FF7BA0CD"/>
      </left>
      <right/>
      <top/>
      <bottom/>
      <diagonal/>
    </border>
    <border>
      <left/>
      <right style="medium">
        <color rgb="FF7BA0CD"/>
      </right>
      <top/>
      <bottom/>
      <diagonal/>
    </border>
    <border>
      <left style="medium">
        <color rgb="FF7BA0CD"/>
      </left>
      <right/>
      <top style="medium">
        <color rgb="FF7BA0CD"/>
      </top>
      <bottom style="medium">
        <color theme="0"/>
      </bottom>
      <diagonal/>
    </border>
    <border>
      <left/>
      <right/>
      <top style="medium">
        <color rgb="FF7BA0CD"/>
      </top>
      <bottom style="medium">
        <color theme="0"/>
      </bottom>
      <diagonal/>
    </border>
    <border>
      <left/>
      <right/>
      <top style="thin">
        <color indexed="64"/>
      </top>
      <bottom style="double">
        <color indexed="64"/>
      </bottom>
      <diagonal/>
    </border>
    <border>
      <left/>
      <right style="medium">
        <color theme="4" tint="0.39994506668294322"/>
      </right>
      <top style="medium">
        <color rgb="FF7BA0CD"/>
      </top>
      <bottom/>
      <diagonal/>
    </border>
    <border>
      <left/>
      <right style="medium">
        <color theme="4" tint="0.39994506668294322"/>
      </right>
      <top/>
      <bottom style="medium">
        <color theme="4" tint="0.39994506668294322"/>
      </bottom>
      <diagonal/>
    </border>
  </borders>
  <cellStyleXfs count="254">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5" fillId="0" borderId="0"/>
    <xf numFmtId="0" fontId="5"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11" applyNumberFormat="0" applyAlignment="0" applyProtection="0"/>
    <xf numFmtId="0" fontId="5" fillId="0" borderId="0"/>
    <xf numFmtId="0" fontId="1"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6" fillId="0" borderId="0"/>
    <xf numFmtId="0" fontId="32" fillId="0" borderId="0" applyNumberFormat="0" applyFill="0" applyBorder="0" applyAlignment="0" applyProtection="0">
      <alignment vertical="top"/>
      <protection locked="0"/>
    </xf>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2" fontId="48" fillId="29" borderId="0" applyNumberFormat="0" applyProtection="0">
      <alignment vertical="center"/>
      <protection locked="0"/>
    </xf>
  </cellStyleXfs>
  <cellXfs count="2359">
    <xf numFmtId="0" fontId="0" fillId="0" borderId="0" xfId="0"/>
    <xf numFmtId="9" fontId="3" fillId="0" borderId="0" xfId="0" applyNumberFormat="1" applyFont="1" applyAlignment="1">
      <alignment horizontal="center"/>
    </xf>
    <xf numFmtId="0" fontId="3" fillId="0" borderId="0" xfId="0" applyFont="1" applyAlignment="1">
      <alignment horizontal="center"/>
    </xf>
    <xf numFmtId="0" fontId="2" fillId="0" borderId="0" xfId="0" applyFont="1"/>
    <xf numFmtId="0" fontId="0" fillId="0" borderId="0" xfId="0" applyAlignment="1">
      <alignment horizontal="center"/>
    </xf>
    <xf numFmtId="0" fontId="9" fillId="18" borderId="0" xfId="0" applyFont="1" applyFill="1" applyBorder="1"/>
    <xf numFmtId="0" fontId="10" fillId="18" borderId="0" xfId="0" applyFont="1" applyFill="1" applyBorder="1"/>
    <xf numFmtId="0" fontId="9" fillId="18" borderId="0" xfId="0" applyFont="1" applyFill="1" applyBorder="1" applyAlignment="1">
      <alignment horizontal="center"/>
    </xf>
    <xf numFmtId="0" fontId="12" fillId="2" borderId="3" xfId="0" applyFont="1" applyFill="1" applyBorder="1" applyAlignment="1">
      <alignment horizontal="center" vertical="center"/>
    </xf>
    <xf numFmtId="0" fontId="12" fillId="12" borderId="3" xfId="0" applyFont="1" applyFill="1" applyBorder="1" applyAlignment="1">
      <alignment horizontal="center" vertical="center"/>
    </xf>
    <xf numFmtId="0" fontId="12" fillId="13" borderId="3" xfId="0" applyFont="1" applyFill="1" applyBorder="1" applyAlignment="1">
      <alignment horizontal="center" vertical="center"/>
    </xf>
    <xf numFmtId="0" fontId="11" fillId="14" borderId="0" xfId="0" applyFont="1" applyFill="1" applyBorder="1"/>
    <xf numFmtId="0" fontId="11" fillId="14" borderId="1" xfId="0" applyFont="1" applyFill="1" applyBorder="1"/>
    <xf numFmtId="0" fontId="9" fillId="20" borderId="0" xfId="0" applyFont="1" applyFill="1" applyBorder="1"/>
    <xf numFmtId="0" fontId="15" fillId="20" borderId="0" xfId="0" applyFont="1" applyFill="1" applyBorder="1"/>
    <xf numFmtId="0" fontId="16" fillId="20" borderId="0" xfId="0" applyFont="1" applyFill="1" applyBorder="1" applyAlignment="1">
      <alignment horizontal="center"/>
    </xf>
    <xf numFmtId="0" fontId="12" fillId="10" borderId="2" xfId="0" applyFont="1" applyFill="1" applyBorder="1" applyAlignment="1">
      <alignment horizontal="center" vertical="center"/>
    </xf>
    <xf numFmtId="0" fontId="12" fillId="11" borderId="3" xfId="0" applyFont="1" applyFill="1" applyBorder="1" applyAlignment="1">
      <alignment horizontal="center" vertical="center"/>
    </xf>
    <xf numFmtId="0" fontId="12" fillId="5" borderId="3" xfId="0" applyFont="1" applyFill="1" applyBorder="1" applyAlignment="1">
      <alignment horizontal="center" vertical="center"/>
    </xf>
    <xf numFmtId="0" fontId="11" fillId="0" borderId="0" xfId="0" applyFont="1" applyProtection="1">
      <protection locked="0"/>
    </xf>
    <xf numFmtId="0" fontId="11" fillId="0" borderId="0" xfId="0" applyFont="1" applyAlignment="1" applyProtection="1">
      <alignment vertical="center"/>
    </xf>
    <xf numFmtId="0" fontId="12" fillId="2" borderId="3" xfId="0" applyFont="1" applyFill="1" applyBorder="1" applyAlignment="1" applyProtection="1">
      <alignment horizontal="center" vertical="center"/>
    </xf>
    <xf numFmtId="0" fontId="12" fillId="10" borderId="3" xfId="0" applyFont="1" applyFill="1" applyBorder="1" applyAlignment="1" applyProtection="1">
      <alignment horizontal="center" vertical="center"/>
    </xf>
    <xf numFmtId="0" fontId="12" fillId="11" borderId="3" xfId="0" applyFont="1" applyFill="1" applyBorder="1" applyAlignment="1" applyProtection="1">
      <alignment horizontal="center" vertical="center"/>
    </xf>
    <xf numFmtId="0" fontId="12" fillId="12" borderId="3" xfId="0" applyFont="1" applyFill="1" applyBorder="1" applyAlignment="1" applyProtection="1">
      <alignment horizontal="center" vertical="center"/>
    </xf>
    <xf numFmtId="0" fontId="12" fillId="5" borderId="3" xfId="0" applyFont="1" applyFill="1" applyBorder="1" applyAlignment="1" applyProtection="1">
      <alignment horizontal="center" vertical="center"/>
    </xf>
    <xf numFmtId="0" fontId="11" fillId="0" borderId="0" xfId="0" applyFont="1" applyAlignment="1" applyProtection="1">
      <alignment horizontal="center" vertical="center"/>
    </xf>
    <xf numFmtId="0" fontId="12" fillId="13" borderId="3" xfId="0" applyFont="1" applyFill="1" applyBorder="1" applyAlignment="1" applyProtection="1">
      <alignment horizontal="center" vertical="center"/>
    </xf>
    <xf numFmtId="0" fontId="12" fillId="0" borderId="0" xfId="0" applyFont="1" applyAlignment="1" applyProtection="1">
      <alignment vertical="center"/>
    </xf>
    <xf numFmtId="0" fontId="11" fillId="0" borderId="0" xfId="0" applyFont="1" applyBorder="1" applyAlignment="1" applyProtection="1">
      <alignment vertical="center"/>
    </xf>
    <xf numFmtId="0" fontId="11" fillId="15" borderId="1" xfId="0" applyFont="1" applyFill="1" applyBorder="1" applyAlignment="1">
      <alignment horizontal="center"/>
    </xf>
    <xf numFmtId="0" fontId="12" fillId="2" borderId="25" xfId="0" applyFont="1" applyFill="1" applyBorder="1" applyAlignment="1" applyProtection="1">
      <alignment horizontal="center" vertical="center"/>
    </xf>
    <xf numFmtId="0" fontId="12" fillId="10" borderId="25" xfId="0" applyFont="1" applyFill="1" applyBorder="1" applyAlignment="1" applyProtection="1">
      <alignment horizontal="center" vertical="center"/>
    </xf>
    <xf numFmtId="0" fontId="12" fillId="11" borderId="25" xfId="0" applyFont="1" applyFill="1" applyBorder="1" applyAlignment="1" applyProtection="1">
      <alignment horizontal="center" vertical="center"/>
    </xf>
    <xf numFmtId="0" fontId="12" fillId="12" borderId="25" xfId="0" applyFont="1" applyFill="1" applyBorder="1" applyAlignment="1" applyProtection="1">
      <alignment horizontal="center" vertical="center"/>
    </xf>
    <xf numFmtId="0" fontId="12" fillId="13" borderId="25" xfId="0" applyFont="1" applyFill="1" applyBorder="1" applyAlignment="1" applyProtection="1">
      <alignment horizontal="center" vertical="center"/>
    </xf>
    <xf numFmtId="0" fontId="12" fillId="5" borderId="25" xfId="0" applyFont="1" applyFill="1" applyBorder="1" applyAlignment="1" applyProtection="1">
      <alignment horizontal="center" vertical="center"/>
    </xf>
    <xf numFmtId="0" fontId="11" fillId="15" borderId="0" xfId="0" applyFont="1" applyFill="1" applyBorder="1" applyAlignment="1">
      <alignment horizontal="center"/>
    </xf>
    <xf numFmtId="0" fontId="11" fillId="14" borderId="0" xfId="0" applyFont="1" applyFill="1" applyBorder="1" applyAlignment="1">
      <alignment horizontal="center"/>
    </xf>
    <xf numFmtId="0" fontId="11" fillId="14" borderId="1" xfId="0" applyFont="1" applyFill="1" applyBorder="1" applyAlignment="1">
      <alignment horizontal="center"/>
    </xf>
    <xf numFmtId="0" fontId="12" fillId="15" borderId="14" xfId="0" applyFont="1" applyFill="1" applyBorder="1"/>
    <xf numFmtId="0" fontId="11" fillId="15" borderId="15" xfId="0" applyFont="1" applyFill="1" applyBorder="1"/>
    <xf numFmtId="0" fontId="11" fillId="15" borderId="16" xfId="0" applyFont="1" applyFill="1" applyBorder="1"/>
    <xf numFmtId="0" fontId="11" fillId="15" borderId="17" xfId="0" applyFont="1" applyFill="1" applyBorder="1"/>
    <xf numFmtId="0" fontId="11" fillId="15" borderId="0" xfId="0" applyFont="1" applyFill="1" applyBorder="1"/>
    <xf numFmtId="0" fontId="11" fillId="15" borderId="18" xfId="0" applyFont="1" applyFill="1" applyBorder="1"/>
    <xf numFmtId="0" fontId="12" fillId="15" borderId="22" xfId="0" applyFont="1" applyFill="1" applyBorder="1"/>
    <xf numFmtId="0" fontId="12" fillId="15" borderId="1" xfId="0" applyFont="1" applyFill="1" applyBorder="1"/>
    <xf numFmtId="0" fontId="12" fillId="15" borderId="1" xfId="0" applyFont="1" applyFill="1" applyBorder="1" applyAlignment="1">
      <alignment horizontal="center"/>
    </xf>
    <xf numFmtId="0" fontId="12" fillId="15" borderId="29" xfId="0" applyFont="1" applyFill="1" applyBorder="1" applyAlignment="1">
      <alignment horizontal="center"/>
    </xf>
    <xf numFmtId="169" fontId="11" fillId="15" borderId="0" xfId="2" applyNumberFormat="1" applyFont="1" applyFill="1" applyBorder="1"/>
    <xf numFmtId="169" fontId="11" fillId="15" borderId="18" xfId="2" applyNumberFormat="1" applyFont="1" applyFill="1" applyBorder="1"/>
    <xf numFmtId="0" fontId="11" fillId="15" borderId="1" xfId="0" applyFont="1" applyFill="1" applyBorder="1"/>
    <xf numFmtId="0" fontId="11" fillId="15" borderId="29" xfId="0" applyFont="1" applyFill="1" applyBorder="1" applyAlignment="1">
      <alignment horizontal="center"/>
    </xf>
    <xf numFmtId="0" fontId="12" fillId="15" borderId="17" xfId="0" applyFont="1" applyFill="1" applyBorder="1"/>
    <xf numFmtId="0" fontId="11" fillId="15" borderId="22" xfId="0" applyFont="1" applyFill="1" applyBorder="1"/>
    <xf numFmtId="37" fontId="11" fillId="15" borderId="0" xfId="0" applyNumberFormat="1" applyFont="1" applyFill="1" applyBorder="1"/>
    <xf numFmtId="0" fontId="12" fillId="15" borderId="8" xfId="0" applyFont="1" applyFill="1" applyBorder="1"/>
    <xf numFmtId="0" fontId="12" fillId="15" borderId="9" xfId="0" applyFont="1" applyFill="1" applyBorder="1"/>
    <xf numFmtId="0" fontId="12" fillId="15" borderId="9" xfId="0" applyFont="1" applyFill="1" applyBorder="1" applyAlignment="1">
      <alignment horizontal="center"/>
    </xf>
    <xf numFmtId="0" fontId="12" fillId="15" borderId="19" xfId="0" applyFont="1" applyFill="1" applyBorder="1"/>
    <xf numFmtId="0" fontId="12" fillId="15" borderId="20" xfId="0" applyFont="1" applyFill="1" applyBorder="1"/>
    <xf numFmtId="0" fontId="12" fillId="15" borderId="20" xfId="0" applyFont="1" applyFill="1" applyBorder="1" applyAlignment="1">
      <alignment horizontal="center"/>
    </xf>
    <xf numFmtId="0" fontId="11" fillId="15" borderId="20" xfId="0" applyFont="1" applyFill="1" applyBorder="1"/>
    <xf numFmtId="0" fontId="11" fillId="15" borderId="21" xfId="0" applyFont="1" applyFill="1" applyBorder="1"/>
    <xf numFmtId="0" fontId="11" fillId="15" borderId="14" xfId="0" applyFont="1" applyFill="1" applyBorder="1"/>
    <xf numFmtId="37" fontId="11" fillId="15" borderId="0" xfId="0" applyNumberFormat="1" applyFont="1" applyFill="1" applyBorder="1" applyAlignment="1"/>
    <xf numFmtId="0" fontId="11" fillId="15" borderId="0" xfId="0" applyFont="1" applyFill="1" applyBorder="1" applyAlignment="1"/>
    <xf numFmtId="0" fontId="11" fillId="15" borderId="1" xfId="0" applyFont="1" applyFill="1" applyBorder="1" applyAlignment="1"/>
    <xf numFmtId="0" fontId="12" fillId="15" borderId="0" xfId="0" applyFont="1" applyFill="1" applyBorder="1"/>
    <xf numFmtId="0" fontId="12" fillId="15" borderId="0" xfId="0" applyFont="1" applyFill="1" applyBorder="1" applyAlignment="1">
      <alignment horizontal="center"/>
    </xf>
    <xf numFmtId="0" fontId="11" fillId="15" borderId="19" xfId="0" applyFont="1" applyFill="1" applyBorder="1"/>
    <xf numFmtId="0" fontId="12" fillId="14" borderId="14" xfId="0" applyFont="1" applyFill="1" applyBorder="1"/>
    <xf numFmtId="0" fontId="11" fillId="14" borderId="15" xfId="0" applyFont="1" applyFill="1" applyBorder="1"/>
    <xf numFmtId="0" fontId="11" fillId="14" borderId="16" xfId="0" applyFont="1" applyFill="1" applyBorder="1"/>
    <xf numFmtId="0" fontId="11" fillId="14" borderId="17" xfId="0" applyFont="1" applyFill="1" applyBorder="1"/>
    <xf numFmtId="0" fontId="11" fillId="14" borderId="18" xfId="0" applyFont="1" applyFill="1" applyBorder="1"/>
    <xf numFmtId="0" fontId="12" fillId="14" borderId="22" xfId="0" applyFont="1" applyFill="1" applyBorder="1"/>
    <xf numFmtId="0" fontId="12" fillId="14" borderId="1" xfId="0" applyFont="1" applyFill="1" applyBorder="1"/>
    <xf numFmtId="0" fontId="12" fillId="14" borderId="1" xfId="0" applyFont="1" applyFill="1" applyBorder="1" applyAlignment="1">
      <alignment horizontal="center"/>
    </xf>
    <xf numFmtId="9" fontId="11" fillId="14" borderId="0" xfId="1" applyFont="1" applyFill="1" applyBorder="1"/>
    <xf numFmtId="169" fontId="11" fillId="14" borderId="0" xfId="2" applyNumberFormat="1" applyFont="1" applyFill="1" applyBorder="1"/>
    <xf numFmtId="0" fontId="12" fillId="14" borderId="17" xfId="0" applyFont="1" applyFill="1" applyBorder="1"/>
    <xf numFmtId="0" fontId="11" fillId="14" borderId="22" xfId="0" applyFont="1" applyFill="1" applyBorder="1"/>
    <xf numFmtId="0" fontId="12" fillId="14" borderId="8" xfId="0" applyFont="1" applyFill="1" applyBorder="1"/>
    <xf numFmtId="0" fontId="12" fillId="14" borderId="9" xfId="0" applyFont="1" applyFill="1" applyBorder="1"/>
    <xf numFmtId="0" fontId="12" fillId="14" borderId="9" xfId="0" applyFont="1" applyFill="1" applyBorder="1" applyAlignment="1">
      <alignment horizontal="center"/>
    </xf>
    <xf numFmtId="0" fontId="12" fillId="14" borderId="19" xfId="0" applyFont="1" applyFill="1" applyBorder="1"/>
    <xf numFmtId="0" fontId="12" fillId="14" borderId="20" xfId="0" applyFont="1" applyFill="1" applyBorder="1"/>
    <xf numFmtId="0" fontId="12" fillId="14" borderId="20" xfId="0" applyFont="1" applyFill="1" applyBorder="1" applyAlignment="1">
      <alignment horizontal="center"/>
    </xf>
    <xf numFmtId="0" fontId="11" fillId="14" borderId="20" xfId="0" applyFont="1" applyFill="1" applyBorder="1"/>
    <xf numFmtId="0" fontId="11" fillId="14" borderId="21" xfId="0" applyFont="1" applyFill="1" applyBorder="1"/>
    <xf numFmtId="0" fontId="11" fillId="14" borderId="14" xfId="0" applyFont="1" applyFill="1" applyBorder="1"/>
    <xf numFmtId="37" fontId="11" fillId="14" borderId="0" xfId="0" applyNumberFormat="1" applyFont="1" applyFill="1" applyBorder="1" applyAlignment="1"/>
    <xf numFmtId="0" fontId="11" fillId="14" borderId="0" xfId="0" applyFont="1" applyFill="1" applyBorder="1" applyAlignment="1"/>
    <xf numFmtId="0" fontId="12" fillId="14" borderId="0" xfId="0" applyFont="1" applyFill="1" applyBorder="1"/>
    <xf numFmtId="0" fontId="12" fillId="14" borderId="0" xfId="0" applyFont="1" applyFill="1" applyBorder="1" applyAlignment="1">
      <alignment horizontal="center"/>
    </xf>
    <xf numFmtId="0" fontId="11" fillId="14" borderId="19" xfId="0" applyFont="1" applyFill="1" applyBorder="1"/>
    <xf numFmtId="0" fontId="11" fillId="15" borderId="0" xfId="0" applyFont="1" applyFill="1" applyBorder="1" applyAlignment="1">
      <alignment horizontal="left"/>
    </xf>
    <xf numFmtId="0" fontId="20" fillId="15" borderId="0" xfId="0" applyFont="1" applyFill="1" applyBorder="1" applyAlignment="1">
      <alignment horizontal="left"/>
    </xf>
    <xf numFmtId="0" fontId="20" fillId="15" borderId="0" xfId="0" applyFont="1" applyFill="1" applyBorder="1"/>
    <xf numFmtId="0" fontId="12" fillId="16" borderId="14" xfId="0" applyFont="1" applyFill="1" applyBorder="1"/>
    <xf numFmtId="0" fontId="11" fillId="16" borderId="15" xfId="0" applyFont="1" applyFill="1" applyBorder="1"/>
    <xf numFmtId="0" fontId="12" fillId="16" borderId="17" xfId="0" applyFont="1" applyFill="1" applyBorder="1"/>
    <xf numFmtId="0" fontId="11" fillId="16" borderId="0" xfId="0" applyFont="1" applyFill="1" applyBorder="1"/>
    <xf numFmtId="0" fontId="11" fillId="16" borderId="17" xfId="0" applyFont="1" applyFill="1" applyBorder="1"/>
    <xf numFmtId="0" fontId="11" fillId="16" borderId="0" xfId="0" applyFont="1" applyFill="1" applyBorder="1" applyAlignment="1">
      <alignment horizontal="left"/>
    </xf>
    <xf numFmtId="0" fontId="11" fillId="16" borderId="0" xfId="0" applyFont="1" applyFill="1" applyBorder="1" applyAlignment="1">
      <alignment horizontal="center"/>
    </xf>
    <xf numFmtId="0" fontId="20" fillId="16" borderId="0" xfId="0" applyFont="1" applyFill="1" applyBorder="1" applyAlignment="1">
      <alignment horizontal="left"/>
    </xf>
    <xf numFmtId="0" fontId="11" fillId="16" borderId="1" xfId="0" applyFont="1" applyFill="1" applyBorder="1"/>
    <xf numFmtId="0" fontId="20" fillId="16" borderId="0" xfId="0" applyFont="1" applyFill="1" applyBorder="1"/>
    <xf numFmtId="37" fontId="11" fillId="16" borderId="0" xfId="0" applyNumberFormat="1" applyFont="1" applyFill="1" applyBorder="1"/>
    <xf numFmtId="0" fontId="11" fillId="16" borderId="19" xfId="0" applyFont="1" applyFill="1" applyBorder="1"/>
    <xf numFmtId="0" fontId="11" fillId="16" borderId="20" xfId="0" applyFont="1" applyFill="1" applyBorder="1"/>
    <xf numFmtId="0" fontId="12" fillId="17" borderId="14" xfId="0" applyFont="1" applyFill="1" applyBorder="1"/>
    <xf numFmtId="0" fontId="11" fillId="17" borderId="15" xfId="0" applyFont="1" applyFill="1" applyBorder="1"/>
    <xf numFmtId="0" fontId="11" fillId="17" borderId="17" xfId="0" applyFont="1" applyFill="1" applyBorder="1"/>
    <xf numFmtId="0" fontId="11" fillId="17" borderId="0" xfId="0" applyFont="1" applyFill="1" applyBorder="1"/>
    <xf numFmtId="0" fontId="11" fillId="17" borderId="4" xfId="0" applyFont="1" applyFill="1" applyBorder="1"/>
    <xf numFmtId="37" fontId="11" fillId="17" borderId="2" xfId="0" applyNumberFormat="1" applyFont="1" applyFill="1" applyBorder="1"/>
    <xf numFmtId="0" fontId="11" fillId="17" borderId="5" xfId="0" applyFont="1" applyFill="1" applyBorder="1"/>
    <xf numFmtId="9" fontId="11" fillId="17" borderId="0" xfId="1" applyFont="1" applyFill="1" applyBorder="1"/>
    <xf numFmtId="0" fontId="12" fillId="17" borderId="0" xfId="0" applyFont="1" applyFill="1" applyBorder="1" applyAlignment="1">
      <alignment horizontal="center"/>
    </xf>
    <xf numFmtId="0" fontId="11" fillId="17" borderId="1" xfId="0" applyFont="1" applyFill="1" applyBorder="1"/>
    <xf numFmtId="9" fontId="11" fillId="17" borderId="1" xfId="1" applyFont="1" applyFill="1" applyBorder="1"/>
    <xf numFmtId="0" fontId="11" fillId="17" borderId="19" xfId="0" applyFont="1" applyFill="1" applyBorder="1"/>
    <xf numFmtId="0" fontId="11" fillId="17" borderId="20" xfId="0" applyFont="1" applyFill="1" applyBorder="1"/>
    <xf numFmtId="0" fontId="12" fillId="14" borderId="15" xfId="0" applyFont="1" applyFill="1" applyBorder="1"/>
    <xf numFmtId="0" fontId="11" fillId="14" borderId="4" xfId="0" applyFont="1" applyFill="1" applyBorder="1"/>
    <xf numFmtId="37" fontId="11" fillId="14" borderId="2" xfId="0" applyNumberFormat="1" applyFont="1" applyFill="1" applyBorder="1"/>
    <xf numFmtId="0" fontId="11" fillId="14" borderId="5" xfId="0" applyFont="1" applyFill="1" applyBorder="1"/>
    <xf numFmtId="9" fontId="11" fillId="14" borderId="1" xfId="1" applyFont="1" applyFill="1" applyBorder="1"/>
    <xf numFmtId="171" fontId="11" fillId="15" borderId="12" xfId="0" applyNumberFormat="1" applyFont="1" applyFill="1" applyBorder="1" applyAlignment="1">
      <alignment horizontal="center" vertical="center"/>
    </xf>
    <xf numFmtId="0" fontId="27" fillId="0" borderId="0" xfId="143" applyFont="1" applyFill="1" applyBorder="1" applyAlignment="1">
      <alignment horizontal="left"/>
    </xf>
    <xf numFmtId="0" fontId="5" fillId="0" borderId="0" xfId="143" applyFont="1" applyFill="1" applyBorder="1"/>
    <xf numFmtId="0" fontId="5" fillId="0" borderId="0" xfId="143" applyFont="1" applyFill="1" applyBorder="1" applyAlignment="1">
      <alignment horizontal="right"/>
    </xf>
    <xf numFmtId="0" fontId="24" fillId="0" borderId="0" xfId="143" applyFont="1" applyFill="1" applyBorder="1"/>
    <xf numFmtId="0" fontId="31" fillId="0" borderId="0" xfId="143" applyFont="1" applyFill="1" applyBorder="1"/>
    <xf numFmtId="0" fontId="9" fillId="18" borderId="0" xfId="143" applyFont="1" applyFill="1" applyBorder="1" applyAlignment="1">
      <alignment horizontal="left"/>
    </xf>
    <xf numFmtId="0" fontId="9" fillId="18" borderId="0" xfId="143" applyFont="1" applyFill="1" applyBorder="1"/>
    <xf numFmtId="0" fontId="10" fillId="18" borderId="0" xfId="143" applyFont="1" applyFill="1" applyBorder="1"/>
    <xf numFmtId="0" fontId="9" fillId="18" borderId="0" xfId="143" applyFont="1" applyFill="1" applyBorder="1" applyAlignment="1">
      <alignment horizontal="center"/>
    </xf>
    <xf numFmtId="0" fontId="5" fillId="0" borderId="0" xfId="143" applyFont="1"/>
    <xf numFmtId="171" fontId="11" fillId="15" borderId="27" xfId="0" applyNumberFormat="1" applyFont="1" applyFill="1" applyBorder="1" applyAlignment="1">
      <alignment horizontal="center" vertical="center"/>
    </xf>
    <xf numFmtId="0" fontId="11" fillId="0" borderId="0" xfId="0" applyFont="1" applyAlignment="1" applyProtection="1">
      <alignment horizontal="left" vertical="center"/>
    </xf>
    <xf numFmtId="0" fontId="12" fillId="0" borderId="3" xfId="0" applyFont="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10" fontId="11" fillId="14" borderId="3" xfId="1" applyNumberFormat="1" applyFont="1" applyFill="1" applyBorder="1" applyAlignment="1" applyProtection="1">
      <alignment horizontal="center" vertical="center"/>
    </xf>
    <xf numFmtId="10" fontId="12" fillId="14" borderId="3" xfId="1" applyNumberFormat="1" applyFont="1" applyFill="1" applyBorder="1" applyAlignment="1" applyProtection="1">
      <alignment horizontal="center" vertical="center"/>
    </xf>
    <xf numFmtId="0" fontId="12" fillId="15" borderId="6" xfId="0" applyFont="1" applyFill="1" applyBorder="1" applyAlignment="1" applyProtection="1">
      <alignment horizontal="center" vertical="center" wrapText="1"/>
    </xf>
    <xf numFmtId="0" fontId="12" fillId="15" borderId="1" xfId="0" applyFont="1" applyFill="1" applyBorder="1" applyAlignment="1" applyProtection="1">
      <alignment horizontal="center" vertical="center" wrapText="1"/>
    </xf>
    <xf numFmtId="0" fontId="12" fillId="15" borderId="7" xfId="0" applyFont="1" applyFill="1" applyBorder="1" applyAlignment="1" applyProtection="1">
      <alignment horizontal="center" vertical="center" wrapText="1"/>
    </xf>
    <xf numFmtId="0" fontId="24" fillId="15" borderId="2" xfId="0" applyFont="1" applyFill="1" applyBorder="1" applyAlignment="1" applyProtection="1">
      <alignment horizontal="center" vertical="center"/>
    </xf>
    <xf numFmtId="0" fontId="24" fillId="14" borderId="2" xfId="0" applyFont="1" applyFill="1" applyBorder="1" applyAlignment="1" applyProtection="1">
      <alignment horizontal="center" vertical="center"/>
    </xf>
    <xf numFmtId="0" fontId="11" fillId="0" borderId="0" xfId="0" applyFont="1" applyFill="1" applyBorder="1" applyAlignment="1" applyProtection="1">
      <alignment vertical="center"/>
    </xf>
    <xf numFmtId="0" fontId="12" fillId="14" borderId="29" xfId="0" applyFont="1" applyFill="1" applyBorder="1" applyAlignment="1">
      <alignment horizontal="center"/>
    </xf>
    <xf numFmtId="169" fontId="11" fillId="14" borderId="18" xfId="2" applyNumberFormat="1" applyFont="1" applyFill="1" applyBorder="1"/>
    <xf numFmtId="0" fontId="11" fillId="14" borderId="29" xfId="0" applyFont="1" applyFill="1" applyBorder="1" applyAlignment="1">
      <alignment horizontal="center"/>
    </xf>
    <xf numFmtId="10" fontId="12" fillId="14" borderId="5" xfId="1" applyNumberFormat="1" applyFont="1" applyFill="1" applyBorder="1" applyAlignment="1" applyProtection="1">
      <alignment horizontal="center" vertical="center"/>
    </xf>
    <xf numFmtId="10" fontId="11" fillId="14" borderId="5" xfId="1" applyNumberFormat="1" applyFont="1" applyFill="1" applyBorder="1" applyAlignment="1" applyProtection="1">
      <alignment horizontal="center" vertical="center"/>
    </xf>
    <xf numFmtId="10" fontId="11" fillId="14" borderId="4" xfId="1" applyNumberFormat="1" applyFont="1" applyFill="1" applyBorder="1" applyAlignment="1" applyProtection="1">
      <alignment horizontal="center" vertical="center"/>
    </xf>
    <xf numFmtId="10" fontId="11" fillId="14" borderId="2" xfId="1" applyNumberFormat="1" applyFont="1" applyFill="1" applyBorder="1" applyAlignment="1" applyProtection="1">
      <alignment horizontal="center" vertical="center"/>
    </xf>
    <xf numFmtId="10" fontId="12" fillId="14" borderId="4" xfId="1" applyNumberFormat="1" applyFont="1" applyFill="1" applyBorder="1" applyAlignment="1" applyProtection="1">
      <alignment horizontal="center" vertical="center"/>
    </xf>
    <xf numFmtId="10" fontId="12" fillId="14" borderId="2" xfId="1" applyNumberFormat="1" applyFont="1" applyFill="1" applyBorder="1" applyAlignment="1" applyProtection="1">
      <alignment horizontal="center" vertical="center"/>
    </xf>
    <xf numFmtId="164" fontId="11" fillId="15" borderId="0" xfId="1" applyNumberFormat="1" applyFont="1" applyFill="1" applyBorder="1"/>
    <xf numFmtId="164" fontId="11" fillId="14" borderId="0" xfId="1" applyNumberFormat="1" applyFont="1" applyFill="1" applyBorder="1"/>
    <xf numFmtId="181" fontId="11" fillId="15" borderId="0" xfId="0" applyNumberFormat="1" applyFont="1" applyFill="1" applyBorder="1"/>
    <xf numFmtId="181" fontId="11" fillId="14" borderId="0" xfId="0" applyNumberFormat="1" applyFont="1" applyFill="1" applyBorder="1"/>
    <xf numFmtId="181" fontId="11" fillId="15" borderId="0" xfId="0" applyNumberFormat="1" applyFont="1" applyFill="1" applyBorder="1" applyAlignment="1">
      <alignment horizontal="center"/>
    </xf>
    <xf numFmtId="181" fontId="11" fillId="15" borderId="0" xfId="0" applyNumberFormat="1" applyFont="1" applyFill="1" applyBorder="1" applyAlignment="1"/>
    <xf numFmtId="181" fontId="12" fillId="15" borderId="0" xfId="0" applyNumberFormat="1" applyFont="1" applyFill="1" applyBorder="1" applyAlignment="1">
      <alignment horizontal="center"/>
    </xf>
    <xf numFmtId="181" fontId="11" fillId="15" borderId="1" xfId="0" applyNumberFormat="1" applyFont="1" applyFill="1" applyBorder="1" applyAlignment="1">
      <alignment horizontal="center"/>
    </xf>
    <xf numFmtId="181" fontId="11" fillId="15" borderId="1" xfId="0" applyNumberFormat="1" applyFont="1" applyFill="1" applyBorder="1" applyAlignment="1"/>
    <xf numFmtId="181" fontId="11" fillId="14" borderId="0" xfId="0" applyNumberFormat="1" applyFont="1" applyFill="1" applyBorder="1" applyAlignment="1">
      <alignment horizontal="center"/>
    </xf>
    <xf numFmtId="181" fontId="11" fillId="14" borderId="0" xfId="0" applyNumberFormat="1" applyFont="1" applyFill="1" applyBorder="1" applyAlignment="1"/>
    <xf numFmtId="181" fontId="11" fillId="14" borderId="1" xfId="0" applyNumberFormat="1" applyFont="1" applyFill="1" applyBorder="1" applyAlignment="1">
      <alignment horizontal="center"/>
    </xf>
    <xf numFmtId="181" fontId="11" fillId="14" borderId="1" xfId="0" applyNumberFormat="1" applyFont="1" applyFill="1" applyBorder="1" applyAlignment="1"/>
    <xf numFmtId="181" fontId="12" fillId="14" borderId="0" xfId="0" applyNumberFormat="1" applyFont="1" applyFill="1" applyBorder="1" applyAlignment="1">
      <alignment horizontal="center"/>
    </xf>
    <xf numFmtId="0" fontId="11" fillId="23" borderId="0" xfId="0" applyFont="1" applyFill="1"/>
    <xf numFmtId="164" fontId="34" fillId="12" borderId="23" xfId="1" applyNumberFormat="1" applyFont="1" applyFill="1" applyBorder="1" applyAlignment="1" applyProtection="1">
      <alignment horizontal="center" vertical="center"/>
      <protection locked="0"/>
    </xf>
    <xf numFmtId="164" fontId="34" fillId="13" borderId="23" xfId="1" applyNumberFormat="1" applyFont="1" applyFill="1" applyBorder="1" applyAlignment="1" applyProtection="1">
      <alignment horizontal="center" vertical="center"/>
      <protection locked="0"/>
    </xf>
    <xf numFmtId="164" fontId="34" fillId="5" borderId="23" xfId="1" applyNumberFormat="1" applyFont="1" applyFill="1" applyBorder="1" applyAlignment="1" applyProtection="1">
      <alignment horizontal="center" vertical="center"/>
      <protection locked="0"/>
    </xf>
    <xf numFmtId="0" fontId="34" fillId="2" borderId="23" xfId="0" applyFont="1" applyFill="1" applyBorder="1" applyAlignment="1" applyProtection="1">
      <alignment horizontal="center" vertical="center" wrapText="1"/>
      <protection locked="0"/>
    </xf>
    <xf numFmtId="0" fontId="34" fillId="10" borderId="23" xfId="0" applyFont="1" applyFill="1" applyBorder="1" applyAlignment="1" applyProtection="1">
      <alignment horizontal="center" vertical="center" wrapText="1"/>
      <protection locked="0"/>
    </xf>
    <xf numFmtId="0" fontId="34" fillId="11" borderId="23" xfId="0" applyFont="1" applyFill="1" applyBorder="1" applyAlignment="1" applyProtection="1">
      <alignment horizontal="center" vertical="center" wrapText="1"/>
      <protection locked="0"/>
    </xf>
    <xf numFmtId="0" fontId="34" fillId="12" borderId="23" xfId="0" applyFont="1" applyFill="1" applyBorder="1" applyAlignment="1" applyProtection="1">
      <alignment horizontal="center" vertical="center" wrapText="1"/>
      <protection locked="0"/>
    </xf>
    <xf numFmtId="0" fontId="34" fillId="13" borderId="23" xfId="0" applyFont="1" applyFill="1" applyBorder="1" applyAlignment="1" applyProtection="1">
      <alignment horizontal="center" vertical="center" wrapText="1"/>
      <protection locked="0"/>
    </xf>
    <xf numFmtId="0" fontId="34" fillId="5" borderId="23" xfId="0" applyFont="1" applyFill="1" applyBorder="1" applyAlignment="1" applyProtection="1">
      <alignment horizontal="center" vertical="center" wrapText="1"/>
      <protection locked="0"/>
    </xf>
    <xf numFmtId="9" fontId="34" fillId="14" borderId="3" xfId="0" applyNumberFormat="1" applyFont="1" applyFill="1" applyBorder="1" applyAlignment="1" applyProtection="1">
      <alignment horizontal="center" vertical="center"/>
      <protection locked="0"/>
    </xf>
    <xf numFmtId="9" fontId="34" fillId="14" borderId="5" xfId="1" applyFont="1" applyFill="1" applyBorder="1" applyAlignment="1" applyProtection="1">
      <alignment horizontal="center" vertical="center"/>
      <protection locked="0"/>
    </xf>
    <xf numFmtId="9" fontId="34" fillId="14" borderId="3" xfId="1" applyFont="1" applyFill="1" applyBorder="1" applyAlignment="1" applyProtection="1">
      <alignment horizontal="center" vertical="center"/>
      <protection locked="0"/>
    </xf>
    <xf numFmtId="9" fontId="34" fillId="14" borderId="3" xfId="0" applyNumberFormat="1" applyFont="1" applyFill="1" applyBorder="1" applyAlignment="1" applyProtection="1">
      <alignment horizontal="center" vertical="center" wrapText="1"/>
      <protection locked="0"/>
    </xf>
    <xf numFmtId="0" fontId="34" fillId="15" borderId="2" xfId="0" applyFont="1" applyFill="1" applyBorder="1" applyAlignment="1" applyProtection="1">
      <alignment horizontal="center" vertical="center"/>
      <protection locked="0"/>
    </xf>
    <xf numFmtId="0" fontId="34" fillId="14" borderId="2" xfId="0" applyFont="1" applyFill="1" applyBorder="1" applyAlignment="1" applyProtection="1">
      <alignment horizontal="center" vertical="center"/>
      <protection locked="0"/>
    </xf>
    <xf numFmtId="0" fontId="9" fillId="24" borderId="0" xfId="145" applyFont="1" applyFill="1" applyBorder="1" applyAlignment="1">
      <alignment horizontal="center"/>
    </xf>
    <xf numFmtId="0" fontId="10" fillId="24" borderId="0" xfId="145" applyFont="1" applyFill="1" applyBorder="1"/>
    <xf numFmtId="0" fontId="9" fillId="24" borderId="0" xfId="145" applyFont="1" applyFill="1" applyBorder="1"/>
    <xf numFmtId="0" fontId="11" fillId="0" borderId="0" xfId="0" applyFont="1" applyFill="1" applyBorder="1"/>
    <xf numFmtId="0" fontId="11" fillId="0" borderId="0" xfId="0" applyFont="1"/>
    <xf numFmtId="0" fontId="11" fillId="0" borderId="0" xfId="0" applyFont="1" applyAlignment="1">
      <alignment vertical="center"/>
    </xf>
    <xf numFmtId="0" fontId="11" fillId="0" borderId="0" xfId="0" applyFont="1" applyFill="1"/>
    <xf numFmtId="0" fontId="12" fillId="0" borderId="0" xfId="0" applyFont="1"/>
    <xf numFmtId="0" fontId="5" fillId="0" borderId="0" xfId="145" applyFont="1" applyFill="1" applyBorder="1"/>
    <xf numFmtId="0" fontId="5" fillId="0" borderId="0" xfId="145" applyFont="1" applyFill="1" applyBorder="1" applyAlignment="1">
      <alignment horizontal="right"/>
    </xf>
    <xf numFmtId="0" fontId="9" fillId="18" borderId="0" xfId="145" applyFont="1" applyFill="1" applyBorder="1" applyAlignment="1">
      <alignment horizontal="left"/>
    </xf>
    <xf numFmtId="0" fontId="9" fillId="18" borderId="0" xfId="145" applyFont="1" applyFill="1" applyBorder="1"/>
    <xf numFmtId="0" fontId="10" fillId="18" borderId="0" xfId="145" applyFont="1" applyFill="1" applyBorder="1"/>
    <xf numFmtId="0" fontId="9" fillId="18" borderId="0" xfId="145" applyFont="1" applyFill="1" applyBorder="1" applyAlignment="1">
      <alignment horizontal="center"/>
    </xf>
    <xf numFmtId="0" fontId="30" fillId="0" borderId="0" xfId="145" applyFont="1" applyFill="1" applyBorder="1" applyAlignment="1">
      <alignment horizontal="center"/>
    </xf>
    <xf numFmtId="0" fontId="31" fillId="0" borderId="0" xfId="145" applyFont="1" applyFill="1" applyBorder="1"/>
    <xf numFmtId="0" fontId="24" fillId="0" borderId="0" xfId="145" applyFont="1" applyFill="1" applyBorder="1"/>
    <xf numFmtId="0" fontId="24" fillId="0" borderId="0" xfId="145" applyFont="1" applyFill="1" applyBorder="1" applyAlignment="1">
      <alignment horizontal="right"/>
    </xf>
    <xf numFmtId="0" fontId="5" fillId="0" borderId="0" xfId="145" applyFont="1" applyFill="1" applyBorder="1" applyAlignment="1">
      <alignment horizontal="center"/>
    </xf>
    <xf numFmtId="0" fontId="29" fillId="0" borderId="0" xfId="145" applyFont="1" applyFill="1" applyBorder="1" applyAlignment="1">
      <alignment horizontal="center"/>
    </xf>
    <xf numFmtId="0" fontId="5" fillId="0" borderId="0" xfId="145" applyFont="1"/>
    <xf numFmtId="0" fontId="5" fillId="0" borderId="0" xfId="145" applyFont="1" applyAlignment="1">
      <alignment horizontal="right"/>
    </xf>
    <xf numFmtId="0" fontId="9" fillId="18" borderId="0" xfId="145" applyFont="1" applyFill="1" applyBorder="1" applyAlignment="1">
      <alignment horizontal="right"/>
    </xf>
    <xf numFmtId="0" fontId="27" fillId="0" borderId="0" xfId="145" applyFont="1" applyFill="1" applyBorder="1" applyAlignment="1">
      <alignment horizontal="left"/>
    </xf>
    <xf numFmtId="0" fontId="11" fillId="21" borderId="28" xfId="0" applyFont="1" applyFill="1" applyBorder="1"/>
    <xf numFmtId="0" fontId="11" fillId="21" borderId="13" xfId="0" applyFont="1" applyFill="1" applyBorder="1"/>
    <xf numFmtId="0" fontId="11" fillId="21" borderId="13" xfId="0" applyFont="1" applyFill="1" applyBorder="1" applyAlignment="1">
      <alignment horizontal="center"/>
    </xf>
    <xf numFmtId="0" fontId="11" fillId="21" borderId="26" xfId="0" applyFont="1" applyFill="1" applyBorder="1"/>
    <xf numFmtId="0" fontId="11" fillId="21" borderId="12" xfId="0" applyFont="1" applyFill="1" applyBorder="1"/>
    <xf numFmtId="0" fontId="11" fillId="21" borderId="0" xfId="0" applyFont="1" applyFill="1" applyBorder="1"/>
    <xf numFmtId="0" fontId="11" fillId="21" borderId="27" xfId="0" applyFont="1" applyFill="1" applyBorder="1"/>
    <xf numFmtId="0" fontId="5" fillId="21" borderId="0" xfId="0" applyFont="1" applyFill="1" applyBorder="1" applyAlignment="1">
      <alignment horizontal="center"/>
    </xf>
    <xf numFmtId="0" fontId="11" fillId="21" borderId="6" xfId="0" applyFont="1" applyFill="1" applyBorder="1"/>
    <xf numFmtId="0" fontId="11" fillId="21" borderId="1" xfId="0" applyFont="1" applyFill="1" applyBorder="1"/>
    <xf numFmtId="0" fontId="11" fillId="21" borderId="7" xfId="0" applyFont="1" applyFill="1" applyBorder="1"/>
    <xf numFmtId="0" fontId="11" fillId="17" borderId="25" xfId="0" applyFont="1" applyFill="1" applyBorder="1" applyAlignment="1">
      <alignment horizontal="center"/>
    </xf>
    <xf numFmtId="0" fontId="11" fillId="21" borderId="0" xfId="0" applyFont="1" applyFill="1" applyBorder="1" applyAlignment="1">
      <alignment horizontal="center"/>
    </xf>
    <xf numFmtId="0" fontId="11" fillId="17" borderId="23" xfId="0" applyFont="1" applyFill="1" applyBorder="1" applyAlignment="1">
      <alignment horizontal="center"/>
    </xf>
    <xf numFmtId="0" fontId="11" fillId="17" borderId="23" xfId="0" applyFont="1" applyFill="1" applyBorder="1"/>
    <xf numFmtId="0" fontId="5" fillId="17" borderId="23" xfId="0" applyFont="1" applyFill="1" applyBorder="1" applyAlignment="1">
      <alignment horizontal="center"/>
    </xf>
    <xf numFmtId="164" fontId="11" fillId="17" borderId="23" xfId="1" applyNumberFormat="1" applyFont="1" applyFill="1" applyBorder="1" applyAlignment="1">
      <alignment horizontal="center"/>
    </xf>
    <xf numFmtId="164" fontId="11" fillId="21" borderId="0" xfId="1" applyNumberFormat="1" applyFont="1" applyFill="1" applyBorder="1" applyAlignment="1">
      <alignment horizontal="center"/>
    </xf>
    <xf numFmtId="9" fontId="11" fillId="17" borderId="23" xfId="0" applyNumberFormat="1" applyFont="1" applyFill="1" applyBorder="1" applyAlignment="1">
      <alignment horizontal="center"/>
    </xf>
    <xf numFmtId="9" fontId="11" fillId="21" borderId="0" xfId="0" applyNumberFormat="1" applyFont="1" applyFill="1" applyBorder="1" applyAlignment="1">
      <alignment horizontal="center"/>
    </xf>
    <xf numFmtId="170" fontId="11" fillId="17" borderId="23" xfId="0" applyNumberFormat="1" applyFont="1" applyFill="1" applyBorder="1" applyAlignment="1">
      <alignment horizontal="center"/>
    </xf>
    <xf numFmtId="170" fontId="11" fillId="21" borderId="0" xfId="0" applyNumberFormat="1" applyFont="1" applyFill="1" applyBorder="1" applyAlignment="1">
      <alignment horizontal="center"/>
    </xf>
    <xf numFmtId="170" fontId="11" fillId="17" borderId="23" xfId="0" applyNumberFormat="1" applyFont="1" applyFill="1" applyBorder="1"/>
    <xf numFmtId="170" fontId="11" fillId="21" borderId="0" xfId="0" applyNumberFormat="1" applyFont="1" applyFill="1" applyBorder="1"/>
    <xf numFmtId="170" fontId="13" fillId="21" borderId="0" xfId="0" applyNumberFormat="1" applyFont="1" applyFill="1" applyBorder="1" applyAlignment="1">
      <alignment horizontal="center"/>
    </xf>
    <xf numFmtId="0" fontId="11" fillId="21" borderId="0" xfId="0" applyFont="1" applyFill="1"/>
    <xf numFmtId="170" fontId="5" fillId="17" borderId="23" xfId="0" applyNumberFormat="1" applyFont="1" applyFill="1" applyBorder="1" applyAlignment="1">
      <alignment horizontal="center"/>
    </xf>
    <xf numFmtId="170" fontId="5" fillId="21" borderId="0" xfId="0" applyNumberFormat="1" applyFont="1" applyFill="1" applyBorder="1" applyAlignment="1">
      <alignment horizontal="center"/>
    </xf>
    <xf numFmtId="0" fontId="11" fillId="17" borderId="24" xfId="0" applyFont="1" applyFill="1" applyBorder="1"/>
    <xf numFmtId="178" fontId="11" fillId="27" borderId="25" xfId="0" applyNumberFormat="1" applyFont="1" applyFill="1" applyBorder="1"/>
    <xf numFmtId="178" fontId="11" fillId="27" borderId="0" xfId="0" applyNumberFormat="1" applyFont="1" applyFill="1" applyBorder="1"/>
    <xf numFmtId="178" fontId="11" fillId="14" borderId="23" xfId="0" applyNumberFormat="1" applyFont="1" applyFill="1" applyBorder="1"/>
    <xf numFmtId="0" fontId="11" fillId="27" borderId="23" xfId="0" applyFont="1" applyFill="1" applyBorder="1"/>
    <xf numFmtId="178" fontId="11" fillId="27" borderId="23" xfId="0" applyNumberFormat="1" applyFont="1" applyFill="1" applyBorder="1"/>
    <xf numFmtId="178" fontId="11" fillId="27" borderId="24" xfId="0" applyNumberFormat="1" applyFont="1" applyFill="1" applyBorder="1"/>
    <xf numFmtId="178" fontId="11" fillId="27" borderId="1" xfId="0" applyNumberFormat="1" applyFont="1" applyFill="1" applyBorder="1"/>
    <xf numFmtId="178" fontId="11" fillId="14" borderId="24" xfId="0" applyNumberFormat="1" applyFont="1" applyFill="1" applyBorder="1"/>
    <xf numFmtId="166" fontId="11" fillId="27" borderId="23" xfId="0" applyNumberFormat="1" applyFont="1" applyFill="1" applyBorder="1" applyAlignment="1">
      <alignment horizontal="center" vertical="center"/>
    </xf>
    <xf numFmtId="166" fontId="11" fillId="14" borderId="27" xfId="0" applyNumberFormat="1" applyFont="1" applyFill="1" applyBorder="1" applyAlignment="1">
      <alignment horizontal="center" vertical="center"/>
    </xf>
    <xf numFmtId="0" fontId="11" fillId="14" borderId="23" xfId="0" applyFont="1" applyFill="1" applyBorder="1" applyAlignment="1">
      <alignment horizontal="center"/>
    </xf>
    <xf numFmtId="166" fontId="11" fillId="14" borderId="28" xfId="0" applyNumberFormat="1" applyFont="1" applyFill="1" applyBorder="1" applyAlignment="1">
      <alignment horizontal="center" vertical="center"/>
    </xf>
    <xf numFmtId="0" fontId="11" fillId="27" borderId="25" xfId="0" applyFont="1" applyFill="1" applyBorder="1" applyAlignment="1">
      <alignment horizontal="center"/>
    </xf>
    <xf numFmtId="0" fontId="11" fillId="14" borderId="13" xfId="0" applyFont="1" applyFill="1" applyBorder="1" applyAlignment="1">
      <alignment horizontal="center"/>
    </xf>
    <xf numFmtId="0" fontId="11" fillId="14" borderId="25" xfId="0" applyFont="1" applyFill="1" applyBorder="1" applyAlignment="1">
      <alignment horizontal="center"/>
    </xf>
    <xf numFmtId="9" fontId="5" fillId="14" borderId="25" xfId="0" applyNumberFormat="1" applyFont="1" applyFill="1" applyBorder="1" applyAlignment="1">
      <alignment horizontal="center" vertical="center"/>
    </xf>
    <xf numFmtId="9" fontId="11" fillId="14" borderId="23" xfId="0" applyNumberFormat="1" applyFont="1" applyFill="1" applyBorder="1" applyAlignment="1">
      <alignment horizontal="center" vertical="center"/>
    </xf>
    <xf numFmtId="178" fontId="5" fillId="27" borderId="23" xfId="0" applyNumberFormat="1" applyFont="1" applyFill="1" applyBorder="1" applyAlignment="1">
      <alignment horizontal="center"/>
    </xf>
    <xf numFmtId="178" fontId="11" fillId="14" borderId="23" xfId="0" applyNumberFormat="1" applyFont="1" applyFill="1" applyBorder="1" applyAlignment="1">
      <alignment horizontal="center"/>
    </xf>
    <xf numFmtId="178" fontId="11" fillId="27" borderId="24" xfId="0" applyNumberFormat="1" applyFont="1" applyFill="1" applyBorder="1" applyAlignment="1">
      <alignment horizontal="center"/>
    </xf>
    <xf numFmtId="178" fontId="11" fillId="14" borderId="24" xfId="0" applyNumberFormat="1" applyFont="1" applyFill="1" applyBorder="1" applyAlignment="1">
      <alignment horizontal="center"/>
    </xf>
    <xf numFmtId="178" fontId="5" fillId="27" borderId="24" xfId="0" applyNumberFormat="1" applyFont="1" applyFill="1" applyBorder="1" applyAlignment="1">
      <alignment horizontal="center"/>
    </xf>
    <xf numFmtId="3" fontId="11" fillId="27" borderId="23" xfId="0" applyNumberFormat="1" applyFont="1" applyFill="1" applyBorder="1" applyAlignment="1">
      <alignment horizontal="center"/>
    </xf>
    <xf numFmtId="3" fontId="11" fillId="14" borderId="27" xfId="0" applyNumberFormat="1" applyFont="1" applyFill="1" applyBorder="1" applyAlignment="1">
      <alignment horizontal="center"/>
    </xf>
    <xf numFmtId="3" fontId="11" fillId="14" borderId="23" xfId="0" applyNumberFormat="1" applyFont="1" applyFill="1" applyBorder="1" applyAlignment="1">
      <alignment horizontal="center"/>
    </xf>
    <xf numFmtId="3" fontId="43" fillId="14" borderId="27" xfId="0" applyNumberFormat="1" applyFont="1" applyFill="1" applyBorder="1" applyAlignment="1">
      <alignment horizontal="center"/>
    </xf>
    <xf numFmtId="3" fontId="11" fillId="27" borderId="24" xfId="0" applyNumberFormat="1" applyFont="1" applyFill="1" applyBorder="1" applyAlignment="1">
      <alignment horizontal="center"/>
    </xf>
    <xf numFmtId="3" fontId="11" fillId="14" borderId="7" xfId="0" applyNumberFormat="1" applyFont="1" applyFill="1" applyBorder="1" applyAlignment="1">
      <alignment horizontal="center"/>
    </xf>
    <xf numFmtId="3" fontId="11" fillId="14" borderId="24" xfId="0" applyNumberFormat="1" applyFont="1" applyFill="1" applyBorder="1" applyAlignment="1">
      <alignment horizontal="center"/>
    </xf>
    <xf numFmtId="3" fontId="43" fillId="14" borderId="23" xfId="0" applyNumberFormat="1" applyFont="1" applyFill="1" applyBorder="1" applyAlignment="1">
      <alignment horizontal="center"/>
    </xf>
    <xf numFmtId="3" fontId="11" fillId="14" borderId="12" xfId="0" applyNumberFormat="1" applyFont="1" applyFill="1" applyBorder="1" applyAlignment="1">
      <alignment horizontal="center"/>
    </xf>
    <xf numFmtId="3" fontId="11" fillId="14" borderId="0" xfId="0" applyNumberFormat="1" applyFont="1" applyFill="1" applyBorder="1" applyAlignment="1">
      <alignment horizontal="center"/>
    </xf>
    <xf numFmtId="3" fontId="11" fillId="14" borderId="6" xfId="0" applyNumberFormat="1" applyFont="1" applyFill="1" applyBorder="1" applyAlignment="1">
      <alignment horizontal="center"/>
    </xf>
    <xf numFmtId="3" fontId="11" fillId="14" borderId="1" xfId="0" applyNumberFormat="1" applyFont="1" applyFill="1" applyBorder="1" applyAlignment="1">
      <alignment horizontal="center"/>
    </xf>
    <xf numFmtId="0" fontId="44" fillId="24" borderId="30" xfId="0" applyFont="1" applyFill="1" applyBorder="1" applyAlignment="1">
      <alignment horizontal="center" vertical="center" wrapText="1"/>
    </xf>
    <xf numFmtId="0" fontId="20" fillId="26" borderId="34" xfId="0" applyFont="1" applyFill="1" applyBorder="1" applyAlignment="1">
      <alignment horizontal="left" vertical="center" wrapText="1"/>
    </xf>
    <xf numFmtId="0" fontId="44" fillId="24" borderId="33" xfId="0" applyFont="1" applyFill="1" applyBorder="1" applyAlignment="1">
      <alignment horizontal="center" vertical="center" wrapText="1"/>
    </xf>
    <xf numFmtId="0" fontId="44" fillId="24" borderId="34" xfId="0" applyFont="1" applyFill="1" applyBorder="1" applyAlignment="1">
      <alignment horizontal="center" vertical="center" wrapText="1"/>
    </xf>
    <xf numFmtId="0" fontId="44" fillId="25" borderId="34" xfId="0" applyFont="1" applyFill="1" applyBorder="1" applyAlignment="1">
      <alignment horizontal="center" vertical="center" wrapText="1"/>
    </xf>
    <xf numFmtId="0" fontId="11" fillId="26" borderId="31" xfId="0" applyFont="1" applyFill="1" applyBorder="1" applyAlignment="1">
      <alignment horizontal="right" vertical="center" wrapText="1"/>
    </xf>
    <xf numFmtId="0" fontId="11" fillId="26" borderId="34" xfId="0" applyFont="1" applyFill="1" applyBorder="1" applyAlignment="1">
      <alignment horizontal="right" vertical="center" wrapText="1"/>
    </xf>
    <xf numFmtId="10" fontId="11" fillId="26" borderId="31" xfId="0" applyNumberFormat="1" applyFont="1" applyFill="1" applyBorder="1" applyAlignment="1">
      <alignment horizontal="right" vertical="center" wrapText="1"/>
    </xf>
    <xf numFmtId="10" fontId="11" fillId="26" borderId="0" xfId="0" applyNumberFormat="1" applyFont="1" applyFill="1" applyBorder="1" applyAlignment="1">
      <alignment horizontal="right" vertical="center" wrapText="1"/>
    </xf>
    <xf numFmtId="10" fontId="11" fillId="26" borderId="34" xfId="0" applyNumberFormat="1" applyFont="1" applyFill="1" applyBorder="1" applyAlignment="1">
      <alignment horizontal="right" vertical="center" wrapText="1"/>
    </xf>
    <xf numFmtId="6" fontId="11" fillId="26" borderId="35" xfId="0" applyNumberFormat="1" applyFont="1" applyFill="1" applyBorder="1" applyAlignment="1">
      <alignment horizontal="center" vertical="center" wrapText="1"/>
    </xf>
    <xf numFmtId="0" fontId="44" fillId="25" borderId="30" xfId="0" applyFont="1" applyFill="1" applyBorder="1" applyAlignment="1">
      <alignment horizontal="left" vertical="center" wrapText="1"/>
    </xf>
    <xf numFmtId="0" fontId="12" fillId="26" borderId="35" xfId="0" applyFont="1" applyFill="1" applyBorder="1" applyAlignment="1">
      <alignment horizontal="center" vertical="center" wrapText="1"/>
    </xf>
    <xf numFmtId="0" fontId="11" fillId="26" borderId="34" xfId="0" applyFont="1" applyFill="1" applyBorder="1" applyAlignment="1">
      <alignment horizontal="center" vertical="center" wrapText="1"/>
    </xf>
    <xf numFmtId="0" fontId="12" fillId="26" borderId="33" xfId="0" applyFont="1" applyFill="1" applyBorder="1" applyAlignment="1">
      <alignment horizontal="left" vertical="center"/>
    </xf>
    <xf numFmtId="164" fontId="34" fillId="2" borderId="23" xfId="1" applyNumberFormat="1" applyFont="1" applyFill="1" applyBorder="1" applyAlignment="1" applyProtection="1">
      <alignment horizontal="center" vertical="center"/>
      <protection locked="0"/>
    </xf>
    <xf numFmtId="164" fontId="34" fillId="10" borderId="23" xfId="1" applyNumberFormat="1" applyFont="1" applyFill="1" applyBorder="1" applyAlignment="1" applyProtection="1">
      <alignment horizontal="center" vertical="center"/>
      <protection locked="0"/>
    </xf>
    <xf numFmtId="0" fontId="12" fillId="14" borderId="28" xfId="0" applyFont="1" applyFill="1" applyBorder="1" applyAlignment="1" applyProtection="1">
      <alignment horizontal="center" vertical="center" wrapText="1"/>
    </xf>
    <xf numFmtId="0" fontId="12" fillId="14" borderId="13" xfId="0" applyFont="1" applyFill="1" applyBorder="1" applyAlignment="1" applyProtection="1">
      <alignment horizontal="center" vertical="center" wrapText="1"/>
    </xf>
    <xf numFmtId="0" fontId="12" fillId="14" borderId="26" xfId="0" applyFont="1" applyFill="1" applyBorder="1" applyAlignment="1" applyProtection="1">
      <alignment horizontal="center" vertical="center" wrapText="1"/>
    </xf>
    <xf numFmtId="0" fontId="40" fillId="0" borderId="0" xfId="0" applyFont="1" applyBorder="1"/>
    <xf numFmtId="164" fontId="11" fillId="15" borderId="18" xfId="1" applyNumberFormat="1" applyFont="1" applyFill="1" applyBorder="1"/>
    <xf numFmtId="164" fontId="11" fillId="14" borderId="18" xfId="1" applyNumberFormat="1" applyFont="1" applyFill="1" applyBorder="1"/>
    <xf numFmtId="0" fontId="5" fillId="15" borderId="15" xfId="0" applyFont="1" applyFill="1" applyBorder="1"/>
    <xf numFmtId="0" fontId="5" fillId="15" borderId="16" xfId="0" applyFont="1" applyFill="1" applyBorder="1"/>
    <xf numFmtId="0" fontId="5" fillId="15" borderId="0" xfId="0" applyFont="1" applyFill="1" applyBorder="1"/>
    <xf numFmtId="0" fontId="5" fillId="15" borderId="18" xfId="0" applyFont="1" applyFill="1" applyBorder="1"/>
    <xf numFmtId="37" fontId="5" fillId="15" borderId="0" xfId="0" applyNumberFormat="1" applyFont="1" applyFill="1" applyBorder="1" applyAlignment="1">
      <alignment horizontal="right"/>
    </xf>
    <xf numFmtId="164" fontId="5" fillId="15" borderId="0" xfId="0" applyNumberFormat="1" applyFont="1" applyFill="1" applyBorder="1" applyAlignment="1">
      <alignment horizontal="right"/>
    </xf>
    <xf numFmtId="181" fontId="5" fillId="15" borderId="0" xfId="0" applyNumberFormat="1" applyFont="1" applyFill="1" applyBorder="1"/>
    <xf numFmtId="181" fontId="5" fillId="15" borderId="18" xfId="0" applyNumberFormat="1" applyFont="1" applyFill="1" applyBorder="1"/>
    <xf numFmtId="164" fontId="5" fillId="15" borderId="0" xfId="0" applyNumberFormat="1" applyFont="1" applyFill="1" applyBorder="1"/>
    <xf numFmtId="37" fontId="5" fillId="15" borderId="0" xfId="0" applyNumberFormat="1" applyFont="1" applyFill="1" applyBorder="1"/>
    <xf numFmtId="0" fontId="5" fillId="15" borderId="1" xfId="0" applyFont="1" applyFill="1" applyBorder="1"/>
    <xf numFmtId="0" fontId="5" fillId="15" borderId="20" xfId="0" applyFont="1" applyFill="1" applyBorder="1"/>
    <xf numFmtId="0" fontId="5" fillId="15" borderId="21" xfId="0" applyFont="1" applyFill="1" applyBorder="1"/>
    <xf numFmtId="0" fontId="5" fillId="16" borderId="15" xfId="0" applyFont="1" applyFill="1" applyBorder="1"/>
    <xf numFmtId="0" fontId="5" fillId="16" borderId="16" xfId="0" applyFont="1" applyFill="1" applyBorder="1"/>
    <xf numFmtId="0" fontId="5" fillId="16" borderId="0" xfId="0" applyFont="1" applyFill="1" applyBorder="1"/>
    <xf numFmtId="0" fontId="5" fillId="16" borderId="18" xfId="0" applyFont="1" applyFill="1" applyBorder="1"/>
    <xf numFmtId="37" fontId="5" fillId="16" borderId="0" xfId="0" applyNumberFormat="1" applyFont="1" applyFill="1" applyBorder="1" applyAlignment="1">
      <alignment horizontal="right"/>
    </xf>
    <xf numFmtId="164" fontId="5" fillId="16" borderId="0" xfId="0" applyNumberFormat="1" applyFont="1" applyFill="1" applyBorder="1" applyAlignment="1">
      <alignment horizontal="right"/>
    </xf>
    <xf numFmtId="164" fontId="5" fillId="16" borderId="0" xfId="0" applyNumberFormat="1" applyFont="1" applyFill="1" applyBorder="1"/>
    <xf numFmtId="37" fontId="5" fillId="16" borderId="0" xfId="0" applyNumberFormat="1" applyFont="1" applyFill="1" applyBorder="1"/>
    <xf numFmtId="181" fontId="5" fillId="16" borderId="0" xfId="0" applyNumberFormat="1" applyFont="1" applyFill="1" applyBorder="1"/>
    <xf numFmtId="181" fontId="5" fillId="16" borderId="18" xfId="0" applyNumberFormat="1" applyFont="1" applyFill="1" applyBorder="1"/>
    <xf numFmtId="0" fontId="5" fillId="16" borderId="1" xfId="0" applyFont="1" applyFill="1" applyBorder="1"/>
    <xf numFmtId="0" fontId="5" fillId="16" borderId="20" xfId="0" applyFont="1" applyFill="1" applyBorder="1"/>
    <xf numFmtId="0" fontId="5" fillId="16" borderId="21" xfId="0" applyFont="1" applyFill="1" applyBorder="1"/>
    <xf numFmtId="0" fontId="24" fillId="20" borderId="0" xfId="0" applyFont="1" applyFill="1" applyBorder="1"/>
    <xf numFmtId="0" fontId="27" fillId="20" borderId="0" xfId="0" applyFont="1" applyFill="1" applyBorder="1"/>
    <xf numFmtId="0" fontId="17" fillId="20" borderId="0" xfId="0" applyFont="1" applyFill="1" applyBorder="1" applyAlignment="1">
      <alignment horizontal="center"/>
    </xf>
    <xf numFmtId="0" fontId="5" fillId="17" borderId="15" xfId="0" applyFont="1" applyFill="1" applyBorder="1"/>
    <xf numFmtId="0" fontId="5" fillId="17" borderId="16" xfId="0" applyFont="1" applyFill="1" applyBorder="1"/>
    <xf numFmtId="0" fontId="5" fillId="17" borderId="0" xfId="0" applyFont="1" applyFill="1" applyBorder="1"/>
    <xf numFmtId="0" fontId="5" fillId="17" borderId="18" xfId="0" applyFont="1" applyFill="1" applyBorder="1"/>
    <xf numFmtId="9" fontId="5" fillId="17" borderId="0" xfId="1" applyFont="1" applyFill="1" applyBorder="1" applyAlignment="1">
      <alignment horizontal="center"/>
    </xf>
    <xf numFmtId="9" fontId="5" fillId="17" borderId="0" xfId="1" applyFont="1" applyFill="1" applyBorder="1"/>
    <xf numFmtId="9" fontId="5" fillId="17" borderId="18" xfId="1" applyFont="1" applyFill="1" applyBorder="1"/>
    <xf numFmtId="9" fontId="5" fillId="17" borderId="0" xfId="0" applyNumberFormat="1" applyFont="1" applyFill="1" applyBorder="1"/>
    <xf numFmtId="0" fontId="24" fillId="17" borderId="0" xfId="0" applyFont="1" applyFill="1" applyBorder="1" applyAlignment="1">
      <alignment horizontal="center"/>
    </xf>
    <xf numFmtId="0" fontId="5" fillId="17" borderId="20" xfId="0" applyFont="1" applyFill="1" applyBorder="1"/>
    <xf numFmtId="0" fontId="5" fillId="17" borderId="21" xfId="0" applyFont="1" applyFill="1" applyBorder="1"/>
    <xf numFmtId="0" fontId="5" fillId="14" borderId="15" xfId="0" applyFont="1" applyFill="1" applyBorder="1"/>
    <xf numFmtId="0" fontId="5" fillId="14" borderId="16" xfId="0" applyFont="1" applyFill="1" applyBorder="1"/>
    <xf numFmtId="0" fontId="5" fillId="14" borderId="0" xfId="0" applyFont="1" applyFill="1" applyBorder="1"/>
    <xf numFmtId="0" fontId="5" fillId="14" borderId="18" xfId="0" applyFont="1" applyFill="1" applyBorder="1"/>
    <xf numFmtId="9" fontId="5" fillId="14" borderId="0" xfId="1" applyFont="1" applyFill="1" applyBorder="1" applyAlignment="1">
      <alignment horizontal="center"/>
    </xf>
    <xf numFmtId="9" fontId="5" fillId="14" borderId="0" xfId="1" applyFont="1" applyFill="1" applyBorder="1"/>
    <xf numFmtId="9" fontId="5" fillId="14" borderId="18" xfId="1" applyFont="1" applyFill="1" applyBorder="1"/>
    <xf numFmtId="9" fontId="5" fillId="14" borderId="0" xfId="0" applyNumberFormat="1" applyFont="1" applyFill="1" applyBorder="1"/>
    <xf numFmtId="0" fontId="24" fillId="14" borderId="0" xfId="0" applyFont="1" applyFill="1" applyBorder="1" applyAlignment="1">
      <alignment horizontal="center"/>
    </xf>
    <xf numFmtId="0" fontId="5" fillId="14" borderId="20" xfId="0" applyFont="1" applyFill="1" applyBorder="1"/>
    <xf numFmtId="0" fontId="5" fillId="14" borderId="21" xfId="0" applyFont="1" applyFill="1" applyBorder="1"/>
    <xf numFmtId="37" fontId="11" fillId="15" borderId="18" xfId="0" applyNumberFormat="1" applyFont="1" applyFill="1" applyBorder="1" applyAlignment="1"/>
    <xf numFmtId="0" fontId="11" fillId="15" borderId="18" xfId="0" applyFont="1" applyFill="1" applyBorder="1" applyAlignment="1"/>
    <xf numFmtId="0" fontId="11" fillId="15" borderId="29" xfId="0" applyFont="1" applyFill="1" applyBorder="1" applyAlignment="1"/>
    <xf numFmtId="181" fontId="11" fillId="15" borderId="18" xfId="0" applyNumberFormat="1" applyFont="1" applyFill="1" applyBorder="1" applyAlignment="1"/>
    <xf numFmtId="181" fontId="11" fillId="15" borderId="29" xfId="0" applyNumberFormat="1" applyFont="1" applyFill="1" applyBorder="1" applyAlignment="1"/>
    <xf numFmtId="181" fontId="11" fillId="15" borderId="18" xfId="0" applyNumberFormat="1" applyFont="1" applyFill="1" applyBorder="1"/>
    <xf numFmtId="37" fontId="11" fillId="14" borderId="18" xfId="0" applyNumberFormat="1" applyFont="1" applyFill="1" applyBorder="1" applyAlignment="1"/>
    <xf numFmtId="0" fontId="11" fillId="14" borderId="18" xfId="0" applyFont="1" applyFill="1" applyBorder="1" applyAlignment="1"/>
    <xf numFmtId="181" fontId="11" fillId="14" borderId="18" xfId="0" applyNumberFormat="1" applyFont="1" applyFill="1" applyBorder="1" applyAlignment="1"/>
    <xf numFmtId="181" fontId="11" fillId="14" borderId="29" xfId="0" applyNumberFormat="1" applyFont="1" applyFill="1" applyBorder="1" applyAlignment="1"/>
    <xf numFmtId="181" fontId="11" fillId="14" borderId="18" xfId="0" applyNumberFormat="1" applyFont="1" applyFill="1" applyBorder="1"/>
    <xf numFmtId="0" fontId="5" fillId="26" borderId="34" xfId="0" applyFont="1" applyFill="1" applyBorder="1" applyAlignment="1">
      <alignment horizontal="left" vertical="center" wrapText="1"/>
    </xf>
    <xf numFmtId="0" fontId="34" fillId="26" borderId="34" xfId="0" applyFont="1" applyFill="1" applyBorder="1" applyAlignment="1">
      <alignment horizontal="left" vertical="center" wrapText="1"/>
    </xf>
    <xf numFmtId="0" fontId="11" fillId="26" borderId="35" xfId="0" applyFont="1" applyFill="1" applyBorder="1" applyAlignment="1">
      <alignment horizontal="center" vertical="center" wrapText="1"/>
    </xf>
    <xf numFmtId="0" fontId="34" fillId="27" borderId="3" xfId="0" applyFont="1" applyFill="1" applyBorder="1" applyAlignment="1">
      <alignment horizontal="left" vertical="top" wrapText="1"/>
    </xf>
    <xf numFmtId="0" fontId="34" fillId="27" borderId="2" xfId="0" applyFont="1" applyFill="1" applyBorder="1" applyAlignment="1">
      <alignment horizontal="left" vertical="top" wrapText="1"/>
    </xf>
    <xf numFmtId="0" fontId="34" fillId="14" borderId="3" xfId="0" applyFont="1" applyFill="1" applyBorder="1" applyAlignment="1">
      <alignment horizontal="left" vertical="top" wrapText="1"/>
    </xf>
    <xf numFmtId="0" fontId="34" fillId="27" borderId="3" xfId="0" applyFont="1" applyFill="1" applyBorder="1" applyAlignment="1">
      <alignment horizontal="center" vertical="top" wrapText="1"/>
    </xf>
    <xf numFmtId="0" fontId="34" fillId="14" borderId="5" xfId="0" applyFont="1" applyFill="1" applyBorder="1" applyAlignment="1">
      <alignment horizontal="center" vertical="top" wrapText="1"/>
    </xf>
    <xf numFmtId="0" fontId="34" fillId="14" borderId="3" xfId="0" applyFont="1" applyFill="1" applyBorder="1" applyAlignment="1">
      <alignment horizontal="center" vertical="top" wrapText="1"/>
    </xf>
    <xf numFmtId="0" fontId="34" fillId="14" borderId="4" xfId="0" applyFont="1" applyFill="1" applyBorder="1" applyAlignment="1">
      <alignment horizontal="center" vertical="top" wrapText="1"/>
    </xf>
    <xf numFmtId="0" fontId="34" fillId="27" borderId="3" xfId="0" applyFont="1" applyFill="1" applyBorder="1" applyAlignment="1">
      <alignment horizontal="center" wrapText="1"/>
    </xf>
    <xf numFmtId="0" fontId="34" fillId="14" borderId="2" xfId="0" applyFont="1" applyFill="1" applyBorder="1" applyAlignment="1">
      <alignment horizontal="center"/>
    </xf>
    <xf numFmtId="0" fontId="34" fillId="14" borderId="3" xfId="0" applyFont="1" applyFill="1" applyBorder="1" applyAlignment="1">
      <alignment horizontal="center" wrapText="1"/>
    </xf>
    <xf numFmtId="9" fontId="11" fillId="21" borderId="0" xfId="1" applyFont="1" applyFill="1" applyBorder="1" applyAlignment="1">
      <alignment horizontal="center"/>
    </xf>
    <xf numFmtId="0" fontId="11" fillId="19" borderId="31" xfId="0" applyFont="1" applyFill="1" applyBorder="1" applyAlignment="1">
      <alignment horizontal="right" vertical="center"/>
    </xf>
    <xf numFmtId="0" fontId="11" fillId="19" borderId="0" xfId="0" applyFont="1" applyFill="1" applyBorder="1" applyAlignment="1">
      <alignment horizontal="right" vertical="center"/>
    </xf>
    <xf numFmtId="0" fontId="11" fillId="19" borderId="34" xfId="0" applyFont="1" applyFill="1" applyBorder="1" applyAlignment="1">
      <alignment horizontal="right" vertical="center"/>
    </xf>
    <xf numFmtId="0" fontId="11" fillId="19" borderId="34" xfId="0" applyFont="1" applyFill="1" applyBorder="1" applyAlignment="1">
      <alignment vertical="center"/>
    </xf>
    <xf numFmtId="0" fontId="11" fillId="26" borderId="0" xfId="0" applyFont="1" applyFill="1" applyBorder="1" applyAlignment="1">
      <alignment horizontal="right" vertical="center" wrapText="1"/>
    </xf>
    <xf numFmtId="0" fontId="11" fillId="26" borderId="0" xfId="0" applyFont="1" applyFill="1" applyBorder="1" applyAlignment="1">
      <alignment horizontal="center" vertical="center" wrapText="1"/>
    </xf>
    <xf numFmtId="0" fontId="11" fillId="19" borderId="31" xfId="0" quotePrefix="1" applyFont="1" applyFill="1" applyBorder="1" applyAlignment="1">
      <alignment horizontal="center" vertical="center"/>
    </xf>
    <xf numFmtId="0" fontId="11" fillId="19" borderId="34" xfId="0" applyFont="1" applyFill="1" applyBorder="1" applyAlignment="1">
      <alignment horizontal="center" vertical="center" wrapText="1"/>
    </xf>
    <xf numFmtId="0" fontId="5" fillId="19" borderId="34" xfId="0" applyFont="1" applyFill="1" applyBorder="1" applyAlignment="1">
      <alignment horizontal="left" vertical="center" wrapText="1"/>
    </xf>
    <xf numFmtId="186" fontId="11" fillId="19" borderId="35" xfId="0" applyNumberFormat="1" applyFont="1" applyFill="1" applyBorder="1" applyAlignment="1">
      <alignment horizontal="center" vertical="center" wrapText="1"/>
    </xf>
    <xf numFmtId="6" fontId="11" fillId="19" borderId="35" xfId="0" applyNumberFormat="1" applyFont="1" applyFill="1" applyBorder="1" applyAlignment="1">
      <alignment horizontal="center" vertical="center" wrapText="1"/>
    </xf>
    <xf numFmtId="0" fontId="34" fillId="19" borderId="0" xfId="0" applyFont="1" applyFill="1" applyBorder="1" applyAlignment="1">
      <alignment horizontal="left" vertical="center" wrapText="1"/>
    </xf>
    <xf numFmtId="0" fontId="12" fillId="19" borderId="34" xfId="0" applyFont="1" applyFill="1" applyBorder="1" applyAlignment="1">
      <alignment horizontal="left" vertical="center" wrapText="1"/>
    </xf>
    <xf numFmtId="0" fontId="37" fillId="2" borderId="3" xfId="0" applyFont="1" applyFill="1" applyBorder="1" applyAlignment="1" applyProtection="1">
      <alignment horizontal="center" vertical="center"/>
    </xf>
    <xf numFmtId="0" fontId="37" fillId="10" borderId="3" xfId="0" applyFont="1" applyFill="1" applyBorder="1" applyAlignment="1" applyProtection="1">
      <alignment horizontal="center" vertical="center"/>
    </xf>
    <xf numFmtId="0" fontId="37" fillId="11" borderId="3" xfId="0" applyFont="1" applyFill="1" applyBorder="1" applyAlignment="1" applyProtection="1">
      <alignment horizontal="center" vertical="center"/>
    </xf>
    <xf numFmtId="0" fontId="37" fillId="12" borderId="3" xfId="0" applyFont="1" applyFill="1" applyBorder="1" applyAlignment="1" applyProtection="1">
      <alignment horizontal="center" vertical="center"/>
    </xf>
    <xf numFmtId="0" fontId="37" fillId="13" borderId="3" xfId="0" applyFont="1" applyFill="1" applyBorder="1" applyAlignment="1" applyProtection="1">
      <alignment horizontal="center" vertical="center" wrapText="1"/>
    </xf>
    <xf numFmtId="0" fontId="37" fillId="5" borderId="3" xfId="0" applyFont="1" applyFill="1" applyBorder="1" applyAlignment="1" applyProtection="1">
      <alignment horizontal="center" vertical="center"/>
    </xf>
    <xf numFmtId="0" fontId="11" fillId="15" borderId="12" xfId="0" applyFont="1" applyFill="1" applyBorder="1" applyAlignment="1">
      <alignment horizontal="center" vertical="center"/>
    </xf>
    <xf numFmtId="0" fontId="11" fillId="15" borderId="27" xfId="0" applyFont="1" applyFill="1" applyBorder="1" applyAlignment="1">
      <alignment horizontal="center" vertical="center"/>
    </xf>
    <xf numFmtId="0" fontId="11" fillId="14" borderId="12" xfId="0" applyFont="1" applyFill="1" applyBorder="1" applyAlignment="1">
      <alignment horizontal="center" vertical="center"/>
    </xf>
    <xf numFmtId="0" fontId="11" fillId="14" borderId="27" xfId="0" applyFont="1" applyFill="1" applyBorder="1" applyAlignment="1">
      <alignment horizontal="center" vertical="center"/>
    </xf>
    <xf numFmtId="0" fontId="11" fillId="0" borderId="0" xfId="0" applyFont="1" applyFill="1" applyBorder="1" applyAlignment="1">
      <alignment horizontal="center" vertical="center"/>
    </xf>
    <xf numFmtId="164" fontId="11" fillId="15" borderId="12" xfId="1" applyNumberFormat="1" applyFont="1" applyFill="1" applyBorder="1" applyAlignment="1">
      <alignment horizontal="center" vertical="center"/>
    </xf>
    <xf numFmtId="164" fontId="11" fillId="14" borderId="12" xfId="1" applyNumberFormat="1" applyFont="1" applyFill="1" applyBorder="1" applyAlignment="1">
      <alignment horizontal="center" vertical="center"/>
    </xf>
    <xf numFmtId="164" fontId="11" fillId="14" borderId="27" xfId="1" applyNumberFormat="1" applyFont="1" applyFill="1" applyBorder="1" applyAlignment="1">
      <alignment horizontal="center" vertical="center"/>
    </xf>
    <xf numFmtId="0" fontId="12" fillId="14" borderId="4" xfId="0" applyFont="1" applyFill="1" applyBorder="1" applyAlignment="1" applyProtection="1">
      <alignment horizontal="center" vertical="center" wrapText="1"/>
    </xf>
    <xf numFmtId="0" fontId="12" fillId="14" borderId="2" xfId="0" applyFont="1" applyFill="1" applyBorder="1" applyAlignment="1" applyProtection="1">
      <alignment horizontal="center" vertical="center" wrapText="1"/>
    </xf>
    <xf numFmtId="0" fontId="12" fillId="14" borderId="5" xfId="0" applyFont="1" applyFill="1" applyBorder="1" applyAlignment="1" applyProtection="1">
      <alignment horizontal="center" vertical="center" wrapText="1"/>
    </xf>
    <xf numFmtId="0" fontId="12" fillId="15" borderId="4" xfId="0" applyFont="1" applyFill="1" applyBorder="1" applyAlignment="1" applyProtection="1">
      <alignment horizontal="center" vertical="center" wrapText="1"/>
    </xf>
    <xf numFmtId="0" fontId="12" fillId="15" borderId="2" xfId="0" applyFont="1" applyFill="1" applyBorder="1" applyAlignment="1" applyProtection="1">
      <alignment horizontal="center" vertical="center" wrapText="1"/>
    </xf>
    <xf numFmtId="0" fontId="12" fillId="15" borderId="5" xfId="0" applyFont="1" applyFill="1" applyBorder="1" applyAlignment="1" applyProtection="1">
      <alignment horizontal="center" vertical="center" wrapText="1"/>
    </xf>
    <xf numFmtId="0" fontId="11" fillId="19" borderId="0" xfId="0" applyFont="1" applyFill="1" applyBorder="1" applyAlignment="1">
      <alignment horizontal="left" vertical="center"/>
    </xf>
    <xf numFmtId="0" fontId="44" fillId="24" borderId="31" xfId="0" applyFont="1" applyFill="1" applyBorder="1" applyAlignment="1">
      <alignment horizontal="center" vertical="center" wrapText="1"/>
    </xf>
    <xf numFmtId="0" fontId="44" fillId="25" borderId="31" xfId="0" applyFont="1" applyFill="1" applyBorder="1" applyAlignment="1">
      <alignment horizontal="center" vertical="center" wrapText="1"/>
    </xf>
    <xf numFmtId="0" fontId="44" fillId="25" borderId="32" xfId="0" applyFont="1" applyFill="1" applyBorder="1" applyAlignment="1">
      <alignment horizontal="center" vertical="center" wrapText="1"/>
    </xf>
    <xf numFmtId="0" fontId="11" fillId="19" borderId="0" xfId="0" applyFont="1" applyFill="1" applyBorder="1" applyAlignment="1">
      <alignment horizontal="left" vertical="center"/>
    </xf>
    <xf numFmtId="0" fontId="44" fillId="24" borderId="32" xfId="0" applyFont="1" applyFill="1" applyBorder="1" applyAlignment="1">
      <alignment horizontal="center" vertical="center" wrapText="1"/>
    </xf>
    <xf numFmtId="0" fontId="27" fillId="19" borderId="0" xfId="145" applyFont="1" applyFill="1" applyBorder="1" applyAlignment="1">
      <alignment horizontal="left" vertical="center"/>
    </xf>
    <xf numFmtId="0" fontId="5" fillId="19" borderId="0" xfId="143" applyFont="1" applyFill="1" applyBorder="1" applyAlignment="1">
      <alignment vertical="center"/>
    </xf>
    <xf numFmtId="0" fontId="5" fillId="0" borderId="0" xfId="143" applyFont="1" applyFill="1" applyBorder="1" applyAlignment="1">
      <alignment vertical="center"/>
    </xf>
    <xf numFmtId="0" fontId="5" fillId="19" borderId="0" xfId="143" applyFont="1" applyFill="1" applyBorder="1" applyAlignment="1">
      <alignment horizontal="right" vertical="center"/>
    </xf>
    <xf numFmtId="0" fontId="28" fillId="19" borderId="0" xfId="143" applyFont="1" applyFill="1" applyBorder="1" applyAlignment="1">
      <alignment vertical="center"/>
    </xf>
    <xf numFmtId="0" fontId="33" fillId="19" borderId="0" xfId="143" applyFont="1" applyFill="1" applyBorder="1" applyAlignment="1">
      <alignment vertical="center"/>
    </xf>
    <xf numFmtId="0" fontId="12" fillId="19" borderId="28" xfId="0" applyFont="1" applyFill="1" applyBorder="1" applyAlignment="1">
      <alignment vertical="center"/>
    </xf>
    <xf numFmtId="0" fontId="5" fillId="19" borderId="13" xfId="145" applyFont="1" applyFill="1" applyBorder="1" applyAlignment="1">
      <alignment vertical="center"/>
    </xf>
    <xf numFmtId="0" fontId="12" fillId="19" borderId="12" xfId="0" applyFont="1" applyFill="1" applyBorder="1" applyAlignment="1">
      <alignment vertical="center"/>
    </xf>
    <xf numFmtId="0" fontId="5" fillId="19" borderId="0" xfId="145" applyFont="1" applyFill="1" applyBorder="1" applyAlignment="1">
      <alignment vertical="center"/>
    </xf>
    <xf numFmtId="0" fontId="12" fillId="19" borderId="6" xfId="0" applyFont="1" applyFill="1" applyBorder="1" applyAlignment="1">
      <alignment vertical="center"/>
    </xf>
    <xf numFmtId="0" fontId="5" fillId="19" borderId="1" xfId="145" applyFont="1" applyFill="1" applyBorder="1" applyAlignment="1">
      <alignment vertical="center"/>
    </xf>
    <xf numFmtId="0" fontId="24" fillId="19" borderId="0" xfId="143" applyFont="1" applyFill="1" applyBorder="1" applyAlignment="1">
      <alignment horizontal="right" vertical="center"/>
    </xf>
    <xf numFmtId="0" fontId="24" fillId="19" borderId="0" xfId="143" applyFont="1" applyFill="1" applyBorder="1" applyAlignment="1">
      <alignment vertical="center"/>
    </xf>
    <xf numFmtId="0" fontId="5" fillId="19" borderId="0" xfId="143" applyFont="1" applyFill="1" applyBorder="1" applyAlignment="1">
      <alignment horizontal="center" vertical="center"/>
    </xf>
    <xf numFmtId="0" fontId="29" fillId="19" borderId="0" xfId="143" applyFont="1" applyFill="1" applyBorder="1" applyAlignment="1">
      <alignment horizontal="center" vertical="center"/>
    </xf>
    <xf numFmtId="0" fontId="30" fillId="19" borderId="0" xfId="143" applyFont="1" applyFill="1" applyBorder="1" applyAlignment="1">
      <alignment horizontal="center" vertical="center"/>
    </xf>
    <xf numFmtId="0" fontId="31" fillId="0" borderId="0" xfId="143" applyFont="1" applyFill="1" applyBorder="1" applyAlignment="1">
      <alignment vertical="center"/>
    </xf>
    <xf numFmtId="0" fontId="24" fillId="0" borderId="0" xfId="143" applyFont="1" applyFill="1" applyBorder="1" applyAlignment="1">
      <alignment vertical="center"/>
    </xf>
    <xf numFmtId="0" fontId="9" fillId="18" borderId="0" xfId="143" applyFont="1" applyFill="1" applyBorder="1" applyAlignment="1">
      <alignment horizontal="left" vertical="center"/>
    </xf>
    <xf numFmtId="0" fontId="9" fillId="18" borderId="0" xfId="143" applyFont="1" applyFill="1" applyBorder="1" applyAlignment="1">
      <alignment vertical="center"/>
    </xf>
    <xf numFmtId="0" fontId="10" fillId="18" borderId="0" xfId="143" applyFont="1" applyFill="1" applyBorder="1" applyAlignment="1">
      <alignment vertical="center"/>
    </xf>
    <xf numFmtId="0" fontId="9" fillId="18" borderId="0" xfId="143" applyFont="1" applyFill="1" applyBorder="1" applyAlignment="1">
      <alignment horizontal="center" vertical="center"/>
    </xf>
    <xf numFmtId="0" fontId="5" fillId="0" borderId="0" xfId="145" applyFont="1" applyFill="1" applyBorder="1" applyAlignment="1">
      <alignment vertical="center"/>
    </xf>
    <xf numFmtId="0" fontId="32" fillId="19" borderId="0" xfId="144" applyFill="1" applyBorder="1" applyAlignment="1" applyProtection="1">
      <alignment vertical="center"/>
    </xf>
    <xf numFmtId="37" fontId="29" fillId="19" borderId="0" xfId="143" applyNumberFormat="1" applyFont="1" applyFill="1" applyBorder="1" applyAlignment="1">
      <alignment horizontal="center" vertical="center"/>
    </xf>
    <xf numFmtId="0" fontId="24" fillId="19" borderId="0" xfId="143" applyFont="1" applyFill="1" applyBorder="1" applyAlignment="1">
      <alignment horizontal="center" vertical="center"/>
    </xf>
    <xf numFmtId="37" fontId="30" fillId="19" borderId="0" xfId="143" applyNumberFormat="1" applyFont="1" applyFill="1" applyBorder="1" applyAlignment="1">
      <alignment horizontal="center" vertical="center"/>
    </xf>
    <xf numFmtId="37" fontId="24" fillId="19" borderId="0" xfId="143" applyNumberFormat="1" applyFont="1" applyFill="1" applyBorder="1" applyAlignment="1">
      <alignment horizontal="center" vertical="center"/>
    </xf>
    <xf numFmtId="0" fontId="5" fillId="19" borderId="0" xfId="143" applyFont="1" applyFill="1" applyBorder="1" applyAlignment="1">
      <alignment horizontal="left" vertical="center"/>
    </xf>
    <xf numFmtId="175" fontId="29" fillId="19" borderId="0" xfId="143" applyNumberFormat="1" applyFont="1" applyFill="1" applyBorder="1" applyAlignment="1">
      <alignment horizontal="center" vertical="center"/>
    </xf>
    <xf numFmtId="175" fontId="21" fillId="19" borderId="0" xfId="143" applyNumberFormat="1" applyFont="1" applyFill="1" applyBorder="1" applyAlignment="1">
      <alignment horizontal="left" vertical="center"/>
    </xf>
    <xf numFmtId="37" fontId="5" fillId="19" borderId="0" xfId="143" applyNumberFormat="1" applyFont="1" applyFill="1" applyBorder="1" applyAlignment="1">
      <alignment horizontal="center" vertical="center"/>
    </xf>
    <xf numFmtId="0" fontId="17" fillId="19" borderId="0" xfId="143" applyFont="1" applyFill="1" applyBorder="1" applyAlignment="1">
      <alignment vertical="center"/>
    </xf>
    <xf numFmtId="0" fontId="17" fillId="19" borderId="0" xfId="143" applyFont="1" applyFill="1" applyBorder="1" applyAlignment="1">
      <alignment horizontal="center" vertical="center"/>
    </xf>
    <xf numFmtId="0" fontId="5" fillId="0" borderId="0" xfId="143" applyFont="1" applyAlignment="1">
      <alignment vertical="center"/>
    </xf>
    <xf numFmtId="0" fontId="11" fillId="0" borderId="0" xfId="0" applyFont="1" applyFill="1" applyBorder="1" applyAlignment="1">
      <alignment vertical="center"/>
    </xf>
    <xf numFmtId="0" fontId="9" fillId="18" borderId="0" xfId="0" applyFont="1" applyFill="1" applyBorder="1" applyAlignment="1">
      <alignment vertical="center"/>
    </xf>
    <xf numFmtId="0" fontId="10" fillId="18" borderId="0" xfId="0" applyFont="1" applyFill="1" applyBorder="1" applyAlignment="1">
      <alignment vertical="center"/>
    </xf>
    <xf numFmtId="0" fontId="9" fillId="18" borderId="0" xfId="0" applyFont="1" applyFill="1" applyBorder="1" applyAlignment="1">
      <alignment horizontal="center" vertical="center"/>
    </xf>
    <xf numFmtId="0" fontId="11" fillId="19" borderId="0" xfId="0" applyFont="1" applyFill="1" applyBorder="1" applyAlignment="1">
      <alignment vertical="center"/>
    </xf>
    <xf numFmtId="0" fontId="9" fillId="20" borderId="0" xfId="0" applyFont="1" applyFill="1" applyBorder="1" applyAlignment="1">
      <alignment vertical="center"/>
    </xf>
    <xf numFmtId="0" fontId="15" fillId="20" borderId="0" xfId="0" applyFont="1" applyFill="1" applyBorder="1" applyAlignment="1">
      <alignment vertical="center"/>
    </xf>
    <xf numFmtId="0" fontId="16" fillId="20" borderId="0" xfId="0" applyFont="1" applyFill="1" applyBorder="1" applyAlignment="1">
      <alignment horizontal="center" vertical="center"/>
    </xf>
    <xf numFmtId="0" fontId="12" fillId="3" borderId="3" xfId="0" applyFont="1" applyFill="1" applyBorder="1" applyAlignment="1">
      <alignment horizontal="center" vertical="center"/>
    </xf>
    <xf numFmtId="0" fontId="11" fillId="0" borderId="0" xfId="0" applyFont="1" applyFill="1" applyAlignment="1">
      <alignment vertical="center"/>
    </xf>
    <xf numFmtId="164" fontId="11" fillId="2" borderId="23" xfId="0" applyNumberFormat="1" applyFont="1" applyFill="1" applyBorder="1" applyAlignment="1">
      <alignment horizontal="center" vertical="center"/>
    </xf>
    <xf numFmtId="164" fontId="11" fillId="10" borderId="23" xfId="0" applyNumberFormat="1" applyFont="1" applyFill="1" applyBorder="1" applyAlignment="1">
      <alignment horizontal="center" vertical="center"/>
    </xf>
    <xf numFmtId="164" fontId="11" fillId="11" borderId="23" xfId="0" applyNumberFormat="1" applyFont="1" applyFill="1" applyBorder="1" applyAlignment="1">
      <alignment horizontal="center" vertical="center"/>
    </xf>
    <xf numFmtId="164" fontId="11" fillId="12" borderId="23" xfId="0" applyNumberFormat="1" applyFont="1" applyFill="1" applyBorder="1" applyAlignment="1">
      <alignment horizontal="center" vertical="center"/>
    </xf>
    <xf numFmtId="164" fontId="11" fillId="13" borderId="23" xfId="0" applyNumberFormat="1" applyFont="1" applyFill="1" applyBorder="1" applyAlignment="1">
      <alignment horizontal="center" vertical="center"/>
    </xf>
    <xf numFmtId="164" fontId="11" fillId="22" borderId="23" xfId="0" applyNumberFormat="1" applyFont="1" applyFill="1" applyBorder="1" applyAlignment="1">
      <alignment horizontal="center" vertical="center"/>
    </xf>
    <xf numFmtId="9" fontId="12" fillId="3" borderId="23" xfId="0" applyNumberFormat="1" applyFont="1" applyFill="1" applyBorder="1" applyAlignment="1">
      <alignment horizontal="center" vertical="center"/>
    </xf>
    <xf numFmtId="0" fontId="12" fillId="0" borderId="0" xfId="0" applyFont="1" applyFill="1" applyBorder="1" applyAlignment="1">
      <alignment vertical="center"/>
    </xf>
    <xf numFmtId="165" fontId="11" fillId="0" borderId="0" xfId="0" applyNumberFormat="1" applyFont="1" applyFill="1" applyBorder="1" applyAlignment="1">
      <alignment horizontal="center" vertical="center"/>
    </xf>
    <xf numFmtId="9" fontId="11" fillId="0" borderId="0" xfId="0" applyNumberFormat="1" applyFont="1" applyFill="1" applyBorder="1" applyAlignment="1">
      <alignment horizontal="center" vertical="center"/>
    </xf>
    <xf numFmtId="37" fontId="11" fillId="0" borderId="0" xfId="0" applyNumberFormat="1" applyFont="1" applyFill="1" applyBorder="1" applyAlignment="1">
      <alignment horizontal="center" vertical="center"/>
    </xf>
    <xf numFmtId="164" fontId="11" fillId="15" borderId="27" xfId="1" applyNumberFormat="1" applyFont="1" applyFill="1" applyBorder="1" applyAlignment="1">
      <alignment horizontal="center" vertical="center"/>
    </xf>
    <xf numFmtId="0" fontId="12" fillId="0" borderId="0" xfId="0" applyFont="1" applyAlignment="1">
      <alignment vertical="center"/>
    </xf>
    <xf numFmtId="0" fontId="12" fillId="15" borderId="28" xfId="0" applyFont="1" applyFill="1" applyBorder="1" applyAlignment="1">
      <alignment horizontal="center" vertical="center"/>
    </xf>
    <xf numFmtId="0" fontId="12" fillId="15" borderId="26" xfId="0" applyFont="1" applyFill="1" applyBorder="1" applyAlignment="1">
      <alignment horizontal="center" vertical="center"/>
    </xf>
    <xf numFmtId="0" fontId="12" fillId="14" borderId="28" xfId="0" applyFont="1" applyFill="1" applyBorder="1" applyAlignment="1">
      <alignment horizontal="center" vertical="center"/>
    </xf>
    <xf numFmtId="0" fontId="12" fillId="14" borderId="26" xfId="0" applyFont="1" applyFill="1" applyBorder="1" applyAlignment="1">
      <alignment horizontal="center" vertical="center"/>
    </xf>
    <xf numFmtId="0" fontId="12" fillId="15" borderId="12" xfId="0" applyFont="1" applyFill="1" applyBorder="1" applyAlignment="1">
      <alignment horizontal="center" vertical="center"/>
    </xf>
    <xf numFmtId="0" fontId="12" fillId="15" borderId="27" xfId="0" applyFont="1" applyFill="1" applyBorder="1" applyAlignment="1">
      <alignment horizontal="center" vertical="center"/>
    </xf>
    <xf numFmtId="0" fontId="12" fillId="14" borderId="12" xfId="0" applyFont="1" applyFill="1" applyBorder="1" applyAlignment="1">
      <alignment horizontal="center" vertical="center"/>
    </xf>
    <xf numFmtId="0" fontId="12" fillId="14" borderId="27" xfId="0" applyFont="1" applyFill="1" applyBorder="1" applyAlignment="1">
      <alignment horizontal="center" vertical="center"/>
    </xf>
    <xf numFmtId="0" fontId="9" fillId="18" borderId="0" xfId="0" applyFont="1" applyFill="1" applyBorder="1" applyAlignment="1" applyProtection="1">
      <alignment vertical="center"/>
    </xf>
    <xf numFmtId="0" fontId="9" fillId="18" borderId="0" xfId="0" applyFont="1" applyFill="1" applyBorder="1" applyAlignment="1" applyProtection="1">
      <alignment horizontal="center" vertical="center"/>
    </xf>
    <xf numFmtId="0" fontId="10" fillId="18" borderId="0" xfId="0" applyFont="1" applyFill="1" applyBorder="1" applyAlignment="1" applyProtection="1">
      <alignment vertical="center"/>
    </xf>
    <xf numFmtId="0" fontId="9" fillId="20" borderId="0" xfId="0" applyFont="1" applyFill="1" applyBorder="1" applyAlignment="1" applyProtection="1">
      <alignment vertical="center"/>
    </xf>
    <xf numFmtId="0" fontId="16" fillId="20" borderId="0" xfId="0" applyFont="1" applyFill="1" applyBorder="1" applyAlignment="1" applyProtection="1">
      <alignment horizontal="center" vertical="center"/>
    </xf>
    <xf numFmtId="0" fontId="12" fillId="3" borderId="3" xfId="0" applyFont="1" applyFill="1" applyBorder="1" applyAlignment="1" applyProtection="1">
      <alignment horizontal="center" vertical="center"/>
    </xf>
    <xf numFmtId="164" fontId="34" fillId="11" borderId="23" xfId="1" applyNumberFormat="1" applyFont="1" applyFill="1" applyBorder="1" applyAlignment="1" applyProtection="1">
      <alignment horizontal="center" vertical="center"/>
      <protection locked="0"/>
    </xf>
    <xf numFmtId="164" fontId="12" fillId="3" borderId="25" xfId="0" applyNumberFormat="1" applyFont="1" applyFill="1" applyBorder="1" applyAlignment="1" applyProtection="1">
      <alignment horizontal="center" vertical="center"/>
    </xf>
    <xf numFmtId="175" fontId="11" fillId="2" borderId="23" xfId="0" applyNumberFormat="1" applyFont="1" applyFill="1" applyBorder="1" applyAlignment="1" applyProtection="1">
      <alignment horizontal="center" vertical="center"/>
    </xf>
    <xf numFmtId="175" fontId="11" fillId="10" borderId="23" xfId="0" applyNumberFormat="1" applyFont="1" applyFill="1" applyBorder="1" applyAlignment="1" applyProtection="1">
      <alignment horizontal="center" vertical="center"/>
    </xf>
    <xf numFmtId="175" fontId="11" fillId="11" borderId="23" xfId="0" applyNumberFormat="1" applyFont="1" applyFill="1" applyBorder="1" applyAlignment="1" applyProtection="1">
      <alignment horizontal="center" vertical="center"/>
    </xf>
    <xf numFmtId="175" fontId="11" fillId="12" borderId="23" xfId="0" applyNumberFormat="1" applyFont="1" applyFill="1" applyBorder="1" applyAlignment="1" applyProtection="1">
      <alignment horizontal="center" vertical="center"/>
    </xf>
    <xf numFmtId="175" fontId="11" fillId="13" borderId="23" xfId="0" applyNumberFormat="1" applyFont="1" applyFill="1" applyBorder="1" applyAlignment="1" applyProtection="1">
      <alignment horizontal="center" vertical="center"/>
    </xf>
    <xf numFmtId="175" fontId="11" fillId="5" borderId="23" xfId="0" applyNumberFormat="1" applyFont="1" applyFill="1" applyBorder="1" applyAlignment="1" applyProtection="1">
      <alignment horizontal="center" vertical="center"/>
    </xf>
    <xf numFmtId="0" fontId="11" fillId="3" borderId="23" xfId="0" applyFont="1" applyFill="1" applyBorder="1" applyAlignment="1" applyProtection="1">
      <alignment vertical="center"/>
    </xf>
    <xf numFmtId="37" fontId="34" fillId="2" borderId="23" xfId="0" applyNumberFormat="1" applyFont="1" applyFill="1" applyBorder="1" applyAlignment="1" applyProtection="1">
      <alignment horizontal="center" vertical="center"/>
      <protection locked="0"/>
    </xf>
    <xf numFmtId="37" fontId="34" fillId="10" borderId="23" xfId="0" applyNumberFormat="1" applyFont="1" applyFill="1" applyBorder="1" applyAlignment="1" applyProtection="1">
      <alignment horizontal="center" vertical="center"/>
      <protection locked="0"/>
    </xf>
    <xf numFmtId="37" fontId="34" fillId="11" borderId="23" xfId="0" applyNumberFormat="1" applyFont="1" applyFill="1" applyBorder="1" applyAlignment="1" applyProtection="1">
      <alignment horizontal="center" vertical="center"/>
      <protection locked="0"/>
    </xf>
    <xf numFmtId="37" fontId="34" fillId="12" borderId="23" xfId="0" applyNumberFormat="1" applyFont="1" applyFill="1" applyBorder="1" applyAlignment="1" applyProtection="1">
      <alignment horizontal="center" vertical="center"/>
      <protection locked="0"/>
    </xf>
    <xf numFmtId="37" fontId="34" fillId="13" borderId="23" xfId="0" applyNumberFormat="1" applyFont="1" applyFill="1" applyBorder="1" applyAlignment="1" applyProtection="1">
      <alignment horizontal="center" vertical="center"/>
      <protection locked="0"/>
    </xf>
    <xf numFmtId="37" fontId="34" fillId="5" borderId="23"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xf>
    <xf numFmtId="165" fontId="34" fillId="2" borderId="24" xfId="0" applyNumberFormat="1" applyFont="1" applyFill="1" applyBorder="1" applyAlignment="1" applyProtection="1">
      <alignment horizontal="center" vertical="center"/>
      <protection locked="0"/>
    </xf>
    <xf numFmtId="165" fontId="34" fillId="10" borderId="24" xfId="0" applyNumberFormat="1" applyFont="1" applyFill="1" applyBorder="1" applyAlignment="1" applyProtection="1">
      <alignment horizontal="center" vertical="center"/>
      <protection locked="0"/>
    </xf>
    <xf numFmtId="165" fontId="34" fillId="11" borderId="24" xfId="0" applyNumberFormat="1" applyFont="1" applyFill="1" applyBorder="1" applyAlignment="1" applyProtection="1">
      <alignment horizontal="center" vertical="center"/>
      <protection locked="0"/>
    </xf>
    <xf numFmtId="165" fontId="34" fillId="12" borderId="24" xfId="0" applyNumberFormat="1" applyFont="1" applyFill="1" applyBorder="1" applyAlignment="1" applyProtection="1">
      <alignment horizontal="center" vertical="center"/>
      <protection locked="0"/>
    </xf>
    <xf numFmtId="165" fontId="34" fillId="13" borderId="24" xfId="0" applyNumberFormat="1" applyFont="1" applyFill="1" applyBorder="1" applyAlignment="1" applyProtection="1">
      <alignment horizontal="center" vertical="center"/>
      <protection locked="0"/>
    </xf>
    <xf numFmtId="165" fontId="34" fillId="5" borderId="24" xfId="0" applyNumberFormat="1" applyFont="1" applyFill="1" applyBorder="1" applyAlignment="1" applyProtection="1">
      <alignment horizontal="center" vertical="center"/>
      <protection locked="0"/>
    </xf>
    <xf numFmtId="183" fontId="37" fillId="3" borderId="24" xfId="3" applyNumberFormat="1" applyFont="1" applyFill="1" applyBorder="1" applyAlignment="1" applyProtection="1">
      <alignment horizontal="center" vertical="center"/>
      <protection locked="0"/>
    </xf>
    <xf numFmtId="0" fontId="15" fillId="20" borderId="0" xfId="0" applyFont="1" applyFill="1" applyBorder="1" applyAlignment="1" applyProtection="1">
      <alignment vertical="center"/>
    </xf>
    <xf numFmtId="0" fontId="11" fillId="2" borderId="25" xfId="0" applyFont="1" applyFill="1" applyBorder="1" applyAlignment="1" applyProtection="1">
      <alignment vertical="center"/>
    </xf>
    <xf numFmtId="0" fontId="11" fillId="10" borderId="25" xfId="0" applyFont="1" applyFill="1" applyBorder="1" applyAlignment="1" applyProtection="1">
      <alignment vertical="center"/>
    </xf>
    <xf numFmtId="0" fontId="11" fillId="11" borderId="25" xfId="0" applyFont="1" applyFill="1" applyBorder="1" applyAlignment="1" applyProtection="1">
      <alignment vertical="center"/>
    </xf>
    <xf numFmtId="0" fontId="11" fillId="12" borderId="25" xfId="0" applyFont="1" applyFill="1" applyBorder="1" applyAlignment="1" applyProtection="1">
      <alignment vertical="center"/>
    </xf>
    <xf numFmtId="0" fontId="11" fillId="13" borderId="25" xfId="0" applyFont="1" applyFill="1" applyBorder="1" applyAlignment="1" applyProtection="1">
      <alignment vertical="center"/>
    </xf>
    <xf numFmtId="0" fontId="11" fillId="5" borderId="25" xfId="0" applyFont="1" applyFill="1" applyBorder="1" applyAlignment="1" applyProtection="1">
      <alignment vertical="center"/>
    </xf>
    <xf numFmtId="164" fontId="34" fillId="2" borderId="23" xfId="0" applyNumberFormat="1" applyFont="1" applyFill="1" applyBorder="1" applyAlignment="1" applyProtection="1">
      <alignment horizontal="center" vertical="center"/>
      <protection locked="0"/>
    </xf>
    <xf numFmtId="164" fontId="34" fillId="10" borderId="23" xfId="0" applyNumberFormat="1" applyFont="1" applyFill="1" applyBorder="1" applyAlignment="1" applyProtection="1">
      <alignment horizontal="center" vertical="center"/>
      <protection locked="0"/>
    </xf>
    <xf numFmtId="164" fontId="34" fillId="11" borderId="23" xfId="0" applyNumberFormat="1" applyFont="1" applyFill="1" applyBorder="1" applyAlignment="1" applyProtection="1">
      <alignment horizontal="center" vertical="center"/>
      <protection locked="0"/>
    </xf>
    <xf numFmtId="164" fontId="34" fillId="12" borderId="23" xfId="0" applyNumberFormat="1" applyFont="1" applyFill="1" applyBorder="1" applyAlignment="1" applyProtection="1">
      <alignment horizontal="center" vertical="center"/>
      <protection locked="0"/>
    </xf>
    <xf numFmtId="164" fontId="34" fillId="13" borderId="23" xfId="0" applyNumberFormat="1" applyFont="1" applyFill="1" applyBorder="1" applyAlignment="1" applyProtection="1">
      <alignment horizontal="center" vertical="center"/>
      <protection locked="0"/>
    </xf>
    <xf numFmtId="164" fontId="34" fillId="5" borderId="23" xfId="0" applyNumberFormat="1" applyFont="1" applyFill="1" applyBorder="1" applyAlignment="1" applyProtection="1">
      <alignment horizontal="center" vertical="center"/>
      <protection locked="0"/>
    </xf>
    <xf numFmtId="164" fontId="5" fillId="2" borderId="23" xfId="0" applyNumberFormat="1" applyFont="1" applyFill="1" applyBorder="1" applyAlignment="1" applyProtection="1">
      <alignment horizontal="center" vertical="center"/>
      <protection locked="0"/>
    </xf>
    <xf numFmtId="164" fontId="5" fillId="10" borderId="23" xfId="0" applyNumberFormat="1" applyFont="1" applyFill="1" applyBorder="1" applyAlignment="1" applyProtection="1">
      <alignment horizontal="center" vertical="center"/>
      <protection locked="0"/>
    </xf>
    <xf numFmtId="164" fontId="5" fillId="11" borderId="23" xfId="0" applyNumberFormat="1" applyFont="1" applyFill="1" applyBorder="1" applyAlignment="1" applyProtection="1">
      <alignment horizontal="center" vertical="center"/>
      <protection locked="0"/>
    </xf>
    <xf numFmtId="164" fontId="5" fillId="12" borderId="23" xfId="0" applyNumberFormat="1" applyFont="1" applyFill="1" applyBorder="1" applyAlignment="1" applyProtection="1">
      <alignment horizontal="center" vertical="center"/>
      <protection locked="0"/>
    </xf>
    <xf numFmtId="164" fontId="5" fillId="13" borderId="23" xfId="0" applyNumberFormat="1" applyFont="1" applyFill="1" applyBorder="1" applyAlignment="1" applyProtection="1">
      <alignment horizontal="center" vertical="center"/>
      <protection locked="0"/>
    </xf>
    <xf numFmtId="164" fontId="5" fillId="5" borderId="23" xfId="0" applyNumberFormat="1" applyFont="1" applyFill="1" applyBorder="1" applyAlignment="1" applyProtection="1">
      <alignment horizontal="center" vertical="center"/>
      <protection locked="0"/>
    </xf>
    <xf numFmtId="9" fontId="18" fillId="2" borderId="23" xfId="0" applyNumberFormat="1" applyFont="1" applyFill="1" applyBorder="1" applyAlignment="1" applyProtection="1">
      <alignment horizontal="center" vertical="center"/>
    </xf>
    <xf numFmtId="9" fontId="18" fillId="10" borderId="23" xfId="0" applyNumberFormat="1" applyFont="1" applyFill="1" applyBorder="1" applyAlignment="1" applyProtection="1">
      <alignment horizontal="center" vertical="center"/>
    </xf>
    <xf numFmtId="9" fontId="18" fillId="11" borderId="23" xfId="0" applyNumberFormat="1" applyFont="1" applyFill="1" applyBorder="1" applyAlignment="1" applyProtection="1">
      <alignment horizontal="center" vertical="center"/>
    </xf>
    <xf numFmtId="9" fontId="18" fillId="12" borderId="23" xfId="0" applyNumberFormat="1" applyFont="1" applyFill="1" applyBorder="1" applyAlignment="1" applyProtection="1">
      <alignment horizontal="center" vertical="center"/>
    </xf>
    <xf numFmtId="9" fontId="18" fillId="13" borderId="23" xfId="0" applyNumberFormat="1" applyFont="1" applyFill="1" applyBorder="1" applyAlignment="1" applyProtection="1">
      <alignment horizontal="center" vertical="center"/>
    </xf>
    <xf numFmtId="9" fontId="18" fillId="5" borderId="23" xfId="0" applyNumberFormat="1" applyFont="1" applyFill="1" applyBorder="1" applyAlignment="1" applyProtection="1">
      <alignment horizontal="center" vertical="center"/>
    </xf>
    <xf numFmtId="9" fontId="5" fillId="2" borderId="23" xfId="0" applyNumberFormat="1" applyFont="1" applyFill="1" applyBorder="1" applyAlignment="1" applyProtection="1">
      <alignment horizontal="center" vertical="center"/>
    </xf>
    <xf numFmtId="9" fontId="5" fillId="10" borderId="23" xfId="0" applyNumberFormat="1" applyFont="1" applyFill="1" applyBorder="1" applyAlignment="1" applyProtection="1">
      <alignment horizontal="center" vertical="center"/>
    </xf>
    <xf numFmtId="9" fontId="5" fillId="11" borderId="23" xfId="0" applyNumberFormat="1" applyFont="1" applyFill="1" applyBorder="1" applyAlignment="1" applyProtection="1">
      <alignment horizontal="center" vertical="center"/>
    </xf>
    <xf numFmtId="9" fontId="5" fillId="12" borderId="23" xfId="0" applyNumberFormat="1" applyFont="1" applyFill="1" applyBorder="1" applyAlignment="1" applyProtection="1">
      <alignment horizontal="center" vertical="center"/>
    </xf>
    <xf numFmtId="9" fontId="5" fillId="13" borderId="23" xfId="0" applyNumberFormat="1" applyFont="1" applyFill="1" applyBorder="1" applyAlignment="1" applyProtection="1">
      <alignment horizontal="center" vertical="center"/>
    </xf>
    <xf numFmtId="9" fontId="5" fillId="5" borderId="23" xfId="0" applyNumberFormat="1" applyFont="1" applyFill="1" applyBorder="1" applyAlignment="1" applyProtection="1">
      <alignment horizontal="center" vertical="center"/>
    </xf>
    <xf numFmtId="0" fontId="19" fillId="2" borderId="23" xfId="0" applyFont="1" applyFill="1" applyBorder="1" applyAlignment="1" applyProtection="1">
      <alignment vertical="center"/>
    </xf>
    <xf numFmtId="0" fontId="19" fillId="10" borderId="23" xfId="0" applyFont="1" applyFill="1" applyBorder="1" applyAlignment="1" applyProtection="1">
      <alignment vertical="center"/>
    </xf>
    <xf numFmtId="0" fontId="19" fillId="11" borderId="23" xfId="0" applyFont="1" applyFill="1" applyBorder="1" applyAlignment="1" applyProtection="1">
      <alignment vertical="center"/>
    </xf>
    <xf numFmtId="0" fontId="19" fillId="12" borderId="23" xfId="0" applyFont="1" applyFill="1" applyBorder="1" applyAlignment="1" applyProtection="1">
      <alignment vertical="center"/>
    </xf>
    <xf numFmtId="0" fontId="19" fillId="13" borderId="23" xfId="0" applyFont="1" applyFill="1" applyBorder="1" applyAlignment="1" applyProtection="1">
      <alignment vertical="center"/>
    </xf>
    <xf numFmtId="0" fontId="19" fillId="5" borderId="23" xfId="0" applyFont="1" applyFill="1" applyBorder="1" applyAlignment="1" applyProtection="1">
      <alignment vertical="center"/>
    </xf>
    <xf numFmtId="0" fontId="11" fillId="2" borderId="23" xfId="0" applyFont="1" applyFill="1" applyBorder="1" applyAlignment="1" applyProtection="1">
      <alignment vertical="center"/>
    </xf>
    <xf numFmtId="0" fontId="11" fillId="10" borderId="23" xfId="0" applyFont="1" applyFill="1" applyBorder="1" applyAlignment="1" applyProtection="1">
      <alignment vertical="center"/>
    </xf>
    <xf numFmtId="0" fontId="11" fillId="11" borderId="23" xfId="0" applyFont="1" applyFill="1" applyBorder="1" applyAlignment="1" applyProtection="1">
      <alignment vertical="center"/>
    </xf>
    <xf numFmtId="0" fontId="11" fillId="12" borderId="23" xfId="0" applyFont="1" applyFill="1" applyBorder="1" applyAlignment="1" applyProtection="1">
      <alignment vertical="center"/>
    </xf>
    <xf numFmtId="0" fontId="11" fillId="13" borderId="23" xfId="0" applyFont="1" applyFill="1" applyBorder="1" applyAlignment="1" applyProtection="1">
      <alignment vertical="center"/>
    </xf>
    <xf numFmtId="0" fontId="11" fillId="5" borderId="23" xfId="0" applyFont="1" applyFill="1" applyBorder="1" applyAlignment="1" applyProtection="1">
      <alignment vertical="center"/>
    </xf>
    <xf numFmtId="0" fontId="11" fillId="2" borderId="23" xfId="0" applyFont="1" applyFill="1" applyBorder="1" applyAlignment="1" applyProtection="1">
      <alignment horizontal="center" vertical="center"/>
    </xf>
    <xf numFmtId="0" fontId="11" fillId="10" borderId="23" xfId="0" applyFont="1" applyFill="1" applyBorder="1" applyAlignment="1" applyProtection="1">
      <alignment horizontal="center" vertical="center"/>
    </xf>
    <xf numFmtId="0" fontId="11" fillId="11" borderId="23" xfId="0" applyFont="1" applyFill="1" applyBorder="1" applyAlignment="1" applyProtection="1">
      <alignment horizontal="center" vertical="center"/>
    </xf>
    <xf numFmtId="0" fontId="11" fillId="12" borderId="23" xfId="0" applyFont="1" applyFill="1" applyBorder="1" applyAlignment="1" applyProtection="1">
      <alignment horizontal="center" vertical="center"/>
    </xf>
    <xf numFmtId="0" fontId="11" fillId="13" borderId="23" xfId="0" applyFont="1" applyFill="1" applyBorder="1" applyAlignment="1" applyProtection="1">
      <alignment horizontal="center" vertical="center"/>
    </xf>
    <xf numFmtId="0" fontId="11" fillId="5" borderId="23" xfId="0" applyFont="1" applyFill="1" applyBorder="1" applyAlignment="1" applyProtection="1">
      <alignment horizontal="center" vertical="center"/>
    </xf>
    <xf numFmtId="164" fontId="11" fillId="2" borderId="23" xfId="0" applyNumberFormat="1" applyFont="1" applyFill="1" applyBorder="1" applyAlignment="1" applyProtection="1">
      <alignment horizontal="center" vertical="center"/>
    </xf>
    <xf numFmtId="164" fontId="11" fillId="10" borderId="23" xfId="0" applyNumberFormat="1" applyFont="1" applyFill="1" applyBorder="1" applyAlignment="1" applyProtection="1">
      <alignment horizontal="center" vertical="center"/>
    </xf>
    <xf numFmtId="164" fontId="11" fillId="11" borderId="23" xfId="0" applyNumberFormat="1" applyFont="1" applyFill="1" applyBorder="1" applyAlignment="1" applyProtection="1">
      <alignment horizontal="center" vertical="center"/>
    </xf>
    <xf numFmtId="164" fontId="11" fillId="12" borderId="23" xfId="0" applyNumberFormat="1" applyFont="1" applyFill="1" applyBorder="1" applyAlignment="1" applyProtection="1">
      <alignment horizontal="center" vertical="center"/>
    </xf>
    <xf numFmtId="164" fontId="11" fillId="13" borderId="23" xfId="0" applyNumberFormat="1" applyFont="1" applyFill="1" applyBorder="1" applyAlignment="1" applyProtection="1">
      <alignment horizontal="center" vertical="center"/>
    </xf>
    <xf numFmtId="164" fontId="11" fillId="5" borderId="23" xfId="0" applyNumberFormat="1" applyFont="1" applyFill="1" applyBorder="1" applyAlignment="1" applyProtection="1">
      <alignment horizontal="center" vertical="center"/>
    </xf>
    <xf numFmtId="37" fontId="11" fillId="2" borderId="23" xfId="0" applyNumberFormat="1" applyFont="1" applyFill="1" applyBorder="1" applyAlignment="1" applyProtection="1">
      <alignment horizontal="center" vertical="center"/>
    </xf>
    <xf numFmtId="37" fontId="11" fillId="10" borderId="23" xfId="0" applyNumberFormat="1" applyFont="1" applyFill="1" applyBorder="1" applyAlignment="1" applyProtection="1">
      <alignment horizontal="center" vertical="center"/>
    </xf>
    <xf numFmtId="37" fontId="11" fillId="11" borderId="23" xfId="0" applyNumberFormat="1" applyFont="1" applyFill="1" applyBorder="1" applyAlignment="1" applyProtection="1">
      <alignment horizontal="center" vertical="center"/>
    </xf>
    <xf numFmtId="37" fontId="11" fillId="12" borderId="23" xfId="0" applyNumberFormat="1" applyFont="1" applyFill="1" applyBorder="1" applyAlignment="1" applyProtection="1">
      <alignment horizontal="center" vertical="center"/>
    </xf>
    <xf numFmtId="37" fontId="11" fillId="13" borderId="23" xfId="0" applyNumberFormat="1" applyFont="1" applyFill="1" applyBorder="1" applyAlignment="1" applyProtection="1">
      <alignment horizontal="center" vertical="center"/>
    </xf>
    <xf numFmtId="37" fontId="11" fillId="5" borderId="23" xfId="0" applyNumberFormat="1" applyFont="1" applyFill="1" applyBorder="1" applyAlignment="1" applyProtection="1">
      <alignment horizontal="center" vertical="center"/>
    </xf>
    <xf numFmtId="37" fontId="18" fillId="2" borderId="23" xfId="0" applyNumberFormat="1" applyFont="1" applyFill="1" applyBorder="1" applyAlignment="1" applyProtection="1">
      <alignment horizontal="center" vertical="center"/>
    </xf>
    <xf numFmtId="37" fontId="18" fillId="10" borderId="23" xfId="0" applyNumberFormat="1" applyFont="1" applyFill="1" applyBorder="1" applyAlignment="1" applyProtection="1">
      <alignment horizontal="center" vertical="center"/>
    </xf>
    <xf numFmtId="37" fontId="18" fillId="11" borderId="23" xfId="0" applyNumberFormat="1" applyFont="1" applyFill="1" applyBorder="1" applyAlignment="1" applyProtection="1">
      <alignment horizontal="center" vertical="center"/>
    </xf>
    <xf numFmtId="37" fontId="18" fillId="12" borderId="23" xfId="0" applyNumberFormat="1" applyFont="1" applyFill="1" applyBorder="1" applyAlignment="1" applyProtection="1">
      <alignment horizontal="center" vertical="center"/>
    </xf>
    <xf numFmtId="37" fontId="18" fillId="13" borderId="23" xfId="0" applyNumberFormat="1" applyFont="1" applyFill="1" applyBorder="1" applyAlignment="1" applyProtection="1">
      <alignment horizontal="center" vertical="center"/>
    </xf>
    <xf numFmtId="37" fontId="18" fillId="5" borderId="23" xfId="0" applyNumberFormat="1" applyFont="1" applyFill="1" applyBorder="1" applyAlignment="1" applyProtection="1">
      <alignment horizontal="center" vertical="center"/>
    </xf>
    <xf numFmtId="37" fontId="5" fillId="2" borderId="23" xfId="0" applyNumberFormat="1" applyFont="1" applyFill="1" applyBorder="1" applyAlignment="1" applyProtection="1">
      <alignment horizontal="center" vertical="center"/>
    </xf>
    <xf numFmtId="37" fontId="5" fillId="10" borderId="23" xfId="0" applyNumberFormat="1" applyFont="1" applyFill="1" applyBorder="1" applyAlignment="1" applyProtection="1">
      <alignment horizontal="center" vertical="center"/>
    </xf>
    <xf numFmtId="37" fontId="5" fillId="11" borderId="23" xfId="0" applyNumberFormat="1" applyFont="1" applyFill="1" applyBorder="1" applyAlignment="1" applyProtection="1">
      <alignment horizontal="center" vertical="center"/>
    </xf>
    <xf numFmtId="37" fontId="5" fillId="12" borderId="23" xfId="0" applyNumberFormat="1" applyFont="1" applyFill="1" applyBorder="1" applyAlignment="1" applyProtection="1">
      <alignment horizontal="center" vertical="center"/>
    </xf>
    <xf numFmtId="37" fontId="5" fillId="13" borderId="23" xfId="0" applyNumberFormat="1" applyFont="1" applyFill="1" applyBorder="1" applyAlignment="1" applyProtection="1">
      <alignment horizontal="center" vertical="center"/>
    </xf>
    <xf numFmtId="37" fontId="5" fillId="5" borderId="23" xfId="0" applyNumberFormat="1" applyFont="1" applyFill="1" applyBorder="1" applyAlignment="1" applyProtection="1">
      <alignment horizontal="center" vertical="center"/>
    </xf>
    <xf numFmtId="37" fontId="34" fillId="2" borderId="24" xfId="0" applyNumberFormat="1" applyFont="1" applyFill="1" applyBorder="1" applyAlignment="1" applyProtection="1">
      <alignment horizontal="center" vertical="center"/>
      <protection locked="0"/>
    </xf>
    <xf numFmtId="37" fontId="34" fillId="10" borderId="24" xfId="0" applyNumberFormat="1" applyFont="1" applyFill="1" applyBorder="1" applyAlignment="1" applyProtection="1">
      <alignment horizontal="center" vertical="center"/>
      <protection locked="0"/>
    </xf>
    <xf numFmtId="37" fontId="34" fillId="11" borderId="24" xfId="0" applyNumberFormat="1" applyFont="1" applyFill="1" applyBorder="1" applyAlignment="1" applyProtection="1">
      <alignment horizontal="center" vertical="center"/>
      <protection locked="0"/>
    </xf>
    <xf numFmtId="37" fontId="34" fillId="12" borderId="24" xfId="0" applyNumberFormat="1" applyFont="1" applyFill="1" applyBorder="1" applyAlignment="1" applyProtection="1">
      <alignment horizontal="center" vertical="center"/>
      <protection locked="0"/>
    </xf>
    <xf numFmtId="37" fontId="34" fillId="13" borderId="24" xfId="0" applyNumberFormat="1" applyFont="1" applyFill="1" applyBorder="1" applyAlignment="1" applyProtection="1">
      <alignment horizontal="center" vertical="center"/>
      <protection locked="0"/>
    </xf>
    <xf numFmtId="37" fontId="34" fillId="5" borderId="24" xfId="0" applyNumberFormat="1"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xf>
    <xf numFmtId="0" fontId="5" fillId="10" borderId="23" xfId="0" applyFont="1" applyFill="1" applyBorder="1" applyAlignment="1" applyProtection="1">
      <alignment horizontal="center" vertical="center"/>
    </xf>
    <xf numFmtId="0" fontId="5" fillId="11" borderId="23" xfId="0" applyFont="1" applyFill="1" applyBorder="1" applyAlignment="1" applyProtection="1">
      <alignment horizontal="center" vertical="center"/>
    </xf>
    <xf numFmtId="0" fontId="5" fillId="12" borderId="23" xfId="0" applyFont="1" applyFill="1" applyBorder="1" applyAlignment="1" applyProtection="1">
      <alignment horizontal="center" vertical="center"/>
    </xf>
    <xf numFmtId="0" fontId="5" fillId="13" borderId="23" xfId="0" applyFont="1" applyFill="1" applyBorder="1" applyAlignment="1" applyProtection="1">
      <alignment horizontal="center" vertical="center"/>
    </xf>
    <xf numFmtId="0" fontId="5" fillId="5" borderId="23" xfId="0" applyFont="1" applyFill="1" applyBorder="1" applyAlignment="1" applyProtection="1">
      <alignment horizontal="center" vertical="center"/>
    </xf>
    <xf numFmtId="9" fontId="34" fillId="2" borderId="23" xfId="0" applyNumberFormat="1" applyFont="1" applyFill="1" applyBorder="1" applyAlignment="1" applyProtection="1">
      <alignment horizontal="center" vertical="center"/>
      <protection locked="0"/>
    </xf>
    <xf numFmtId="9" fontId="34" fillId="10" borderId="23" xfId="0" applyNumberFormat="1" applyFont="1" applyFill="1" applyBorder="1" applyAlignment="1" applyProtection="1">
      <alignment horizontal="center" vertical="center"/>
      <protection locked="0"/>
    </xf>
    <xf numFmtId="9" fontId="34" fillId="11" borderId="23" xfId="0" applyNumberFormat="1" applyFont="1" applyFill="1" applyBorder="1" applyAlignment="1" applyProtection="1">
      <alignment horizontal="center" vertical="center"/>
      <protection locked="0"/>
    </xf>
    <xf numFmtId="9" fontId="34" fillId="12" borderId="23" xfId="0" applyNumberFormat="1" applyFont="1" applyFill="1" applyBorder="1" applyAlignment="1" applyProtection="1">
      <alignment horizontal="center" vertical="center"/>
      <protection locked="0"/>
    </xf>
    <xf numFmtId="9" fontId="34" fillId="13" borderId="23" xfId="0" applyNumberFormat="1" applyFont="1" applyFill="1" applyBorder="1" applyAlignment="1" applyProtection="1">
      <alignment horizontal="center" vertical="center"/>
      <protection locked="0"/>
    </xf>
    <xf numFmtId="9" fontId="34" fillId="5" borderId="23" xfId="0" applyNumberFormat="1" applyFont="1" applyFill="1" applyBorder="1" applyAlignment="1" applyProtection="1">
      <alignment horizontal="center" vertical="center"/>
      <protection locked="0"/>
    </xf>
    <xf numFmtId="0" fontId="34" fillId="2" borderId="23" xfId="0" applyFont="1" applyFill="1" applyBorder="1" applyAlignment="1" applyProtection="1">
      <alignment horizontal="center" vertical="center"/>
      <protection locked="0"/>
    </xf>
    <xf numFmtId="0" fontId="34" fillId="10" borderId="23" xfId="0" applyFont="1" applyFill="1" applyBorder="1" applyAlignment="1" applyProtection="1">
      <alignment horizontal="center" vertical="center"/>
      <protection locked="0"/>
    </xf>
    <xf numFmtId="0" fontId="34" fillId="11" borderId="23" xfId="0" applyFont="1" applyFill="1" applyBorder="1" applyAlignment="1" applyProtection="1">
      <alignment horizontal="center" vertical="center"/>
      <protection locked="0"/>
    </xf>
    <xf numFmtId="0" fontId="34" fillId="12" borderId="23" xfId="0" applyFont="1" applyFill="1" applyBorder="1" applyAlignment="1" applyProtection="1">
      <alignment horizontal="center" vertical="center"/>
      <protection locked="0"/>
    </xf>
    <xf numFmtId="0" fontId="34" fillId="13" borderId="23" xfId="0" applyFont="1" applyFill="1" applyBorder="1" applyAlignment="1" applyProtection="1">
      <alignment horizontal="center" vertical="center"/>
      <protection locked="0"/>
    </xf>
    <xf numFmtId="0" fontId="34" fillId="5" borderId="23" xfId="0" applyFont="1" applyFill="1" applyBorder="1" applyAlignment="1" applyProtection="1">
      <alignment horizontal="center" vertical="center"/>
      <protection locked="0"/>
    </xf>
    <xf numFmtId="0" fontId="18" fillId="2" borderId="23" xfId="0" applyFont="1" applyFill="1" applyBorder="1" applyAlignment="1" applyProtection="1">
      <alignment horizontal="center" vertical="center"/>
    </xf>
    <xf numFmtId="0" fontId="18" fillId="10" borderId="23" xfId="0" applyFont="1" applyFill="1" applyBorder="1" applyAlignment="1" applyProtection="1">
      <alignment horizontal="center" vertical="center"/>
    </xf>
    <xf numFmtId="0" fontId="18" fillId="11" borderId="23" xfId="0" applyFont="1" applyFill="1" applyBorder="1" applyAlignment="1" applyProtection="1">
      <alignment horizontal="center" vertical="center"/>
    </xf>
    <xf numFmtId="0" fontId="18" fillId="12" borderId="23" xfId="0" applyFont="1" applyFill="1" applyBorder="1" applyAlignment="1" applyProtection="1">
      <alignment horizontal="center" vertical="center"/>
    </xf>
    <xf numFmtId="0" fontId="18" fillId="13" borderId="23" xfId="0" applyFont="1" applyFill="1" applyBorder="1" applyAlignment="1" applyProtection="1">
      <alignment horizontal="center" vertical="center"/>
    </xf>
    <xf numFmtId="0" fontId="18" fillId="5" borderId="23" xfId="0" applyFont="1" applyFill="1" applyBorder="1" applyAlignment="1" applyProtection="1">
      <alignment horizontal="center" vertical="center"/>
    </xf>
    <xf numFmtId="0" fontId="34" fillId="2" borderId="24" xfId="0" applyFont="1" applyFill="1" applyBorder="1" applyAlignment="1" applyProtection="1">
      <alignment horizontal="center" vertical="center"/>
      <protection locked="0"/>
    </xf>
    <xf numFmtId="0" fontId="34" fillId="10" borderId="24" xfId="0" applyFont="1" applyFill="1" applyBorder="1" applyAlignment="1" applyProtection="1">
      <alignment horizontal="center" vertical="center"/>
      <protection locked="0"/>
    </xf>
    <xf numFmtId="0" fontId="34" fillId="11" borderId="24" xfId="0" applyFont="1" applyFill="1" applyBorder="1" applyAlignment="1" applyProtection="1">
      <alignment horizontal="center" vertical="center"/>
      <protection locked="0"/>
    </xf>
    <xf numFmtId="0" fontId="34" fillId="12" borderId="24" xfId="0" applyFont="1" applyFill="1" applyBorder="1" applyAlignment="1" applyProtection="1">
      <alignment horizontal="center" vertical="center"/>
      <protection locked="0"/>
    </xf>
    <xf numFmtId="0" fontId="34" fillId="13" borderId="24" xfId="0" applyFont="1" applyFill="1" applyBorder="1" applyAlignment="1" applyProtection="1">
      <alignment horizontal="center" vertical="center"/>
      <protection locked="0"/>
    </xf>
    <xf numFmtId="0" fontId="34" fillId="5" borderId="24" xfId="0" applyFont="1" applyFill="1" applyBorder="1" applyAlignment="1" applyProtection="1">
      <alignment horizontal="center" vertical="center"/>
      <protection locked="0"/>
    </xf>
    <xf numFmtId="37" fontId="34" fillId="2" borderId="23" xfId="2" applyNumberFormat="1" applyFont="1" applyFill="1" applyBorder="1" applyAlignment="1" applyProtection="1">
      <alignment horizontal="center" vertical="center"/>
      <protection locked="0"/>
    </xf>
    <xf numFmtId="37" fontId="34" fillId="10" borderId="23" xfId="2" applyNumberFormat="1" applyFont="1" applyFill="1" applyBorder="1" applyAlignment="1" applyProtection="1">
      <alignment horizontal="center" vertical="center"/>
      <protection locked="0"/>
    </xf>
    <xf numFmtId="37" fontId="34" fillId="11" borderId="23" xfId="2" applyNumberFormat="1" applyFont="1" applyFill="1" applyBorder="1" applyAlignment="1" applyProtection="1">
      <alignment horizontal="center" vertical="center"/>
      <protection locked="0"/>
    </xf>
    <xf numFmtId="37" fontId="34" fillId="12" borderId="23" xfId="2" applyNumberFormat="1" applyFont="1" applyFill="1" applyBorder="1" applyAlignment="1" applyProtection="1">
      <alignment horizontal="center" vertical="center"/>
      <protection locked="0"/>
    </xf>
    <xf numFmtId="37" fontId="34" fillId="13" borderId="23" xfId="2" applyNumberFormat="1" applyFont="1" applyFill="1" applyBorder="1" applyAlignment="1" applyProtection="1">
      <alignment horizontal="center" vertical="center"/>
      <protection locked="0"/>
    </xf>
    <xf numFmtId="37" fontId="34" fillId="5" borderId="23" xfId="2" applyNumberFormat="1" applyFont="1" applyFill="1" applyBorder="1" applyAlignment="1" applyProtection="1">
      <alignment horizontal="center" vertical="center"/>
      <protection locked="0"/>
    </xf>
    <xf numFmtId="164" fontId="11" fillId="2" borderId="23" xfId="1" applyNumberFormat="1" applyFont="1" applyFill="1" applyBorder="1" applyAlignment="1" applyProtection="1">
      <alignment horizontal="center" vertical="center"/>
    </xf>
    <xf numFmtId="164" fontId="11" fillId="10" borderId="23" xfId="1" applyNumberFormat="1" applyFont="1" applyFill="1" applyBorder="1" applyAlignment="1" applyProtection="1">
      <alignment horizontal="center" vertical="center"/>
    </xf>
    <xf numFmtId="164" fontId="11" fillId="11" borderId="23" xfId="1" applyNumberFormat="1" applyFont="1" applyFill="1" applyBorder="1" applyAlignment="1" applyProtection="1">
      <alignment horizontal="center" vertical="center"/>
    </xf>
    <xf numFmtId="164" fontId="11" fillId="12" borderId="23" xfId="1" applyNumberFormat="1" applyFont="1" applyFill="1" applyBorder="1" applyAlignment="1" applyProtection="1">
      <alignment horizontal="center" vertical="center"/>
    </xf>
    <xf numFmtId="164" fontId="11" fillId="13" borderId="23" xfId="1" applyNumberFormat="1" applyFont="1" applyFill="1" applyBorder="1" applyAlignment="1" applyProtection="1">
      <alignment horizontal="center" vertical="center"/>
    </xf>
    <xf numFmtId="164" fontId="11" fillId="5" borderId="23" xfId="1" applyNumberFormat="1" applyFont="1" applyFill="1" applyBorder="1" applyAlignment="1" applyProtection="1">
      <alignment horizontal="center" vertical="center"/>
    </xf>
    <xf numFmtId="164" fontId="34" fillId="2" borderId="23" xfId="1" applyNumberFormat="1" applyFont="1" applyFill="1" applyBorder="1" applyAlignment="1" applyProtection="1">
      <alignment horizontal="center" vertical="center"/>
    </xf>
    <xf numFmtId="164" fontId="34" fillId="10" borderId="23" xfId="1" applyNumberFormat="1" applyFont="1" applyFill="1" applyBorder="1" applyAlignment="1" applyProtection="1">
      <alignment horizontal="center" vertical="center"/>
    </xf>
    <xf numFmtId="164" fontId="34" fillId="11" borderId="23" xfId="1" applyNumberFormat="1" applyFont="1" applyFill="1" applyBorder="1" applyAlignment="1" applyProtection="1">
      <alignment horizontal="center" vertical="center"/>
    </xf>
    <xf numFmtId="164" fontId="34" fillId="12" borderId="23" xfId="1" applyNumberFormat="1" applyFont="1" applyFill="1" applyBorder="1" applyAlignment="1" applyProtection="1">
      <alignment horizontal="center" vertical="center"/>
    </xf>
    <xf numFmtId="164" fontId="34" fillId="13" borderId="23" xfId="1" applyNumberFormat="1" applyFont="1" applyFill="1" applyBorder="1" applyAlignment="1" applyProtection="1">
      <alignment horizontal="center" vertical="center"/>
    </xf>
    <xf numFmtId="164" fontId="34" fillId="5" borderId="23" xfId="1" applyNumberFormat="1" applyFont="1" applyFill="1" applyBorder="1" applyAlignment="1" applyProtection="1">
      <alignment horizontal="center" vertical="center"/>
    </xf>
    <xf numFmtId="167" fontId="18" fillId="2" borderId="23" xfId="0" applyNumberFormat="1" applyFont="1" applyFill="1" applyBorder="1" applyAlignment="1" applyProtection="1">
      <alignment horizontal="center" vertical="center"/>
    </xf>
    <xf numFmtId="167" fontId="18" fillId="10" borderId="23" xfId="0" applyNumberFormat="1" applyFont="1" applyFill="1" applyBorder="1" applyAlignment="1" applyProtection="1">
      <alignment horizontal="center" vertical="center"/>
    </xf>
    <xf numFmtId="167" fontId="18" fillId="11" borderId="23" xfId="0" applyNumberFormat="1" applyFont="1" applyFill="1" applyBorder="1" applyAlignment="1" applyProtection="1">
      <alignment horizontal="center" vertical="center"/>
    </xf>
    <xf numFmtId="167" fontId="18" fillId="12" borderId="23" xfId="0" applyNumberFormat="1" applyFont="1" applyFill="1" applyBorder="1" applyAlignment="1" applyProtection="1">
      <alignment horizontal="center" vertical="center"/>
    </xf>
    <xf numFmtId="167" fontId="18" fillId="13" borderId="23" xfId="0" applyNumberFormat="1" applyFont="1" applyFill="1" applyBorder="1" applyAlignment="1" applyProtection="1">
      <alignment horizontal="center" vertical="center"/>
    </xf>
    <xf numFmtId="167" fontId="18" fillId="5" borderId="23" xfId="0" applyNumberFormat="1" applyFont="1" applyFill="1" applyBorder="1" applyAlignment="1" applyProtection="1">
      <alignment horizontal="center" vertical="center"/>
    </xf>
    <xf numFmtId="9" fontId="5" fillId="2" borderId="24" xfId="0" applyNumberFormat="1" applyFont="1" applyFill="1" applyBorder="1" applyAlignment="1" applyProtection="1">
      <alignment horizontal="center" vertical="center"/>
      <protection locked="0"/>
    </xf>
    <xf numFmtId="9" fontId="5" fillId="10" borderId="24" xfId="0" applyNumberFormat="1" applyFont="1" applyFill="1" applyBorder="1" applyAlignment="1" applyProtection="1">
      <alignment horizontal="center" vertical="center"/>
      <protection locked="0"/>
    </xf>
    <xf numFmtId="9" fontId="5" fillId="11" borderId="24" xfId="0" applyNumberFormat="1" applyFont="1" applyFill="1" applyBorder="1" applyAlignment="1" applyProtection="1">
      <alignment horizontal="center" vertical="center"/>
      <protection locked="0"/>
    </xf>
    <xf numFmtId="9" fontId="5" fillId="12" borderId="24" xfId="0" applyNumberFormat="1" applyFont="1" applyFill="1" applyBorder="1" applyAlignment="1" applyProtection="1">
      <alignment horizontal="center" vertical="center"/>
      <protection locked="0"/>
    </xf>
    <xf numFmtId="9" fontId="5" fillId="13" borderId="24" xfId="0" applyNumberFormat="1" applyFont="1" applyFill="1" applyBorder="1" applyAlignment="1" applyProtection="1">
      <alignment horizontal="center" vertical="center"/>
      <protection locked="0"/>
    </xf>
    <xf numFmtId="9" fontId="5" fillId="5" borderId="24" xfId="0" applyNumberFormat="1" applyFont="1" applyFill="1" applyBorder="1" applyAlignment="1" applyProtection="1">
      <alignment horizontal="center" vertical="center"/>
      <protection locked="0"/>
    </xf>
    <xf numFmtId="0" fontId="11" fillId="19" borderId="0" xfId="0" applyFont="1" applyFill="1" applyAlignment="1" applyProtection="1">
      <alignment vertical="center"/>
    </xf>
    <xf numFmtId="0" fontId="9" fillId="19" borderId="0" xfId="0" applyFont="1" applyFill="1" applyBorder="1" applyAlignment="1" applyProtection="1">
      <alignment vertical="center"/>
    </xf>
    <xf numFmtId="0" fontId="11" fillId="19" borderId="0" xfId="0" applyFont="1" applyFill="1" applyBorder="1" applyAlignment="1" applyProtection="1">
      <alignment vertical="center"/>
    </xf>
    <xf numFmtId="0" fontId="11" fillId="19" borderId="0" xfId="0" applyFont="1" applyFill="1" applyBorder="1" applyAlignment="1" applyProtection="1">
      <alignment horizontal="center" vertical="center"/>
    </xf>
    <xf numFmtId="0" fontId="12" fillId="19" borderId="0" xfId="0" applyFont="1" applyFill="1" applyBorder="1" applyAlignment="1" applyProtection="1">
      <alignment vertical="center"/>
    </xf>
    <xf numFmtId="9" fontId="11" fillId="19" borderId="0" xfId="0" applyNumberFormat="1" applyFont="1" applyFill="1" applyBorder="1" applyAlignment="1" applyProtection="1">
      <alignment vertical="center"/>
    </xf>
    <xf numFmtId="0" fontId="16" fillId="19" borderId="0" xfId="0" applyFont="1" applyFill="1" applyBorder="1" applyAlignment="1" applyProtection="1">
      <alignment horizontal="center" vertical="center"/>
    </xf>
    <xf numFmtId="0" fontId="21" fillId="19" borderId="0" xfId="0" applyFont="1" applyFill="1" applyAlignment="1">
      <alignment vertical="center"/>
    </xf>
    <xf numFmtId="0" fontId="21" fillId="19" borderId="0" xfId="0" applyFont="1" applyFill="1" applyAlignment="1" applyProtection="1">
      <alignment vertical="center"/>
    </xf>
    <xf numFmtId="0" fontId="12" fillId="19" borderId="0" xfId="0" applyFont="1" applyFill="1" applyBorder="1" applyAlignment="1" applyProtection="1">
      <alignment horizontal="left" vertical="center" wrapText="1"/>
    </xf>
    <xf numFmtId="0" fontId="11" fillId="19" borderId="0" xfId="0" applyFont="1" applyFill="1" applyAlignment="1" applyProtection="1">
      <alignment horizontal="center" vertical="center"/>
    </xf>
    <xf numFmtId="0" fontId="12" fillId="19" borderId="2" xfId="0" applyFont="1" applyFill="1" applyBorder="1" applyAlignment="1" applyProtection="1">
      <alignment vertical="center"/>
    </xf>
    <xf numFmtId="0" fontId="11" fillId="19" borderId="2" xfId="0" applyFont="1" applyFill="1" applyBorder="1" applyAlignment="1" applyProtection="1">
      <alignment vertical="center"/>
    </xf>
    <xf numFmtId="0" fontId="16" fillId="19" borderId="2" xfId="0" applyFont="1" applyFill="1" applyBorder="1" applyAlignment="1" applyProtection="1">
      <alignment horizontal="center" vertical="center"/>
    </xf>
    <xf numFmtId="0" fontId="12" fillId="19" borderId="27" xfId="0" applyFont="1" applyFill="1" applyBorder="1" applyAlignment="1" applyProtection="1">
      <alignment horizontal="left" vertical="center" wrapText="1"/>
    </xf>
    <xf numFmtId="0" fontId="12" fillId="19" borderId="0" xfId="0" applyFont="1" applyFill="1" applyAlignment="1" applyProtection="1">
      <alignment vertical="center"/>
    </xf>
    <xf numFmtId="0" fontId="11" fillId="19" borderId="0" xfId="0" applyFont="1" applyFill="1" applyAlignment="1" applyProtection="1">
      <alignment horizontal="left" vertical="center"/>
    </xf>
    <xf numFmtId="0" fontId="5" fillId="19" borderId="0" xfId="0" applyFont="1" applyFill="1" applyAlignment="1" applyProtection="1">
      <alignment vertical="center"/>
    </xf>
    <xf numFmtId="0" fontId="19" fillId="19" borderId="0" xfId="0" applyFont="1" applyFill="1" applyAlignment="1" applyProtection="1">
      <alignment vertical="center"/>
    </xf>
    <xf numFmtId="164" fontId="11" fillId="19" borderId="0" xfId="0" applyNumberFormat="1" applyFont="1" applyFill="1" applyAlignment="1" applyProtection="1">
      <alignment vertical="center"/>
    </xf>
    <xf numFmtId="0" fontId="12" fillId="19" borderId="0" xfId="0" applyFont="1" applyFill="1" applyBorder="1" applyAlignment="1" applyProtection="1">
      <alignment horizontal="center" vertical="center" wrapText="1"/>
    </xf>
    <xf numFmtId="0" fontId="12" fillId="19" borderId="0" xfId="0" quotePrefix="1" applyFont="1" applyFill="1" applyAlignment="1" applyProtection="1">
      <alignment vertical="center"/>
    </xf>
    <xf numFmtId="0" fontId="11" fillId="19" borderId="0" xfId="0" quotePrefix="1" applyFont="1" applyFill="1" applyAlignment="1" applyProtection="1">
      <alignment vertical="center"/>
    </xf>
    <xf numFmtId="0" fontId="12" fillId="19" borderId="2" xfId="0" applyFont="1" applyFill="1" applyBorder="1" applyAlignment="1" applyProtection="1">
      <alignment horizontal="left" vertical="center" wrapText="1"/>
    </xf>
    <xf numFmtId="0" fontId="14" fillId="19" borderId="0" xfId="0" applyFont="1" applyFill="1" applyAlignment="1" applyProtection="1">
      <alignment vertical="center"/>
    </xf>
    <xf numFmtId="0" fontId="20" fillId="19" borderId="0" xfId="0" applyFont="1" applyFill="1" applyAlignment="1" applyProtection="1">
      <alignment vertical="center"/>
    </xf>
    <xf numFmtId="0" fontId="20" fillId="19" borderId="0" xfId="0" applyFont="1" applyFill="1" applyBorder="1" applyAlignment="1" applyProtection="1">
      <alignment vertical="center"/>
    </xf>
    <xf numFmtId="0" fontId="20" fillId="19" borderId="0" xfId="0" applyFont="1" applyFill="1" applyBorder="1" applyAlignment="1" applyProtection="1">
      <alignment horizontal="right" vertical="center"/>
    </xf>
    <xf numFmtId="0" fontId="16" fillId="19" borderId="13" xfId="0" applyFont="1" applyFill="1" applyBorder="1" applyAlignment="1" applyProtection="1">
      <alignment horizontal="center" vertical="center"/>
    </xf>
    <xf numFmtId="9" fontId="21" fillId="19" borderId="0" xfId="0" applyNumberFormat="1" applyFont="1" applyFill="1" applyAlignment="1" applyProtection="1">
      <alignment horizontal="center" vertical="center" wrapText="1"/>
    </xf>
    <xf numFmtId="9" fontId="21" fillId="19" borderId="0" xfId="0" applyNumberFormat="1" applyFont="1" applyFill="1" applyAlignment="1" applyProtection="1">
      <alignment horizontal="right" vertical="center"/>
    </xf>
    <xf numFmtId="0" fontId="12" fillId="19" borderId="3" xfId="0" applyFont="1" applyFill="1" applyBorder="1" applyAlignment="1" applyProtection="1">
      <alignment vertical="center"/>
    </xf>
    <xf numFmtId="0" fontId="12" fillId="19" borderId="5" xfId="0" applyFont="1" applyFill="1" applyBorder="1" applyAlignment="1" applyProtection="1">
      <alignment vertical="center"/>
    </xf>
    <xf numFmtId="0" fontId="11" fillId="19" borderId="25" xfId="0" applyFont="1" applyFill="1" applyBorder="1" applyAlignment="1" applyProtection="1">
      <alignment vertical="center"/>
    </xf>
    <xf numFmtId="0" fontId="5" fillId="19" borderId="25" xfId="0" applyFont="1" applyFill="1" applyBorder="1" applyAlignment="1" applyProtection="1">
      <alignment vertical="center"/>
    </xf>
    <xf numFmtId="0" fontId="11" fillId="19" borderId="23" xfId="0" applyFont="1" applyFill="1" applyBorder="1" applyAlignment="1" applyProtection="1">
      <alignment vertical="center"/>
    </xf>
    <xf numFmtId="0" fontId="11" fillId="19" borderId="24" xfId="0" applyFont="1" applyFill="1" applyBorder="1" applyAlignment="1" applyProtection="1">
      <alignment vertical="center"/>
    </xf>
    <xf numFmtId="0" fontId="11" fillId="19" borderId="0" xfId="0" applyFont="1" applyFill="1" applyBorder="1" applyAlignment="1">
      <alignment horizontal="center" vertical="center"/>
    </xf>
    <xf numFmtId="0" fontId="27" fillId="19" borderId="0" xfId="143" applyFont="1" applyFill="1" applyBorder="1" applyAlignment="1">
      <alignment horizontal="left" vertical="center"/>
    </xf>
    <xf numFmtId="0" fontId="11" fillId="19" borderId="0" xfId="0" applyFont="1" applyFill="1" applyAlignment="1">
      <alignment vertical="center"/>
    </xf>
    <xf numFmtId="0" fontId="12" fillId="19" borderId="0" xfId="0" applyFont="1" applyFill="1" applyBorder="1" applyAlignment="1">
      <alignment vertical="center"/>
    </xf>
    <xf numFmtId="0" fontId="12" fillId="19" borderId="0" xfId="0" applyFont="1" applyFill="1" applyBorder="1" applyAlignment="1">
      <alignment horizontal="center" vertical="center"/>
    </xf>
    <xf numFmtId="0" fontId="11" fillId="19" borderId="2" xfId="0" applyFont="1" applyFill="1" applyBorder="1" applyAlignment="1">
      <alignment vertical="center"/>
    </xf>
    <xf numFmtId="176" fontId="11" fillId="19" borderId="0" xfId="0" applyNumberFormat="1" applyFont="1" applyFill="1" applyBorder="1" applyAlignment="1">
      <alignment vertical="center"/>
    </xf>
    <xf numFmtId="170" fontId="11" fillId="19" borderId="0" xfId="0" applyNumberFormat="1" applyFont="1" applyFill="1" applyBorder="1" applyAlignment="1">
      <alignment vertical="center"/>
    </xf>
    <xf numFmtId="179" fontId="11" fillId="19" borderId="0" xfId="0" applyNumberFormat="1" applyFont="1" applyFill="1" applyBorder="1" applyAlignment="1">
      <alignment vertical="center"/>
    </xf>
    <xf numFmtId="0" fontId="12" fillId="19" borderId="2" xfId="0" applyFont="1" applyFill="1" applyBorder="1" applyAlignment="1">
      <alignment vertical="center"/>
    </xf>
    <xf numFmtId="0" fontId="11" fillId="19" borderId="2" xfId="0" applyFont="1" applyFill="1" applyBorder="1" applyAlignment="1">
      <alignment horizontal="center" vertical="center"/>
    </xf>
    <xf numFmtId="0" fontId="12" fillId="19" borderId="0" xfId="0" applyFont="1" applyFill="1" applyAlignment="1">
      <alignment vertical="center"/>
    </xf>
    <xf numFmtId="0" fontId="12" fillId="19" borderId="0" xfId="0" quotePrefix="1" applyFont="1" applyFill="1" applyAlignment="1">
      <alignment vertical="center"/>
    </xf>
    <xf numFmtId="0" fontId="23" fillId="19" borderId="0" xfId="0" applyFont="1" applyFill="1" applyBorder="1" applyAlignment="1">
      <alignment vertical="center"/>
    </xf>
    <xf numFmtId="0" fontId="14" fillId="19" borderId="0" xfId="0" applyFont="1" applyFill="1" applyBorder="1" applyAlignment="1">
      <alignment horizontal="center" vertical="center"/>
    </xf>
    <xf numFmtId="0" fontId="36" fillId="19" borderId="0" xfId="0" applyFont="1" applyFill="1" applyAlignment="1">
      <alignment vertical="center"/>
    </xf>
    <xf numFmtId="0" fontId="11" fillId="19" borderId="0" xfId="0" applyFont="1" applyFill="1" applyBorder="1" applyAlignment="1">
      <alignment horizontal="center" vertical="center"/>
    </xf>
    <xf numFmtId="164" fontId="11" fillId="19" borderId="0" xfId="1" applyNumberFormat="1" applyFont="1" applyFill="1" applyBorder="1" applyAlignment="1">
      <alignment horizontal="center" vertical="center"/>
    </xf>
    <xf numFmtId="9" fontId="11" fillId="19" borderId="0" xfId="1" applyFont="1" applyFill="1" applyBorder="1" applyAlignment="1">
      <alignment horizontal="center" vertical="center"/>
    </xf>
    <xf numFmtId="182" fontId="12" fillId="19" borderId="0" xfId="3" applyNumberFormat="1" applyFont="1" applyFill="1" applyBorder="1" applyAlignment="1">
      <alignment horizontal="right" vertical="center"/>
    </xf>
    <xf numFmtId="167" fontId="11" fillId="19" borderId="0" xfId="3" applyNumberFormat="1" applyFont="1" applyFill="1" applyBorder="1" applyAlignment="1">
      <alignment horizontal="right" vertical="center"/>
    </xf>
    <xf numFmtId="0" fontId="11" fillId="19" borderId="1" xfId="0" applyFont="1" applyFill="1" applyBorder="1" applyAlignment="1">
      <alignment vertical="center"/>
    </xf>
    <xf numFmtId="0" fontId="11" fillId="19" borderId="0" xfId="0" applyFont="1" applyFill="1" applyAlignment="1">
      <alignment horizontal="center" vertical="center"/>
    </xf>
    <xf numFmtId="10" fontId="5" fillId="15" borderId="12" xfId="0" applyNumberFormat="1" applyFont="1" applyFill="1" applyBorder="1" applyAlignment="1" applyProtection="1">
      <alignment horizontal="center" vertical="center"/>
    </xf>
    <xf numFmtId="10" fontId="11" fillId="15" borderId="12" xfId="1" applyNumberFormat="1" applyFont="1" applyFill="1" applyBorder="1" applyAlignment="1" applyProtection="1">
      <alignment horizontal="center" vertical="center"/>
    </xf>
    <xf numFmtId="10" fontId="11" fillId="15" borderId="0" xfId="1" applyNumberFormat="1" applyFont="1" applyFill="1" applyBorder="1" applyAlignment="1" applyProtection="1">
      <alignment horizontal="center" vertical="center"/>
    </xf>
    <xf numFmtId="10" fontId="11" fillId="15" borderId="27" xfId="1" applyNumberFormat="1" applyFont="1" applyFill="1" applyBorder="1" applyAlignment="1" applyProtection="1">
      <alignment horizontal="center" vertical="center"/>
    </xf>
    <xf numFmtId="10" fontId="11" fillId="14" borderId="28" xfId="1" applyNumberFormat="1" applyFont="1" applyFill="1" applyBorder="1" applyAlignment="1" applyProtection="1">
      <alignment horizontal="center" vertical="center"/>
    </xf>
    <xf numFmtId="10" fontId="11" fillId="14" borderId="0" xfId="1" applyNumberFormat="1" applyFont="1" applyFill="1" applyBorder="1" applyAlignment="1" applyProtection="1">
      <alignment horizontal="center" vertical="center"/>
    </xf>
    <xf numFmtId="10" fontId="11" fillId="14" borderId="27" xfId="1" applyNumberFormat="1" applyFont="1" applyFill="1" applyBorder="1" applyAlignment="1" applyProtection="1">
      <alignment horizontal="center" vertical="center"/>
    </xf>
    <xf numFmtId="10" fontId="34" fillId="15" borderId="6" xfId="0" applyNumberFormat="1" applyFont="1" applyFill="1" applyBorder="1" applyAlignment="1" applyProtection="1">
      <alignment horizontal="center" vertical="center"/>
      <protection locked="0"/>
    </xf>
    <xf numFmtId="10" fontId="34" fillId="15" borderId="1" xfId="0" applyNumberFormat="1" applyFont="1" applyFill="1" applyBorder="1" applyAlignment="1" applyProtection="1">
      <alignment horizontal="center" vertical="center"/>
      <protection locked="0"/>
    </xf>
    <xf numFmtId="10" fontId="34" fillId="15" borderId="7" xfId="0" applyNumberFormat="1" applyFont="1" applyFill="1" applyBorder="1" applyAlignment="1" applyProtection="1">
      <alignment horizontal="center" vertical="center"/>
      <protection locked="0"/>
    </xf>
    <xf numFmtId="10" fontId="5" fillId="14" borderId="6" xfId="0" applyNumberFormat="1" applyFont="1" applyFill="1" applyBorder="1" applyAlignment="1" applyProtection="1">
      <alignment horizontal="center" vertical="center"/>
    </xf>
    <xf numFmtId="10" fontId="5" fillId="14" borderId="1" xfId="0" applyNumberFormat="1" applyFont="1" applyFill="1" applyBorder="1" applyAlignment="1" applyProtection="1">
      <alignment horizontal="center" vertical="center"/>
    </xf>
    <xf numFmtId="10" fontId="5" fillId="14" borderId="7" xfId="0" applyNumberFormat="1" applyFont="1" applyFill="1" applyBorder="1" applyAlignment="1" applyProtection="1">
      <alignment horizontal="center" vertical="center"/>
    </xf>
    <xf numFmtId="10" fontId="12" fillId="15" borderId="6" xfId="0" applyNumberFormat="1" applyFont="1" applyFill="1" applyBorder="1" applyAlignment="1" applyProtection="1">
      <alignment horizontal="center" vertical="center"/>
    </xf>
    <xf numFmtId="10" fontId="12" fillId="15" borderId="1" xfId="0" applyNumberFormat="1" applyFont="1" applyFill="1" applyBorder="1" applyAlignment="1" applyProtection="1">
      <alignment horizontal="center" vertical="center"/>
    </xf>
    <xf numFmtId="10" fontId="12" fillId="14" borderId="6" xfId="0" applyNumberFormat="1" applyFont="1" applyFill="1" applyBorder="1" applyAlignment="1" applyProtection="1">
      <alignment horizontal="center" vertical="center"/>
    </xf>
    <xf numFmtId="10" fontId="12" fillId="14" borderId="1" xfId="0" applyNumberFormat="1" applyFont="1" applyFill="1" applyBorder="1" applyAlignment="1" applyProtection="1">
      <alignment horizontal="center" vertical="center"/>
    </xf>
    <xf numFmtId="10" fontId="12" fillId="14" borderId="7" xfId="0" applyNumberFormat="1" applyFont="1" applyFill="1" applyBorder="1" applyAlignment="1" applyProtection="1">
      <alignment horizontal="center" vertical="center"/>
    </xf>
    <xf numFmtId="10" fontId="34" fillId="15" borderId="12" xfId="0" applyNumberFormat="1" applyFont="1" applyFill="1" applyBorder="1" applyAlignment="1" applyProtection="1">
      <alignment horizontal="center" vertical="center"/>
      <protection locked="0"/>
    </xf>
    <xf numFmtId="10" fontId="34" fillId="15" borderId="13" xfId="0" applyNumberFormat="1" applyFont="1" applyFill="1" applyBorder="1" applyAlignment="1" applyProtection="1">
      <alignment horizontal="center" vertical="center"/>
      <protection locked="0"/>
    </xf>
    <xf numFmtId="10" fontId="34" fillId="17" borderId="27" xfId="0" applyNumberFormat="1" applyFont="1" applyFill="1" applyBorder="1" applyAlignment="1" applyProtection="1">
      <alignment horizontal="center" vertical="center"/>
      <protection locked="0"/>
    </xf>
    <xf numFmtId="10" fontId="5" fillId="14" borderId="12" xfId="0" applyNumberFormat="1" applyFont="1" applyFill="1" applyBorder="1" applyAlignment="1" applyProtection="1">
      <alignment horizontal="center" vertical="center"/>
    </xf>
    <xf numFmtId="10" fontId="5" fillId="14" borderId="28" xfId="0" applyNumberFormat="1" applyFont="1" applyFill="1" applyBorder="1" applyAlignment="1" applyProtection="1">
      <alignment horizontal="center" vertical="center"/>
    </xf>
    <xf numFmtId="10" fontId="5" fillId="14" borderId="13" xfId="0" applyNumberFormat="1" applyFont="1" applyFill="1" applyBorder="1" applyAlignment="1" applyProtection="1">
      <alignment horizontal="center" vertical="center"/>
    </xf>
    <xf numFmtId="10" fontId="5" fillId="14" borderId="26" xfId="0" applyNumberFormat="1" applyFont="1" applyFill="1" applyBorder="1" applyAlignment="1" applyProtection="1">
      <alignment horizontal="center" vertical="center"/>
    </xf>
    <xf numFmtId="10" fontId="34" fillId="15" borderId="0" xfId="0" applyNumberFormat="1" applyFont="1" applyFill="1" applyBorder="1" applyAlignment="1" applyProtection="1">
      <alignment horizontal="center" vertical="center"/>
      <protection locked="0"/>
    </xf>
    <xf numFmtId="10" fontId="5" fillId="14" borderId="0" xfId="0" applyNumberFormat="1" applyFont="1" applyFill="1" applyBorder="1" applyAlignment="1" applyProtection="1">
      <alignment horizontal="center" vertical="center"/>
    </xf>
    <xf numFmtId="10" fontId="5" fillId="14" borderId="27" xfId="0" applyNumberFormat="1" applyFont="1" applyFill="1" applyBorder="1" applyAlignment="1" applyProtection="1">
      <alignment horizontal="center" vertical="center"/>
    </xf>
    <xf numFmtId="10" fontId="34" fillId="17" borderId="7" xfId="0" applyNumberFormat="1" applyFont="1" applyFill="1" applyBorder="1" applyAlignment="1" applyProtection="1">
      <alignment horizontal="center" vertical="center"/>
      <protection locked="0"/>
    </xf>
    <xf numFmtId="10" fontId="12" fillId="15" borderId="6" xfId="1" applyNumberFormat="1" applyFont="1" applyFill="1" applyBorder="1" applyAlignment="1" applyProtection="1">
      <alignment horizontal="center" vertical="center"/>
    </xf>
    <xf numFmtId="10" fontId="12" fillId="15" borderId="4" xfId="1" applyNumberFormat="1" applyFont="1" applyFill="1" applyBorder="1" applyAlignment="1" applyProtection="1">
      <alignment horizontal="center" vertical="center"/>
    </xf>
    <xf numFmtId="10" fontId="12" fillId="15" borderId="2" xfId="1" applyNumberFormat="1" applyFont="1" applyFill="1" applyBorder="1" applyAlignment="1" applyProtection="1">
      <alignment horizontal="center" vertical="center"/>
    </xf>
    <xf numFmtId="10" fontId="12" fillId="15" borderId="5" xfId="1" applyNumberFormat="1" applyFont="1" applyFill="1" applyBorder="1" applyAlignment="1" applyProtection="1">
      <alignment horizontal="center" vertical="center"/>
    </xf>
    <xf numFmtId="10" fontId="12" fillId="14" borderId="6" xfId="1" applyNumberFormat="1" applyFont="1" applyFill="1" applyBorder="1" applyAlignment="1" applyProtection="1">
      <alignment horizontal="center" vertical="center"/>
    </xf>
    <xf numFmtId="10" fontId="12" fillId="14" borderId="1" xfId="1" applyNumberFormat="1" applyFont="1" applyFill="1" applyBorder="1" applyAlignment="1" applyProtection="1">
      <alignment horizontal="center" vertical="center"/>
    </xf>
    <xf numFmtId="10" fontId="12" fillId="14" borderId="7" xfId="1" applyNumberFormat="1" applyFont="1" applyFill="1" applyBorder="1" applyAlignment="1" applyProtection="1">
      <alignment horizontal="center" vertical="center"/>
    </xf>
    <xf numFmtId="0" fontId="12" fillId="14" borderId="3" xfId="0" applyFont="1" applyFill="1" applyBorder="1" applyAlignment="1" applyProtection="1">
      <alignment horizontal="center" vertical="center" wrapText="1"/>
    </xf>
    <xf numFmtId="0" fontId="11" fillId="28" borderId="25" xfId="0" applyFont="1" applyFill="1" applyBorder="1" applyAlignment="1" applyProtection="1">
      <alignment vertical="center"/>
    </xf>
    <xf numFmtId="2" fontId="34" fillId="28" borderId="23" xfId="145" applyNumberFormat="1" applyFont="1" applyFill="1" applyBorder="1" applyAlignment="1">
      <alignment horizontal="center" vertical="center"/>
    </xf>
    <xf numFmtId="164" fontId="11" fillId="28" borderId="23" xfId="1" applyNumberFormat="1" applyFont="1" applyFill="1" applyBorder="1" applyAlignment="1" applyProtection="1">
      <alignment horizontal="center" vertical="center"/>
    </xf>
    <xf numFmtId="164" fontId="34" fillId="28" borderId="24" xfId="1" applyNumberFormat="1" applyFont="1" applyFill="1" applyBorder="1" applyAlignment="1" applyProtection="1">
      <alignment horizontal="center" vertical="center"/>
    </xf>
    <xf numFmtId="0" fontId="11" fillId="28" borderId="23" xfId="0" applyFont="1" applyFill="1" applyBorder="1" applyAlignment="1" applyProtection="1">
      <alignment vertical="center"/>
    </xf>
    <xf numFmtId="164" fontId="11" fillId="28" borderId="23" xfId="0" applyNumberFormat="1" applyFont="1" applyFill="1" applyBorder="1" applyAlignment="1" applyProtection="1">
      <alignment horizontal="center" vertical="center"/>
    </xf>
    <xf numFmtId="0" fontId="34" fillId="28" borderId="23" xfId="0" applyFont="1" applyFill="1" applyBorder="1" applyAlignment="1" applyProtection="1">
      <alignment horizontal="center" vertical="center"/>
    </xf>
    <xf numFmtId="164" fontId="34" fillId="28" borderId="23" xfId="1" applyNumberFormat="1" applyFont="1" applyFill="1" applyBorder="1" applyAlignment="1" applyProtection="1">
      <alignment horizontal="center" vertical="center"/>
    </xf>
    <xf numFmtId="0" fontId="11" fillId="19" borderId="0" xfId="0" applyFont="1" applyFill="1" applyBorder="1" applyAlignment="1" applyProtection="1">
      <alignment horizontal="right" vertical="center"/>
    </xf>
    <xf numFmtId="0" fontId="17" fillId="19" borderId="0" xfId="0" applyFont="1" applyFill="1" applyBorder="1" applyAlignment="1" applyProtection="1">
      <alignment horizontal="right" vertical="center"/>
    </xf>
    <xf numFmtId="0" fontId="12" fillId="19" borderId="0" xfId="0" applyFont="1" applyFill="1" applyBorder="1" applyAlignment="1" applyProtection="1">
      <alignment horizontal="left" vertical="center"/>
    </xf>
    <xf numFmtId="37" fontId="18" fillId="19" borderId="0" xfId="0" applyNumberFormat="1" applyFont="1" applyFill="1" applyAlignment="1" applyProtection="1">
      <alignment horizontal="center" vertical="center"/>
    </xf>
    <xf numFmtId="168" fontId="18" fillId="19" borderId="0" xfId="0" applyNumberFormat="1" applyFont="1" applyFill="1" applyAlignment="1" applyProtection="1">
      <alignment horizontal="center" vertical="center"/>
    </xf>
    <xf numFmtId="9" fontId="18" fillId="19" borderId="0" xfId="1" applyNumberFormat="1" applyFont="1" applyFill="1" applyAlignment="1" applyProtection="1">
      <alignment horizontal="center" vertical="center"/>
    </xf>
    <xf numFmtId="0" fontId="20" fillId="19" borderId="0" xfId="0" applyFont="1" applyFill="1" applyAlignment="1" applyProtection="1">
      <alignment horizontal="right" vertical="center"/>
    </xf>
    <xf numFmtId="10" fontId="11" fillId="19" borderId="0" xfId="0" applyNumberFormat="1" applyFont="1" applyFill="1" applyAlignment="1" applyProtection="1">
      <alignment vertical="center"/>
    </xf>
    <xf numFmtId="0" fontId="21" fillId="19" borderId="0" xfId="0" applyFont="1" applyFill="1" applyAlignment="1" applyProtection="1">
      <alignment horizontal="center" vertical="center" wrapText="1"/>
    </xf>
    <xf numFmtId="184" fontId="11" fillId="19" borderId="0" xfId="0" applyNumberFormat="1" applyFont="1" applyFill="1" applyAlignment="1" applyProtection="1">
      <alignment vertical="center"/>
    </xf>
    <xf numFmtId="174" fontId="11" fillId="19" borderId="0" xfId="0" applyNumberFormat="1" applyFont="1" applyFill="1" applyAlignment="1" applyProtection="1">
      <alignment vertical="center"/>
    </xf>
    <xf numFmtId="0" fontId="12" fillId="19" borderId="4" xfId="0" applyFont="1" applyFill="1" applyBorder="1" applyAlignment="1" applyProtection="1">
      <alignment horizontal="left" vertical="center"/>
    </xf>
    <xf numFmtId="0" fontId="11" fillId="19" borderId="2" xfId="0" applyFont="1" applyFill="1" applyBorder="1" applyAlignment="1" applyProtection="1">
      <alignment horizontal="center" vertical="center"/>
    </xf>
    <xf numFmtId="0" fontId="11" fillId="19" borderId="5" xfId="0" applyFont="1" applyFill="1" applyBorder="1" applyAlignment="1" applyProtection="1">
      <alignment horizontal="center" vertical="center"/>
    </xf>
    <xf numFmtId="0" fontId="11" fillId="19" borderId="0" xfId="0" applyFont="1" applyFill="1" applyBorder="1" applyAlignment="1" applyProtection="1">
      <alignment horizontal="left" vertical="center"/>
    </xf>
    <xf numFmtId="0" fontId="11" fillId="19" borderId="1" xfId="0" applyFont="1" applyFill="1" applyBorder="1" applyAlignment="1" applyProtection="1">
      <alignment horizontal="left" vertical="center"/>
    </xf>
    <xf numFmtId="0" fontId="11" fillId="19" borderId="1" xfId="0" applyFont="1" applyFill="1" applyBorder="1" applyAlignment="1" applyProtection="1">
      <alignment vertical="center"/>
    </xf>
    <xf numFmtId="0" fontId="11" fillId="19" borderId="7" xfId="0" applyFont="1" applyFill="1" applyBorder="1" applyAlignment="1" applyProtection="1">
      <alignment horizontal="center" vertical="center"/>
    </xf>
    <xf numFmtId="0" fontId="12" fillId="19" borderId="4" xfId="0" applyFont="1" applyFill="1" applyBorder="1" applyAlignment="1" applyProtection="1">
      <alignment vertical="center"/>
    </xf>
    <xf numFmtId="0" fontId="11" fillId="19" borderId="5" xfId="0" applyFont="1" applyFill="1" applyBorder="1" applyAlignment="1" applyProtection="1">
      <alignment vertical="center"/>
    </xf>
    <xf numFmtId="0" fontId="34" fillId="19" borderId="0" xfId="0" applyFont="1" applyFill="1" applyAlignment="1" applyProtection="1">
      <alignment vertical="center"/>
    </xf>
    <xf numFmtId="0" fontId="34" fillId="19" borderId="1" xfId="0" applyFont="1" applyFill="1" applyBorder="1" applyAlignment="1" applyProtection="1">
      <alignment vertical="center"/>
    </xf>
    <xf numFmtId="0" fontId="20" fillId="19" borderId="0" xfId="0" applyFont="1" applyFill="1" applyAlignment="1" applyProtection="1">
      <alignment horizontal="center" vertical="center"/>
    </xf>
    <xf numFmtId="0" fontId="12" fillId="19" borderId="0" xfId="0" applyFont="1" applyFill="1" applyAlignment="1" applyProtection="1">
      <alignment horizontal="center" vertical="center"/>
    </xf>
    <xf numFmtId="0" fontId="34" fillId="19" borderId="2" xfId="0" applyFont="1" applyFill="1" applyBorder="1" applyAlignment="1" applyProtection="1">
      <alignment vertical="center"/>
    </xf>
    <xf numFmtId="0" fontId="11" fillId="19" borderId="4" xfId="0" applyFont="1" applyFill="1" applyBorder="1" applyAlignment="1" applyProtection="1">
      <alignment horizontal="left" vertical="center"/>
    </xf>
    <xf numFmtId="0" fontId="12" fillId="19" borderId="13" xfId="0" applyFont="1" applyFill="1" applyBorder="1" applyAlignment="1" applyProtection="1">
      <alignment horizontal="left" vertical="center"/>
    </xf>
    <xf numFmtId="0" fontId="37" fillId="19" borderId="13" xfId="0" applyFont="1" applyFill="1" applyBorder="1" applyAlignment="1" applyProtection="1">
      <alignment vertical="center"/>
    </xf>
    <xf numFmtId="0" fontId="11" fillId="19" borderId="13" xfId="0" applyFont="1" applyFill="1" applyBorder="1" applyAlignment="1" applyProtection="1">
      <alignment vertical="center"/>
    </xf>
    <xf numFmtId="0" fontId="14" fillId="19" borderId="2" xfId="0" applyFont="1" applyFill="1" applyBorder="1" applyAlignment="1" applyProtection="1">
      <alignment vertical="center"/>
    </xf>
    <xf numFmtId="0" fontId="12" fillId="19" borderId="3" xfId="0" applyFont="1" applyFill="1" applyBorder="1" applyAlignment="1" applyProtection="1">
      <alignment horizontal="center" vertical="center" wrapText="1"/>
    </xf>
    <xf numFmtId="10" fontId="11" fillId="19" borderId="0" xfId="1" applyNumberFormat="1" applyFont="1" applyFill="1" applyAlignment="1" applyProtection="1">
      <alignment vertical="center"/>
    </xf>
    <xf numFmtId="164" fontId="11" fillId="19" borderId="0" xfId="0" applyNumberFormat="1" applyFont="1" applyFill="1" applyAlignment="1" applyProtection="1">
      <alignment horizontal="center" vertical="center"/>
    </xf>
    <xf numFmtId="0" fontId="12" fillId="19" borderId="4" xfId="0" applyFont="1" applyFill="1" applyBorder="1" applyAlignment="1" applyProtection="1">
      <alignment horizontal="center" vertical="center" wrapText="1"/>
    </xf>
    <xf numFmtId="0" fontId="12" fillId="19" borderId="2" xfId="0" applyFont="1" applyFill="1" applyBorder="1" applyAlignment="1" applyProtection="1">
      <alignment horizontal="center" vertical="center" wrapText="1"/>
    </xf>
    <xf numFmtId="0" fontId="12" fillId="19" borderId="5" xfId="0" applyFont="1" applyFill="1" applyBorder="1" applyAlignment="1" applyProtection="1">
      <alignment horizontal="center" vertical="center" wrapText="1"/>
    </xf>
    <xf numFmtId="0" fontId="22" fillId="19" borderId="0" xfId="0" applyFont="1" applyFill="1" applyAlignment="1" applyProtection="1">
      <alignment vertical="center"/>
    </xf>
    <xf numFmtId="0" fontId="12" fillId="19" borderId="0" xfId="0" applyFont="1" applyFill="1" applyBorder="1" applyAlignment="1" applyProtection="1">
      <alignment vertical="center" wrapText="1"/>
    </xf>
    <xf numFmtId="9" fontId="11" fillId="19" borderId="0" xfId="0" applyNumberFormat="1" applyFont="1" applyFill="1" applyAlignment="1" applyProtection="1">
      <alignment vertical="center"/>
    </xf>
    <xf numFmtId="0" fontId="34" fillId="19" borderId="3" xfId="0" applyFont="1" applyFill="1" applyBorder="1" applyAlignment="1" applyProtection="1">
      <alignment horizontal="center" vertical="center"/>
      <protection locked="0"/>
    </xf>
    <xf numFmtId="0" fontId="11" fillId="19" borderId="1" xfId="0" applyFont="1" applyFill="1" applyBorder="1" applyAlignment="1" applyProtection="1">
      <alignment horizontal="center" vertical="center"/>
    </xf>
    <xf numFmtId="0" fontId="12" fillId="19" borderId="13" xfId="0" applyFont="1" applyFill="1" applyBorder="1" applyAlignment="1" applyProtection="1">
      <alignment vertical="center"/>
    </xf>
    <xf numFmtId="0" fontId="14" fillId="19" borderId="13" xfId="0" applyFont="1" applyFill="1" applyBorder="1" applyAlignment="1" applyProtection="1">
      <alignment vertical="center"/>
    </xf>
    <xf numFmtId="0" fontId="14" fillId="19" borderId="0" xfId="0" applyFont="1" applyFill="1" applyBorder="1" applyAlignment="1" applyProtection="1">
      <alignment vertical="center"/>
    </xf>
    <xf numFmtId="0" fontId="21" fillId="19" borderId="0" xfId="0" applyFont="1" applyFill="1" applyAlignment="1" applyProtection="1">
      <alignment horizontal="left" vertical="center"/>
    </xf>
    <xf numFmtId="0" fontId="20" fillId="19" borderId="13" xfId="0" applyFont="1" applyFill="1" applyBorder="1" applyAlignment="1" applyProtection="1">
      <alignment vertical="center"/>
    </xf>
    <xf numFmtId="0" fontId="11" fillId="19" borderId="13" xfId="0" applyFont="1" applyFill="1" applyBorder="1" applyAlignment="1" applyProtection="1">
      <alignment horizontal="center" vertical="center"/>
    </xf>
    <xf numFmtId="0" fontId="11" fillId="19" borderId="28" xfId="0" applyFont="1" applyFill="1" applyBorder="1" applyAlignment="1" applyProtection="1">
      <alignment vertical="center"/>
    </xf>
    <xf numFmtId="0" fontId="11" fillId="19" borderId="12" xfId="0" applyFont="1" applyFill="1" applyBorder="1" applyAlignment="1" applyProtection="1">
      <alignment vertical="center"/>
    </xf>
    <xf numFmtId="0" fontId="11" fillId="19" borderId="6" xfId="0" applyFont="1" applyFill="1" applyBorder="1" applyAlignment="1" applyProtection="1">
      <alignment vertical="center"/>
    </xf>
    <xf numFmtId="0" fontId="37" fillId="19" borderId="28" xfId="0" applyFont="1" applyFill="1" applyBorder="1" applyAlignment="1" applyProtection="1">
      <alignment horizontal="center" vertical="center"/>
    </xf>
    <xf numFmtId="0" fontId="37" fillId="19" borderId="26" xfId="0" applyFont="1" applyFill="1" applyBorder="1" applyAlignment="1" applyProtection="1">
      <alignment horizontal="center" vertical="center"/>
    </xf>
    <xf numFmtId="9" fontId="18" fillId="19" borderId="26" xfId="0" applyNumberFormat="1" applyFont="1" applyFill="1" applyBorder="1" applyAlignment="1" applyProtection="1">
      <alignment horizontal="center" vertical="center"/>
    </xf>
    <xf numFmtId="0" fontId="34" fillId="19" borderId="26" xfId="0" applyFont="1" applyFill="1" applyBorder="1" applyAlignment="1" applyProtection="1">
      <alignment vertical="center"/>
    </xf>
    <xf numFmtId="9" fontId="18" fillId="19" borderId="7" xfId="0" applyNumberFormat="1" applyFont="1" applyFill="1" applyBorder="1" applyAlignment="1" applyProtection="1">
      <alignment horizontal="center" vertical="center"/>
    </xf>
    <xf numFmtId="9" fontId="34" fillId="19" borderId="12" xfId="0" applyNumberFormat="1" applyFont="1" applyFill="1" applyBorder="1" applyAlignment="1" applyProtection="1">
      <alignment horizontal="center" vertical="center"/>
    </xf>
    <xf numFmtId="9" fontId="34" fillId="19" borderId="27" xfId="0" applyNumberFormat="1" applyFont="1" applyFill="1" applyBorder="1" applyAlignment="1" applyProtection="1">
      <alignment horizontal="center" vertical="center"/>
    </xf>
    <xf numFmtId="0" fontId="11" fillId="19" borderId="26" xfId="0" applyFont="1" applyFill="1" applyBorder="1" applyAlignment="1" applyProtection="1">
      <alignment vertical="center"/>
    </xf>
    <xf numFmtId="166" fontId="18" fillId="19" borderId="0" xfId="0" applyNumberFormat="1" applyFont="1" applyFill="1" applyBorder="1" applyAlignment="1" applyProtection="1">
      <alignment horizontal="left" vertical="center"/>
    </xf>
    <xf numFmtId="166" fontId="18" fillId="19" borderId="1" xfId="0" applyNumberFormat="1" applyFont="1" applyFill="1" applyBorder="1" applyAlignment="1" applyProtection="1">
      <alignment horizontal="center" vertical="center"/>
    </xf>
    <xf numFmtId="166" fontId="18" fillId="19" borderId="0" xfId="0" applyNumberFormat="1" applyFont="1" applyFill="1" applyAlignment="1" applyProtection="1">
      <alignment horizontal="center" vertical="center"/>
    </xf>
    <xf numFmtId="166" fontId="18" fillId="19" borderId="0" xfId="0" applyNumberFormat="1" applyFont="1" applyFill="1" applyBorder="1" applyAlignment="1" applyProtection="1">
      <alignment horizontal="center" vertical="center"/>
    </xf>
    <xf numFmtId="37" fontId="11" fillId="19" borderId="0" xfId="0" applyNumberFormat="1" applyFont="1" applyFill="1" applyAlignment="1" applyProtection="1">
      <alignment vertical="center"/>
    </xf>
    <xf numFmtId="9" fontId="18" fillId="19" borderId="0" xfId="1" applyNumberFormat="1" applyFont="1" applyFill="1" applyAlignment="1" applyProtection="1">
      <alignment vertical="center"/>
    </xf>
    <xf numFmtId="37" fontId="18" fillId="19" borderId="0" xfId="2" applyNumberFormat="1" applyFont="1" applyFill="1" applyAlignment="1" applyProtection="1">
      <alignment horizontal="center" vertical="center"/>
    </xf>
    <xf numFmtId="9" fontId="11" fillId="19" borderId="0" xfId="1" applyFont="1" applyFill="1" applyAlignment="1" applyProtection="1">
      <alignment horizontal="center" vertical="center"/>
    </xf>
    <xf numFmtId="9" fontId="18" fillId="19" borderId="0" xfId="0" applyNumberFormat="1" applyFont="1" applyFill="1" applyAlignment="1" applyProtection="1">
      <alignment horizontal="center" vertical="center"/>
    </xf>
    <xf numFmtId="0" fontId="19" fillId="19" borderId="0" xfId="0" applyFont="1" applyFill="1" applyAlignment="1">
      <alignment vertical="center"/>
    </xf>
    <xf numFmtId="180" fontId="11" fillId="19" borderId="0" xfId="0" applyNumberFormat="1" applyFont="1" applyFill="1" applyAlignment="1" applyProtection="1">
      <alignment vertical="center"/>
    </xf>
    <xf numFmtId="0" fontId="11" fillId="0" borderId="0" xfId="0" applyFont="1" applyAlignment="1" applyProtection="1">
      <alignment vertical="center"/>
      <protection locked="0"/>
    </xf>
    <xf numFmtId="0" fontId="12" fillId="0" borderId="1" xfId="0" applyFont="1" applyBorder="1" applyAlignment="1">
      <alignment horizontal="center" vertical="center"/>
    </xf>
    <xf numFmtId="0" fontId="11" fillId="0" borderId="0" xfId="0" applyFont="1" applyBorder="1" applyAlignment="1">
      <alignment horizontal="center" vertical="center"/>
    </xf>
    <xf numFmtId="0" fontId="12" fillId="2" borderId="14" xfId="0" applyFont="1" applyFill="1" applyBorder="1" applyAlignment="1">
      <alignment vertical="center"/>
    </xf>
    <xf numFmtId="0" fontId="11" fillId="2" borderId="15" xfId="0" applyFont="1" applyFill="1" applyBorder="1" applyAlignment="1">
      <alignment vertical="center"/>
    </xf>
    <xf numFmtId="0" fontId="11" fillId="2" borderId="16" xfId="0" applyFont="1" applyFill="1" applyBorder="1" applyAlignment="1">
      <alignment vertical="center"/>
    </xf>
    <xf numFmtId="0" fontId="11" fillId="2" borderId="17" xfId="0" applyFont="1" applyFill="1" applyBorder="1" applyAlignment="1">
      <alignment vertical="center"/>
    </xf>
    <xf numFmtId="0" fontId="11" fillId="2" borderId="0" xfId="0" applyFont="1" applyFill="1" applyBorder="1" applyAlignment="1">
      <alignment vertical="center"/>
    </xf>
    <xf numFmtId="0" fontId="11" fillId="2" borderId="18" xfId="0" applyFont="1" applyFill="1" applyBorder="1" applyAlignment="1">
      <alignment vertical="center"/>
    </xf>
    <xf numFmtId="37" fontId="11" fillId="2" borderId="0" xfId="0" applyNumberFormat="1" applyFont="1" applyFill="1" applyBorder="1" applyAlignment="1">
      <alignment vertical="center"/>
    </xf>
    <xf numFmtId="0" fontId="11" fillId="2" borderId="0" xfId="0" applyFont="1" applyFill="1" applyBorder="1" applyAlignment="1">
      <alignment horizontal="center" vertical="center"/>
    </xf>
    <xf numFmtId="169" fontId="11" fillId="2" borderId="0" xfId="2" applyNumberFormat="1" applyFont="1" applyFill="1" applyBorder="1" applyAlignment="1">
      <alignment vertical="center"/>
    </xf>
    <xf numFmtId="169" fontId="11" fillId="2" borderId="18" xfId="2" applyNumberFormat="1" applyFont="1" applyFill="1" applyBorder="1" applyAlignment="1">
      <alignment vertical="center"/>
    </xf>
    <xf numFmtId="0" fontId="12" fillId="2" borderId="22" xfId="0" applyFont="1" applyFill="1" applyBorder="1" applyAlignment="1">
      <alignment vertical="center"/>
    </xf>
    <xf numFmtId="0" fontId="11" fillId="2" borderId="1" xfId="0" applyFont="1" applyFill="1" applyBorder="1" applyAlignment="1">
      <alignment vertical="center"/>
    </xf>
    <xf numFmtId="0" fontId="11" fillId="2" borderId="1" xfId="0" applyFont="1" applyFill="1" applyBorder="1" applyAlignment="1">
      <alignment horizontal="center" vertical="center"/>
    </xf>
    <xf numFmtId="0" fontId="11" fillId="2" borderId="29" xfId="0" applyFont="1" applyFill="1" applyBorder="1" applyAlignment="1">
      <alignment horizontal="center" vertical="center"/>
    </xf>
    <xf numFmtId="170" fontId="11" fillId="2" borderId="0" xfId="2" applyNumberFormat="1" applyFont="1" applyFill="1" applyBorder="1" applyAlignment="1">
      <alignment vertical="center"/>
    </xf>
    <xf numFmtId="170" fontId="11" fillId="2" borderId="18" xfId="2" applyNumberFormat="1" applyFont="1" applyFill="1" applyBorder="1" applyAlignment="1">
      <alignment vertical="center"/>
    </xf>
    <xf numFmtId="0" fontId="12" fillId="2" borderId="17" xfId="0" applyFont="1" applyFill="1" applyBorder="1" applyAlignment="1">
      <alignment vertical="center"/>
    </xf>
    <xf numFmtId="0" fontId="11" fillId="2" borderId="22" xfId="0" applyFont="1" applyFill="1" applyBorder="1" applyAlignment="1">
      <alignment vertical="center"/>
    </xf>
    <xf numFmtId="164" fontId="11" fillId="2" borderId="0" xfId="1" applyNumberFormat="1" applyFont="1" applyFill="1" applyBorder="1" applyAlignment="1">
      <alignment horizontal="right" vertical="center"/>
    </xf>
    <xf numFmtId="0" fontId="12" fillId="2" borderId="8" xfId="0" applyFont="1" applyFill="1" applyBorder="1" applyAlignment="1">
      <alignment vertical="center"/>
    </xf>
    <xf numFmtId="0" fontId="12" fillId="2" borderId="9" xfId="0" applyFont="1" applyFill="1" applyBorder="1" applyAlignment="1">
      <alignment vertical="center"/>
    </xf>
    <xf numFmtId="0" fontId="12" fillId="2" borderId="9" xfId="0" applyFont="1" applyFill="1" applyBorder="1" applyAlignment="1">
      <alignment horizontal="center" vertical="center"/>
    </xf>
    <xf numFmtId="0" fontId="12" fillId="2" borderId="19" xfId="0" applyFont="1" applyFill="1" applyBorder="1" applyAlignment="1">
      <alignment vertical="center"/>
    </xf>
    <xf numFmtId="0" fontId="12" fillId="2" borderId="20" xfId="0" applyFont="1" applyFill="1" applyBorder="1" applyAlignment="1">
      <alignment vertical="center"/>
    </xf>
    <xf numFmtId="0" fontId="12" fillId="2" borderId="20" xfId="0" applyFont="1" applyFill="1" applyBorder="1" applyAlignment="1">
      <alignment horizontal="center" vertical="center"/>
    </xf>
    <xf numFmtId="0" fontId="11" fillId="2" borderId="20" xfId="0" applyFont="1" applyFill="1" applyBorder="1" applyAlignment="1">
      <alignment vertical="center"/>
    </xf>
    <xf numFmtId="0" fontId="11" fillId="2" borderId="21" xfId="0" applyFont="1" applyFill="1" applyBorder="1" applyAlignment="1">
      <alignment vertical="center"/>
    </xf>
    <xf numFmtId="0" fontId="12" fillId="6" borderId="14" xfId="0" applyFont="1" applyFill="1" applyBorder="1" applyAlignment="1">
      <alignment vertical="center"/>
    </xf>
    <xf numFmtId="0" fontId="12" fillId="6" borderId="15" xfId="0" applyFont="1" applyFill="1" applyBorder="1" applyAlignment="1">
      <alignment vertical="center"/>
    </xf>
    <xf numFmtId="0" fontId="12" fillId="6" borderId="16" xfId="0" applyFont="1" applyFill="1" applyBorder="1" applyAlignment="1">
      <alignment vertical="center"/>
    </xf>
    <xf numFmtId="0" fontId="11" fillId="6" borderId="17" xfId="0" applyFont="1" applyFill="1" applyBorder="1" applyAlignment="1">
      <alignment vertical="center"/>
    </xf>
    <xf numFmtId="0" fontId="11" fillId="6" borderId="0" xfId="0" applyFont="1" applyFill="1" applyBorder="1" applyAlignment="1">
      <alignment vertical="center"/>
    </xf>
    <xf numFmtId="0" fontId="11" fillId="6" borderId="18" xfId="0" applyFont="1" applyFill="1" applyBorder="1" applyAlignment="1">
      <alignment vertical="center"/>
    </xf>
    <xf numFmtId="37" fontId="11" fillId="6" borderId="0" xfId="0" applyNumberFormat="1" applyFont="1" applyFill="1" applyBorder="1" applyAlignment="1">
      <alignment vertical="center"/>
    </xf>
    <xf numFmtId="0" fontId="11" fillId="6" borderId="0" xfId="0" applyFont="1" applyFill="1" applyBorder="1" applyAlignment="1">
      <alignment horizontal="center" vertical="center"/>
    </xf>
    <xf numFmtId="169" fontId="11" fillId="6" borderId="0" xfId="2" applyNumberFormat="1" applyFont="1" applyFill="1" applyBorder="1" applyAlignment="1">
      <alignment vertical="center"/>
    </xf>
    <xf numFmtId="169" fontId="11" fillId="6" borderId="18" xfId="2" applyNumberFormat="1" applyFont="1" applyFill="1" applyBorder="1" applyAlignment="1">
      <alignment vertical="center"/>
    </xf>
    <xf numFmtId="0" fontId="12" fillId="6" borderId="22" xfId="0" applyFont="1" applyFill="1" applyBorder="1" applyAlignment="1">
      <alignment vertical="center"/>
    </xf>
    <xf numFmtId="0" fontId="11" fillId="6" borderId="1" xfId="0" applyFont="1" applyFill="1" applyBorder="1" applyAlignment="1">
      <alignment vertical="center"/>
    </xf>
    <xf numFmtId="0" fontId="11" fillId="6" borderId="1" xfId="0" applyFont="1" applyFill="1" applyBorder="1" applyAlignment="1">
      <alignment horizontal="center" vertical="center"/>
    </xf>
    <xf numFmtId="0" fontId="11" fillId="6" borderId="29" xfId="0" applyFont="1" applyFill="1" applyBorder="1" applyAlignment="1">
      <alignment horizontal="center" vertical="center"/>
    </xf>
    <xf numFmtId="181" fontId="11" fillId="6" borderId="0" xfId="2" applyNumberFormat="1" applyFont="1" applyFill="1" applyBorder="1" applyAlignment="1">
      <alignment vertical="center"/>
    </xf>
    <xf numFmtId="181" fontId="11" fillId="6" borderId="18" xfId="2" applyNumberFormat="1" applyFont="1" applyFill="1" applyBorder="1" applyAlignment="1">
      <alignment vertical="center"/>
    </xf>
    <xf numFmtId="0" fontId="12" fillId="6" borderId="17" xfId="0" applyFont="1" applyFill="1" applyBorder="1" applyAlignment="1">
      <alignment vertical="center"/>
    </xf>
    <xf numFmtId="0" fontId="11" fillId="6" borderId="22" xfId="0" applyFont="1" applyFill="1" applyBorder="1" applyAlignment="1">
      <alignment vertical="center"/>
    </xf>
    <xf numFmtId="164" fontId="11" fillId="6" borderId="0" xfId="1" applyNumberFormat="1" applyFont="1" applyFill="1" applyBorder="1" applyAlignment="1">
      <alignment horizontal="right" vertical="center"/>
    </xf>
    <xf numFmtId="0" fontId="12" fillId="6" borderId="8" xfId="0" applyFont="1" applyFill="1" applyBorder="1" applyAlignment="1">
      <alignment vertical="center"/>
    </xf>
    <xf numFmtId="0" fontId="12" fillId="6" borderId="9" xfId="0" applyFont="1" applyFill="1" applyBorder="1" applyAlignment="1">
      <alignment vertical="center"/>
    </xf>
    <xf numFmtId="0" fontId="12" fillId="6" borderId="9" xfId="0" applyFont="1" applyFill="1" applyBorder="1" applyAlignment="1">
      <alignment horizontal="center" vertical="center"/>
    </xf>
    <xf numFmtId="0" fontId="11" fillId="6" borderId="19" xfId="0" applyFont="1" applyFill="1" applyBorder="1" applyAlignment="1">
      <alignment vertical="center"/>
    </xf>
    <xf numFmtId="0" fontId="11" fillId="6" borderId="20" xfId="0" applyFont="1" applyFill="1" applyBorder="1" applyAlignment="1">
      <alignment vertical="center"/>
    </xf>
    <xf numFmtId="0" fontId="11" fillId="6" borderId="21" xfId="0" applyFont="1" applyFill="1" applyBorder="1" applyAlignment="1">
      <alignment vertical="center"/>
    </xf>
    <xf numFmtId="0" fontId="12" fillId="7" borderId="14" xfId="0" applyFont="1" applyFill="1" applyBorder="1" applyAlignment="1">
      <alignment vertical="center"/>
    </xf>
    <xf numFmtId="0" fontId="12" fillId="7" borderId="15" xfId="0" applyFont="1" applyFill="1" applyBorder="1" applyAlignment="1">
      <alignment vertical="center"/>
    </xf>
    <xf numFmtId="0" fontId="12" fillId="7" borderId="16" xfId="0" applyFont="1" applyFill="1" applyBorder="1" applyAlignment="1">
      <alignment vertical="center"/>
    </xf>
    <xf numFmtId="0" fontId="11" fillId="7" borderId="17" xfId="0" applyFont="1" applyFill="1" applyBorder="1" applyAlignment="1">
      <alignment vertical="center"/>
    </xf>
    <xf numFmtId="0" fontId="11" fillId="7" borderId="0" xfId="0" applyFont="1" applyFill="1" applyBorder="1" applyAlignment="1">
      <alignment vertical="center"/>
    </xf>
    <xf numFmtId="0" fontId="11" fillId="7" borderId="18" xfId="0" applyFont="1" applyFill="1" applyBorder="1" applyAlignment="1">
      <alignment vertical="center"/>
    </xf>
    <xf numFmtId="37" fontId="11" fillId="7" borderId="0" xfId="0" applyNumberFormat="1" applyFont="1" applyFill="1" applyBorder="1" applyAlignment="1">
      <alignment vertical="center"/>
    </xf>
    <xf numFmtId="0" fontId="11" fillId="7" borderId="0" xfId="0" applyFont="1" applyFill="1" applyBorder="1" applyAlignment="1">
      <alignment horizontal="center" vertical="center"/>
    </xf>
    <xf numFmtId="169" fontId="11" fillId="7" borderId="0" xfId="2" applyNumberFormat="1" applyFont="1" applyFill="1" applyBorder="1" applyAlignment="1">
      <alignment vertical="center"/>
    </xf>
    <xf numFmtId="169" fontId="11" fillId="7" borderId="18" xfId="2" applyNumberFormat="1" applyFont="1" applyFill="1" applyBorder="1" applyAlignment="1">
      <alignment vertical="center"/>
    </xf>
    <xf numFmtId="0" fontId="12" fillId="7" borderId="22" xfId="0" applyFont="1" applyFill="1" applyBorder="1" applyAlignment="1">
      <alignment vertical="center"/>
    </xf>
    <xf numFmtId="0" fontId="11" fillId="7" borderId="1" xfId="0" applyFont="1" applyFill="1" applyBorder="1" applyAlignment="1">
      <alignment vertical="center"/>
    </xf>
    <xf numFmtId="0" fontId="11" fillId="7" borderId="1" xfId="0" applyFont="1" applyFill="1" applyBorder="1" applyAlignment="1">
      <alignment horizontal="center" vertical="center"/>
    </xf>
    <xf numFmtId="0" fontId="11" fillId="7" borderId="29" xfId="0" applyFont="1" applyFill="1" applyBorder="1" applyAlignment="1">
      <alignment horizontal="center" vertical="center"/>
    </xf>
    <xf numFmtId="181" fontId="11" fillId="7" borderId="0" xfId="2" applyNumberFormat="1" applyFont="1" applyFill="1" applyBorder="1" applyAlignment="1">
      <alignment vertical="center"/>
    </xf>
    <xf numFmtId="181" fontId="11" fillId="7" borderId="18" xfId="2" applyNumberFormat="1" applyFont="1" applyFill="1" applyBorder="1" applyAlignment="1">
      <alignment vertical="center"/>
    </xf>
    <xf numFmtId="181" fontId="11" fillId="7" borderId="0" xfId="0" applyNumberFormat="1" applyFont="1" applyFill="1" applyBorder="1" applyAlignment="1">
      <alignment vertical="center"/>
    </xf>
    <xf numFmtId="181" fontId="11" fillId="7" borderId="18" xfId="0" applyNumberFormat="1" applyFont="1" applyFill="1" applyBorder="1" applyAlignment="1">
      <alignment vertical="center"/>
    </xf>
    <xf numFmtId="0" fontId="12" fillId="7" borderId="17" xfId="0" applyFont="1" applyFill="1" applyBorder="1" applyAlignment="1">
      <alignment vertical="center"/>
    </xf>
    <xf numFmtId="0" fontId="11" fillId="7" borderId="22" xfId="0" applyFont="1" applyFill="1" applyBorder="1" applyAlignment="1">
      <alignment vertical="center"/>
    </xf>
    <xf numFmtId="173" fontId="11" fillId="7" borderId="0" xfId="3" applyNumberFormat="1" applyFont="1" applyFill="1" applyBorder="1" applyAlignment="1">
      <alignment vertical="center"/>
    </xf>
    <xf numFmtId="173" fontId="11" fillId="7" borderId="18" xfId="3" applyNumberFormat="1" applyFont="1" applyFill="1" applyBorder="1" applyAlignment="1">
      <alignment vertical="center"/>
    </xf>
    <xf numFmtId="164" fontId="11" fillId="7" borderId="0" xfId="1" applyNumberFormat="1" applyFont="1" applyFill="1" applyBorder="1" applyAlignment="1">
      <alignment horizontal="right" vertical="center"/>
    </xf>
    <xf numFmtId="169" fontId="11" fillId="7" borderId="0" xfId="2" applyNumberFormat="1" applyFont="1" applyFill="1" applyBorder="1" applyAlignment="1">
      <alignment horizontal="right" vertical="center"/>
    </xf>
    <xf numFmtId="0" fontId="12" fillId="7" borderId="8" xfId="0" applyFont="1" applyFill="1" applyBorder="1" applyAlignment="1">
      <alignment vertical="center"/>
    </xf>
    <xf numFmtId="0" fontId="12" fillId="7" borderId="9" xfId="0" applyFont="1" applyFill="1" applyBorder="1" applyAlignment="1">
      <alignment vertical="center"/>
    </xf>
    <xf numFmtId="0" fontId="12" fillId="7" borderId="9" xfId="0" applyFont="1" applyFill="1" applyBorder="1" applyAlignment="1">
      <alignment horizontal="center" vertical="center"/>
    </xf>
    <xf numFmtId="0" fontId="11" fillId="7" borderId="19" xfId="0" applyFont="1" applyFill="1" applyBorder="1" applyAlignment="1">
      <alignment vertical="center"/>
    </xf>
    <xf numFmtId="0" fontId="11" fillId="7" borderId="20" xfId="0" applyFont="1" applyFill="1" applyBorder="1" applyAlignment="1">
      <alignment vertical="center"/>
    </xf>
    <xf numFmtId="0" fontId="11" fillId="7" borderId="21" xfId="0" applyFont="1" applyFill="1" applyBorder="1" applyAlignment="1">
      <alignment vertical="center"/>
    </xf>
    <xf numFmtId="0" fontId="12" fillId="8" borderId="14" xfId="0" applyFont="1" applyFill="1" applyBorder="1" applyAlignment="1">
      <alignment vertical="center"/>
    </xf>
    <xf numFmtId="0" fontId="12" fillId="8" borderId="15" xfId="0" applyFont="1" applyFill="1" applyBorder="1" applyAlignment="1">
      <alignment vertical="center"/>
    </xf>
    <xf numFmtId="0" fontId="12" fillId="8" borderId="16" xfId="0" applyFont="1" applyFill="1" applyBorder="1" applyAlignment="1">
      <alignment vertical="center"/>
    </xf>
    <xf numFmtId="0" fontId="11" fillId="8" borderId="17" xfId="0" applyFont="1" applyFill="1" applyBorder="1" applyAlignment="1">
      <alignment vertical="center"/>
    </xf>
    <xf numFmtId="0" fontId="11" fillId="8" borderId="0" xfId="0" applyFont="1" applyFill="1" applyBorder="1" applyAlignment="1">
      <alignment vertical="center"/>
    </xf>
    <xf numFmtId="0" fontId="11" fillId="8" borderId="18" xfId="0" applyFont="1" applyFill="1" applyBorder="1" applyAlignment="1">
      <alignment vertical="center"/>
    </xf>
    <xf numFmtId="37" fontId="11" fillId="8" borderId="0" xfId="0" applyNumberFormat="1" applyFont="1" applyFill="1" applyBorder="1" applyAlignment="1">
      <alignment vertical="center"/>
    </xf>
    <xf numFmtId="0" fontId="11" fillId="8" borderId="0" xfId="0" applyFont="1" applyFill="1" applyBorder="1" applyAlignment="1">
      <alignment horizontal="center" vertical="center"/>
    </xf>
    <xf numFmtId="169" fontId="11" fillId="8" borderId="0" xfId="2" applyNumberFormat="1" applyFont="1" applyFill="1" applyBorder="1" applyAlignment="1">
      <alignment vertical="center"/>
    </xf>
    <xf numFmtId="169" fontId="11" fillId="8" borderId="18" xfId="2" applyNumberFormat="1" applyFont="1" applyFill="1" applyBorder="1" applyAlignment="1">
      <alignment vertical="center"/>
    </xf>
    <xf numFmtId="0" fontId="12" fillId="8" borderId="22" xfId="0" applyFont="1" applyFill="1" applyBorder="1" applyAlignment="1">
      <alignment vertical="center"/>
    </xf>
    <xf numFmtId="0" fontId="11" fillId="8" borderId="1" xfId="0" applyFont="1" applyFill="1" applyBorder="1" applyAlignment="1">
      <alignment vertical="center"/>
    </xf>
    <xf numFmtId="0" fontId="11" fillId="8" borderId="1" xfId="0" applyFont="1" applyFill="1" applyBorder="1" applyAlignment="1">
      <alignment horizontal="center" vertical="center"/>
    </xf>
    <xf numFmtId="0" fontId="11" fillId="8" borderId="29" xfId="0" applyFont="1" applyFill="1" applyBorder="1" applyAlignment="1">
      <alignment horizontal="center" vertical="center"/>
    </xf>
    <xf numFmtId="181" fontId="11" fillId="8" borderId="0" xfId="2" applyNumberFormat="1" applyFont="1" applyFill="1" applyBorder="1" applyAlignment="1">
      <alignment vertical="center"/>
    </xf>
    <xf numFmtId="181" fontId="11" fillId="8" borderId="18" xfId="2" applyNumberFormat="1" applyFont="1" applyFill="1" applyBorder="1" applyAlignment="1">
      <alignment vertical="center"/>
    </xf>
    <xf numFmtId="0" fontId="12" fillId="8" borderId="17" xfId="0" applyFont="1" applyFill="1" applyBorder="1" applyAlignment="1">
      <alignment vertical="center"/>
    </xf>
    <xf numFmtId="0" fontId="11" fillId="8" borderId="22" xfId="0" applyFont="1" applyFill="1" applyBorder="1" applyAlignment="1">
      <alignment vertical="center"/>
    </xf>
    <xf numFmtId="164" fontId="11" fillId="8" borderId="0" xfId="1" applyNumberFormat="1" applyFont="1" applyFill="1" applyBorder="1" applyAlignment="1">
      <alignment horizontal="right" vertical="center"/>
    </xf>
    <xf numFmtId="169" fontId="11" fillId="8" borderId="0" xfId="2" applyNumberFormat="1" applyFont="1" applyFill="1" applyBorder="1" applyAlignment="1">
      <alignment horizontal="right" vertical="center"/>
    </xf>
    <xf numFmtId="0" fontId="12" fillId="8" borderId="8" xfId="0" applyFont="1" applyFill="1" applyBorder="1" applyAlignment="1">
      <alignment vertical="center"/>
    </xf>
    <xf numFmtId="0" fontId="12" fillId="8" borderId="9" xfId="0" applyFont="1" applyFill="1" applyBorder="1" applyAlignment="1">
      <alignment vertical="center"/>
    </xf>
    <xf numFmtId="0" fontId="12" fillId="8" borderId="9" xfId="0" applyFont="1" applyFill="1" applyBorder="1" applyAlignment="1">
      <alignment horizontal="center" vertical="center"/>
    </xf>
    <xf numFmtId="0" fontId="12" fillId="8" borderId="19" xfId="0" applyFont="1" applyFill="1" applyBorder="1" applyAlignment="1">
      <alignment vertical="center"/>
    </xf>
    <xf numFmtId="0" fontId="12" fillId="8" borderId="20" xfId="0" applyFont="1" applyFill="1" applyBorder="1" applyAlignment="1">
      <alignment vertical="center"/>
    </xf>
    <xf numFmtId="0" fontId="12" fillId="8" borderId="20" xfId="0" applyFont="1" applyFill="1" applyBorder="1" applyAlignment="1">
      <alignment horizontal="center" vertical="center"/>
    </xf>
    <xf numFmtId="0" fontId="11" fillId="8" borderId="20" xfId="0" applyFont="1" applyFill="1" applyBorder="1" applyAlignment="1">
      <alignment vertical="center"/>
    </xf>
    <xf numFmtId="0" fontId="11" fillId="8" borderId="21" xfId="0" applyFont="1" applyFill="1" applyBorder="1" applyAlignment="1">
      <alignment vertical="center"/>
    </xf>
    <xf numFmtId="0" fontId="12" fillId="9" borderId="14" xfId="0" applyFont="1" applyFill="1" applyBorder="1" applyAlignment="1">
      <alignment vertical="center"/>
    </xf>
    <xf numFmtId="0" fontId="12" fillId="9" borderId="15" xfId="0" applyFont="1" applyFill="1" applyBorder="1" applyAlignment="1">
      <alignment vertical="center"/>
    </xf>
    <xf numFmtId="0" fontId="12" fillId="9" borderId="16" xfId="0" applyFont="1" applyFill="1" applyBorder="1" applyAlignment="1">
      <alignment vertical="center"/>
    </xf>
    <xf numFmtId="0" fontId="11" fillId="9" borderId="17" xfId="0" applyFont="1" applyFill="1" applyBorder="1" applyAlignment="1">
      <alignment vertical="center"/>
    </xf>
    <xf numFmtId="0" fontId="11" fillId="9" borderId="0" xfId="0" applyFont="1" applyFill="1" applyBorder="1" applyAlignment="1">
      <alignment vertical="center"/>
    </xf>
    <xf numFmtId="0" fontId="11" fillId="9" borderId="18" xfId="0" applyFont="1" applyFill="1" applyBorder="1" applyAlignment="1">
      <alignment vertical="center"/>
    </xf>
    <xf numFmtId="37" fontId="11" fillId="9" borderId="0" xfId="0" applyNumberFormat="1" applyFont="1" applyFill="1" applyBorder="1" applyAlignment="1">
      <alignment vertical="center"/>
    </xf>
    <xf numFmtId="0" fontId="11" fillId="9" borderId="0" xfId="0" applyFont="1" applyFill="1" applyBorder="1" applyAlignment="1">
      <alignment horizontal="center" vertical="center"/>
    </xf>
    <xf numFmtId="169" fontId="11" fillId="9" borderId="0" xfId="2" applyNumberFormat="1" applyFont="1" applyFill="1" applyBorder="1" applyAlignment="1">
      <alignment vertical="center"/>
    </xf>
    <xf numFmtId="169" fontId="11" fillId="9" borderId="18" xfId="2" applyNumberFormat="1" applyFont="1" applyFill="1" applyBorder="1" applyAlignment="1">
      <alignment vertical="center"/>
    </xf>
    <xf numFmtId="0" fontId="12" fillId="9" borderId="22" xfId="0" applyFont="1" applyFill="1" applyBorder="1" applyAlignment="1">
      <alignment vertical="center"/>
    </xf>
    <xf numFmtId="0" fontId="11" fillId="9" borderId="1" xfId="0" applyFont="1" applyFill="1" applyBorder="1" applyAlignment="1">
      <alignment vertical="center"/>
    </xf>
    <xf numFmtId="0" fontId="11" fillId="9" borderId="1" xfId="0" applyFont="1" applyFill="1" applyBorder="1" applyAlignment="1">
      <alignment horizontal="center" vertical="center"/>
    </xf>
    <xf numFmtId="0" fontId="11" fillId="9" borderId="29" xfId="0" applyFont="1" applyFill="1" applyBorder="1" applyAlignment="1">
      <alignment horizontal="center" vertical="center"/>
    </xf>
    <xf numFmtId="181" fontId="11" fillId="9" borderId="0" xfId="2" applyNumberFormat="1" applyFont="1" applyFill="1" applyBorder="1" applyAlignment="1">
      <alignment vertical="center"/>
    </xf>
    <xf numFmtId="181" fontId="11" fillId="9" borderId="18" xfId="2" applyNumberFormat="1" applyFont="1" applyFill="1" applyBorder="1" applyAlignment="1">
      <alignment vertical="center"/>
    </xf>
    <xf numFmtId="0" fontId="12" fillId="9" borderId="17" xfId="0" applyFont="1" applyFill="1" applyBorder="1" applyAlignment="1">
      <alignment vertical="center"/>
    </xf>
    <xf numFmtId="0" fontId="11" fillId="9" borderId="22" xfId="0" applyFont="1" applyFill="1" applyBorder="1" applyAlignment="1">
      <alignment vertical="center"/>
    </xf>
    <xf numFmtId="164" fontId="11" fillId="9" borderId="0" xfId="1" applyNumberFormat="1" applyFont="1" applyFill="1" applyBorder="1" applyAlignment="1">
      <alignment horizontal="right" vertical="center"/>
    </xf>
    <xf numFmtId="169" fontId="11" fillId="9" borderId="0" xfId="2" applyNumberFormat="1" applyFont="1" applyFill="1" applyBorder="1" applyAlignment="1">
      <alignment horizontal="right" vertical="center"/>
    </xf>
    <xf numFmtId="0" fontId="12" fillId="9" borderId="8" xfId="0" applyFont="1" applyFill="1" applyBorder="1" applyAlignment="1">
      <alignment vertical="center"/>
    </xf>
    <xf numFmtId="0" fontId="12" fillId="9" borderId="9" xfId="0" applyFont="1" applyFill="1" applyBorder="1" applyAlignment="1">
      <alignment vertical="center"/>
    </xf>
    <xf numFmtId="0" fontId="12" fillId="9" borderId="9" xfId="0" applyFont="1" applyFill="1" applyBorder="1" applyAlignment="1">
      <alignment horizontal="center" vertical="center"/>
    </xf>
    <xf numFmtId="0" fontId="12" fillId="9" borderId="19" xfId="0" applyFont="1" applyFill="1" applyBorder="1" applyAlignment="1">
      <alignment vertical="center"/>
    </xf>
    <xf numFmtId="0" fontId="12" fillId="9" borderId="20" xfId="0" applyFont="1" applyFill="1" applyBorder="1" applyAlignment="1">
      <alignment vertical="center"/>
    </xf>
    <xf numFmtId="0" fontId="12" fillId="9" borderId="20" xfId="0" applyFont="1" applyFill="1" applyBorder="1" applyAlignment="1">
      <alignment horizontal="center" vertical="center"/>
    </xf>
    <xf numFmtId="0" fontId="11" fillId="9" borderId="20" xfId="0" applyFont="1" applyFill="1" applyBorder="1" applyAlignment="1">
      <alignment vertical="center"/>
    </xf>
    <xf numFmtId="0" fontId="11" fillId="9" borderId="21" xfId="0" applyFont="1" applyFill="1" applyBorder="1" applyAlignment="1">
      <alignment vertical="center"/>
    </xf>
    <xf numFmtId="0" fontId="12" fillId="5" borderId="14" xfId="0" applyFont="1" applyFill="1" applyBorder="1" applyAlignment="1">
      <alignment vertical="center"/>
    </xf>
    <xf numFmtId="0" fontId="12" fillId="5" borderId="15" xfId="0" applyFont="1" applyFill="1" applyBorder="1" applyAlignment="1">
      <alignment vertical="center"/>
    </xf>
    <xf numFmtId="0" fontId="12" fillId="5" borderId="16" xfId="0" applyFont="1" applyFill="1" applyBorder="1" applyAlignment="1">
      <alignment vertical="center"/>
    </xf>
    <xf numFmtId="0" fontId="11" fillId="5" borderId="17" xfId="0" applyFont="1" applyFill="1" applyBorder="1" applyAlignment="1">
      <alignment vertical="center"/>
    </xf>
    <xf numFmtId="0" fontId="11" fillId="5" borderId="0" xfId="0" applyFont="1" applyFill="1" applyBorder="1" applyAlignment="1">
      <alignment vertical="center"/>
    </xf>
    <xf numFmtId="0" fontId="11" fillId="5" borderId="18" xfId="0" applyFont="1" applyFill="1" applyBorder="1" applyAlignment="1">
      <alignment vertical="center"/>
    </xf>
    <xf numFmtId="37" fontId="11" fillId="5" borderId="0" xfId="0" applyNumberFormat="1" applyFont="1" applyFill="1" applyBorder="1" applyAlignment="1">
      <alignment vertical="center"/>
    </xf>
    <xf numFmtId="0" fontId="11" fillId="5" borderId="0" xfId="0" applyFont="1" applyFill="1" applyBorder="1" applyAlignment="1">
      <alignment horizontal="center" vertical="center"/>
    </xf>
    <xf numFmtId="169" fontId="11" fillId="5" borderId="0" xfId="2" applyNumberFormat="1" applyFont="1" applyFill="1" applyBorder="1" applyAlignment="1">
      <alignment vertical="center"/>
    </xf>
    <xf numFmtId="169" fontId="11" fillId="5" borderId="18" xfId="2" applyNumberFormat="1" applyFont="1" applyFill="1" applyBorder="1" applyAlignment="1">
      <alignment vertical="center"/>
    </xf>
    <xf numFmtId="0" fontId="12" fillId="5" borderId="22" xfId="0" applyFont="1" applyFill="1" applyBorder="1" applyAlignment="1">
      <alignment vertical="center"/>
    </xf>
    <xf numFmtId="0" fontId="11" fillId="5" borderId="1" xfId="0" applyFont="1" applyFill="1" applyBorder="1" applyAlignment="1">
      <alignment vertical="center"/>
    </xf>
    <xf numFmtId="0" fontId="11" fillId="5" borderId="1" xfId="0" applyFont="1" applyFill="1" applyBorder="1" applyAlignment="1">
      <alignment horizontal="center" vertical="center"/>
    </xf>
    <xf numFmtId="0" fontId="11" fillId="5" borderId="29" xfId="0" applyFont="1" applyFill="1" applyBorder="1" applyAlignment="1">
      <alignment horizontal="center" vertical="center"/>
    </xf>
    <xf numFmtId="181" fontId="11" fillId="5" borderId="0" xfId="0" applyNumberFormat="1" applyFont="1" applyFill="1" applyBorder="1" applyAlignment="1">
      <alignment vertical="center"/>
    </xf>
    <xf numFmtId="181" fontId="11" fillId="5" borderId="0" xfId="2" applyNumberFormat="1" applyFont="1" applyFill="1" applyBorder="1" applyAlignment="1">
      <alignment vertical="center"/>
    </xf>
    <xf numFmtId="181" fontId="11" fillId="5" borderId="18" xfId="2" applyNumberFormat="1" applyFont="1" applyFill="1" applyBorder="1" applyAlignment="1">
      <alignment vertical="center"/>
    </xf>
    <xf numFmtId="0" fontId="12" fillId="5" borderId="17" xfId="0" applyFont="1" applyFill="1" applyBorder="1" applyAlignment="1">
      <alignment vertical="center"/>
    </xf>
    <xf numFmtId="0" fontId="11" fillId="5" borderId="22" xfId="0" applyFont="1" applyFill="1" applyBorder="1" applyAlignment="1">
      <alignment vertical="center"/>
    </xf>
    <xf numFmtId="164" fontId="11" fillId="5" borderId="0" xfId="1" applyNumberFormat="1" applyFont="1" applyFill="1" applyBorder="1" applyAlignment="1">
      <alignment horizontal="right" vertical="center"/>
    </xf>
    <xf numFmtId="169" fontId="11" fillId="5" borderId="0" xfId="2" applyNumberFormat="1" applyFont="1" applyFill="1" applyBorder="1" applyAlignment="1">
      <alignment horizontal="right" vertical="center"/>
    </xf>
    <xf numFmtId="0" fontId="12" fillId="5" borderId="8" xfId="0" applyFont="1" applyFill="1" applyBorder="1" applyAlignment="1">
      <alignment vertical="center"/>
    </xf>
    <xf numFmtId="0" fontId="12" fillId="5" borderId="9" xfId="0" applyFont="1" applyFill="1" applyBorder="1" applyAlignment="1">
      <alignment vertical="center"/>
    </xf>
    <xf numFmtId="0" fontId="12" fillId="5" borderId="9" xfId="0" applyFont="1" applyFill="1" applyBorder="1" applyAlignment="1">
      <alignment horizontal="center" vertical="center"/>
    </xf>
    <xf numFmtId="0" fontId="12" fillId="5" borderId="19" xfId="0" applyFont="1" applyFill="1" applyBorder="1" applyAlignment="1">
      <alignment vertical="center"/>
    </xf>
    <xf numFmtId="0" fontId="12" fillId="5" borderId="20" xfId="0" applyFont="1" applyFill="1" applyBorder="1" applyAlignment="1">
      <alignment vertical="center"/>
    </xf>
    <xf numFmtId="0" fontId="12" fillId="5" borderId="20" xfId="0" applyFont="1" applyFill="1" applyBorder="1" applyAlignment="1">
      <alignment horizontal="center" vertical="center"/>
    </xf>
    <xf numFmtId="0" fontId="11" fillId="5" borderId="20" xfId="0" applyFont="1" applyFill="1" applyBorder="1" applyAlignment="1">
      <alignment vertical="center"/>
    </xf>
    <xf numFmtId="0" fontId="11" fillId="5" borderId="21" xfId="0" applyFont="1" applyFill="1" applyBorder="1" applyAlignment="1">
      <alignment vertical="center"/>
    </xf>
    <xf numFmtId="0" fontId="5" fillId="2" borderId="15" xfId="0" applyFont="1" applyFill="1" applyBorder="1" applyAlignment="1">
      <alignment vertical="center"/>
    </xf>
    <xf numFmtId="0" fontId="5" fillId="2" borderId="16" xfId="0" applyFont="1" applyFill="1" applyBorder="1" applyAlignment="1">
      <alignment vertical="center"/>
    </xf>
    <xf numFmtId="0" fontId="5" fillId="2" borderId="0" xfId="0" applyFont="1" applyFill="1" applyBorder="1" applyAlignment="1">
      <alignment vertical="center"/>
    </xf>
    <xf numFmtId="0" fontId="5" fillId="2" borderId="18" xfId="0" applyFont="1" applyFill="1" applyBorder="1" applyAlignment="1">
      <alignment vertical="center"/>
    </xf>
    <xf numFmtId="0" fontId="11" fillId="2" borderId="0" xfId="0" applyFont="1" applyFill="1" applyBorder="1" applyAlignment="1">
      <alignment horizontal="left" vertical="center"/>
    </xf>
    <xf numFmtId="37" fontId="5" fillId="2" borderId="0" xfId="0" applyNumberFormat="1" applyFont="1" applyFill="1" applyBorder="1" applyAlignment="1">
      <alignment vertical="center"/>
    </xf>
    <xf numFmtId="164" fontId="5" fillId="2" borderId="0" xfId="0" applyNumberFormat="1" applyFont="1" applyFill="1" applyBorder="1" applyAlignment="1">
      <alignment vertical="center"/>
    </xf>
    <xf numFmtId="0" fontId="20" fillId="2" borderId="0" xfId="0" applyFont="1" applyFill="1" applyBorder="1" applyAlignment="1">
      <alignment horizontal="left" vertical="center"/>
    </xf>
    <xf numFmtId="0" fontId="20" fillId="2" borderId="0" xfId="0" applyFont="1" applyFill="1" applyBorder="1" applyAlignment="1">
      <alignment vertical="center"/>
    </xf>
    <xf numFmtId="9" fontId="5" fillId="2" borderId="0" xfId="0" applyNumberFormat="1" applyFont="1" applyFill="1" applyBorder="1" applyAlignment="1">
      <alignment vertical="center"/>
    </xf>
    <xf numFmtId="43" fontId="5" fillId="2" borderId="0" xfId="2" applyFont="1" applyFill="1" applyBorder="1" applyAlignment="1">
      <alignment vertical="center"/>
    </xf>
    <xf numFmtId="0" fontId="5" fillId="2" borderId="1" xfId="0" applyFont="1" applyFill="1" applyBorder="1" applyAlignment="1">
      <alignment vertical="center"/>
    </xf>
    <xf numFmtId="0" fontId="11" fillId="2" borderId="19" xfId="0" applyFont="1" applyFill="1" applyBorder="1" applyAlignment="1">
      <alignment vertical="center"/>
    </xf>
    <xf numFmtId="0" fontId="5" fillId="2" borderId="20" xfId="0" applyFont="1" applyFill="1" applyBorder="1" applyAlignment="1">
      <alignment vertical="center"/>
    </xf>
    <xf numFmtId="0" fontId="5" fillId="2" borderId="21" xfId="0" applyFont="1" applyFill="1" applyBorder="1" applyAlignment="1">
      <alignment vertical="center"/>
    </xf>
    <xf numFmtId="0" fontId="24" fillId="6" borderId="15" xfId="0" applyFont="1" applyFill="1" applyBorder="1" applyAlignment="1">
      <alignment vertical="center"/>
    </xf>
    <xf numFmtId="0" fontId="24" fillId="6" borderId="16" xfId="0" applyFont="1" applyFill="1" applyBorder="1" applyAlignment="1">
      <alignment vertical="center"/>
    </xf>
    <xf numFmtId="0" fontId="5" fillId="6" borderId="0" xfId="0" applyFont="1" applyFill="1" applyBorder="1" applyAlignment="1">
      <alignment vertical="center"/>
    </xf>
    <xf numFmtId="0" fontId="5" fillId="6" borderId="18" xfId="0" applyFont="1" applyFill="1" applyBorder="1" applyAlignment="1">
      <alignment vertical="center"/>
    </xf>
    <xf numFmtId="0" fontId="11" fillId="6" borderId="0" xfId="0" applyFont="1" applyFill="1" applyBorder="1" applyAlignment="1">
      <alignment horizontal="left" vertical="center"/>
    </xf>
    <xf numFmtId="37" fontId="5" fillId="6" borderId="0" xfId="0" applyNumberFormat="1" applyFont="1" applyFill="1" applyBorder="1" applyAlignment="1">
      <alignment vertical="center"/>
    </xf>
    <xf numFmtId="164" fontId="5" fillId="6" borderId="0" xfId="0" applyNumberFormat="1" applyFont="1" applyFill="1" applyBorder="1" applyAlignment="1">
      <alignment vertical="center"/>
    </xf>
    <xf numFmtId="0" fontId="20" fillId="6" borderId="0" xfId="0" applyFont="1" applyFill="1" applyBorder="1" applyAlignment="1">
      <alignment horizontal="left" vertical="center"/>
    </xf>
    <xf numFmtId="0" fontId="20" fillId="6" borderId="0" xfId="0" applyFont="1" applyFill="1" applyBorder="1" applyAlignment="1">
      <alignment vertical="center"/>
    </xf>
    <xf numFmtId="9" fontId="5" fillId="6" borderId="0" xfId="0" applyNumberFormat="1" applyFont="1" applyFill="1" applyBorder="1" applyAlignment="1">
      <alignment vertical="center"/>
    </xf>
    <xf numFmtId="181" fontId="5" fillId="6" borderId="0" xfId="0" applyNumberFormat="1" applyFont="1" applyFill="1" applyBorder="1" applyAlignment="1">
      <alignment vertical="center"/>
    </xf>
    <xf numFmtId="181" fontId="5" fillId="6" borderId="18" xfId="0" applyNumberFormat="1" applyFont="1" applyFill="1" applyBorder="1" applyAlignment="1">
      <alignment vertical="center"/>
    </xf>
    <xf numFmtId="43" fontId="5" fillId="6" borderId="0" xfId="2" applyFont="1" applyFill="1" applyBorder="1" applyAlignment="1">
      <alignment vertical="center"/>
    </xf>
    <xf numFmtId="0" fontId="5" fillId="6" borderId="1" xfId="0" applyFont="1" applyFill="1" applyBorder="1" applyAlignment="1">
      <alignment vertical="center"/>
    </xf>
    <xf numFmtId="0" fontId="5" fillId="6" borderId="20" xfId="0" applyFont="1" applyFill="1" applyBorder="1" applyAlignment="1">
      <alignment vertical="center"/>
    </xf>
    <xf numFmtId="0" fontId="11" fillId="7" borderId="0" xfId="0" applyFont="1" applyFill="1" applyBorder="1" applyAlignment="1">
      <alignment horizontal="left" vertical="center"/>
    </xf>
    <xf numFmtId="164" fontId="11" fillId="7" borderId="0" xfId="0" applyNumberFormat="1" applyFont="1" applyFill="1" applyBorder="1" applyAlignment="1">
      <alignment horizontal="right" vertical="center"/>
    </xf>
    <xf numFmtId="0" fontId="20" fillId="7" borderId="0" xfId="0" applyFont="1" applyFill="1" applyBorder="1" applyAlignment="1">
      <alignment horizontal="left" vertical="center"/>
    </xf>
    <xf numFmtId="0" fontId="20" fillId="7" borderId="0" xfId="0" applyFont="1" applyFill="1" applyBorder="1" applyAlignment="1">
      <alignment vertical="center"/>
    </xf>
    <xf numFmtId="164" fontId="11" fillId="7" borderId="0" xfId="0" applyNumberFormat="1" applyFont="1" applyFill="1" applyBorder="1" applyAlignment="1">
      <alignment vertical="center"/>
    </xf>
    <xf numFmtId="9" fontId="11" fillId="7" borderId="0" xfId="0" applyNumberFormat="1" applyFont="1" applyFill="1" applyBorder="1" applyAlignment="1">
      <alignment vertical="center"/>
    </xf>
    <xf numFmtId="43" fontId="11" fillId="7" borderId="0" xfId="2" applyFont="1" applyFill="1" applyBorder="1" applyAlignment="1">
      <alignment vertical="center"/>
    </xf>
    <xf numFmtId="0" fontId="11" fillId="8" borderId="0" xfId="0" applyFont="1" applyFill="1" applyBorder="1" applyAlignment="1">
      <alignment horizontal="left" vertical="center"/>
    </xf>
    <xf numFmtId="164" fontId="11" fillId="8" borderId="0" xfId="0" applyNumberFormat="1" applyFont="1" applyFill="1" applyBorder="1" applyAlignment="1">
      <alignment vertical="center"/>
    </xf>
    <xf numFmtId="0" fontId="20" fillId="8" borderId="0" xfId="0" applyFont="1" applyFill="1" applyBorder="1" applyAlignment="1">
      <alignment horizontal="left" vertical="center"/>
    </xf>
    <xf numFmtId="0" fontId="20" fillId="8" borderId="0" xfId="0" applyFont="1" applyFill="1" applyBorder="1" applyAlignment="1">
      <alignment vertical="center"/>
    </xf>
    <xf numFmtId="9" fontId="11" fillId="8" borderId="0" xfId="0" applyNumberFormat="1" applyFont="1" applyFill="1" applyBorder="1" applyAlignment="1">
      <alignment vertical="center"/>
    </xf>
    <xf numFmtId="43" fontId="11" fillId="8" borderId="0" xfId="2" applyFont="1" applyFill="1" applyBorder="1" applyAlignment="1">
      <alignment vertical="center"/>
    </xf>
    <xf numFmtId="0" fontId="11" fillId="8" borderId="19" xfId="0" applyFont="1" applyFill="1" applyBorder="1" applyAlignment="1">
      <alignment vertical="center"/>
    </xf>
    <xf numFmtId="0" fontId="11" fillId="9" borderId="0" xfId="0" applyFont="1" applyFill="1" applyBorder="1" applyAlignment="1">
      <alignment horizontal="left" vertical="center"/>
    </xf>
    <xf numFmtId="164" fontId="11" fillId="9" borderId="0" xfId="0" applyNumberFormat="1" applyFont="1" applyFill="1" applyBorder="1" applyAlignment="1">
      <alignment vertical="center"/>
    </xf>
    <xf numFmtId="0" fontId="20" fillId="9" borderId="0" xfId="0" applyFont="1" applyFill="1" applyBorder="1" applyAlignment="1">
      <alignment horizontal="left" vertical="center"/>
    </xf>
    <xf numFmtId="0" fontId="20" fillId="9" borderId="0" xfId="0" applyFont="1" applyFill="1" applyBorder="1" applyAlignment="1">
      <alignment vertical="center"/>
    </xf>
    <xf numFmtId="9" fontId="11" fillId="9" borderId="0" xfId="0" applyNumberFormat="1" applyFont="1" applyFill="1" applyBorder="1" applyAlignment="1">
      <alignment vertical="center"/>
    </xf>
    <xf numFmtId="43" fontId="11" fillId="9" borderId="0" xfId="2" applyFont="1" applyFill="1" applyBorder="1" applyAlignment="1">
      <alignment vertical="center"/>
    </xf>
    <xf numFmtId="0" fontId="11" fillId="9" borderId="19" xfId="0" applyFont="1" applyFill="1" applyBorder="1" applyAlignment="1">
      <alignment vertical="center"/>
    </xf>
    <xf numFmtId="0" fontId="11" fillId="5" borderId="0" xfId="0" applyFont="1" applyFill="1" applyBorder="1" applyAlignment="1">
      <alignment horizontal="left" vertical="center"/>
    </xf>
    <xf numFmtId="164" fontId="11" fillId="5" borderId="0" xfId="0" applyNumberFormat="1" applyFont="1" applyFill="1" applyBorder="1" applyAlignment="1">
      <alignment vertical="center"/>
    </xf>
    <xf numFmtId="0" fontId="20" fillId="5" borderId="0" xfId="0" applyFont="1" applyFill="1" applyBorder="1" applyAlignment="1">
      <alignment horizontal="left" vertical="center"/>
    </xf>
    <xf numFmtId="0" fontId="20" fillId="5" borderId="0" xfId="0" applyFont="1" applyFill="1" applyBorder="1" applyAlignment="1">
      <alignment vertical="center"/>
    </xf>
    <xf numFmtId="9" fontId="11" fillId="5" borderId="0" xfId="0" applyNumberFormat="1" applyFont="1" applyFill="1" applyBorder="1" applyAlignment="1">
      <alignment vertical="center"/>
    </xf>
    <xf numFmtId="181" fontId="11" fillId="5" borderId="18" xfId="0" applyNumberFormat="1" applyFont="1" applyFill="1" applyBorder="1" applyAlignment="1">
      <alignment vertical="center"/>
    </xf>
    <xf numFmtId="43" fontId="11" fillId="5" borderId="0" xfId="2" applyFont="1" applyFill="1" applyBorder="1" applyAlignment="1">
      <alignment vertical="center"/>
    </xf>
    <xf numFmtId="0" fontId="11" fillId="5" borderId="19" xfId="0" applyFont="1" applyFill="1" applyBorder="1" applyAlignment="1">
      <alignment vertical="center"/>
    </xf>
    <xf numFmtId="0" fontId="11" fillId="2" borderId="28" xfId="0" applyFont="1" applyFill="1" applyBorder="1" applyAlignment="1">
      <alignment vertical="center"/>
    </xf>
    <xf numFmtId="0" fontId="12" fillId="2" borderId="13" xfId="0" applyFont="1" applyFill="1" applyBorder="1" applyAlignment="1">
      <alignment vertical="center"/>
    </xf>
    <xf numFmtId="0" fontId="11" fillId="2" borderId="13" xfId="0" applyFont="1" applyFill="1" applyBorder="1" applyAlignment="1">
      <alignment vertical="center"/>
    </xf>
    <xf numFmtId="0" fontId="11" fillId="2" borderId="12" xfId="0" applyFont="1" applyFill="1" applyBorder="1" applyAlignment="1">
      <alignment vertical="center"/>
    </xf>
    <xf numFmtId="0" fontId="11" fillId="2" borderId="4" xfId="0" applyFont="1" applyFill="1" applyBorder="1" applyAlignment="1">
      <alignment vertical="center"/>
    </xf>
    <xf numFmtId="37" fontId="11" fillId="2" borderId="2" xfId="0" applyNumberFormat="1" applyFont="1" applyFill="1" applyBorder="1" applyAlignment="1">
      <alignment vertical="center"/>
    </xf>
    <xf numFmtId="0" fontId="11" fillId="2" borderId="5" xfId="0" applyFont="1" applyFill="1" applyBorder="1" applyAlignment="1">
      <alignment vertical="center"/>
    </xf>
    <xf numFmtId="9" fontId="11" fillId="2" borderId="0" xfId="1" applyFont="1" applyFill="1" applyBorder="1" applyAlignment="1">
      <alignment horizontal="center" vertical="center"/>
    </xf>
    <xf numFmtId="9" fontId="11" fillId="2" borderId="0" xfId="1" applyFont="1" applyFill="1" applyBorder="1" applyAlignment="1">
      <alignment vertical="center"/>
    </xf>
    <xf numFmtId="9" fontId="11" fillId="2" borderId="27" xfId="1" applyFont="1" applyFill="1" applyBorder="1" applyAlignment="1">
      <alignment vertical="center"/>
    </xf>
    <xf numFmtId="9" fontId="11" fillId="2" borderId="0" xfId="0" applyNumberFormat="1" applyFont="1" applyFill="1" applyBorder="1" applyAlignment="1">
      <alignment vertical="center"/>
    </xf>
    <xf numFmtId="0" fontId="12" fillId="2" borderId="0" xfId="0" applyFont="1" applyFill="1" applyBorder="1" applyAlignment="1">
      <alignment horizontal="center" vertical="center"/>
    </xf>
    <xf numFmtId="0" fontId="11" fillId="2" borderId="27" xfId="0" applyFont="1" applyFill="1" applyBorder="1" applyAlignment="1">
      <alignment vertical="center"/>
    </xf>
    <xf numFmtId="9" fontId="11" fillId="2" borderId="1" xfId="1" applyFont="1" applyFill="1" applyBorder="1" applyAlignment="1">
      <alignment vertical="center"/>
    </xf>
    <xf numFmtId="0" fontId="11" fillId="2" borderId="6" xfId="0" applyFont="1" applyFill="1" applyBorder="1" applyAlignment="1">
      <alignment vertical="center"/>
    </xf>
    <xf numFmtId="0" fontId="11" fillId="10" borderId="28" xfId="0" applyFont="1" applyFill="1" applyBorder="1" applyAlignment="1">
      <alignment vertical="center"/>
    </xf>
    <xf numFmtId="0" fontId="12" fillId="10" borderId="13" xfId="0" applyFont="1" applyFill="1" applyBorder="1" applyAlignment="1">
      <alignment vertical="center"/>
    </xf>
    <xf numFmtId="0" fontId="11" fillId="10" borderId="13" xfId="0" applyFont="1" applyFill="1" applyBorder="1" applyAlignment="1">
      <alignment vertical="center"/>
    </xf>
    <xf numFmtId="0" fontId="11" fillId="10" borderId="12" xfId="0" applyFont="1" applyFill="1" applyBorder="1" applyAlignment="1">
      <alignment vertical="center"/>
    </xf>
    <xf numFmtId="0" fontId="11" fillId="10" borderId="0" xfId="0" applyFont="1" applyFill="1" applyBorder="1" applyAlignment="1">
      <alignment vertical="center"/>
    </xf>
    <xf numFmtId="0" fontId="11" fillId="10" borderId="4" xfId="0" applyFont="1" applyFill="1" applyBorder="1" applyAlignment="1">
      <alignment vertical="center"/>
    </xf>
    <xf numFmtId="37" fontId="11" fillId="10" borderId="2" xfId="0" applyNumberFormat="1" applyFont="1" applyFill="1" applyBorder="1" applyAlignment="1">
      <alignment vertical="center"/>
    </xf>
    <xf numFmtId="0" fontId="11" fillId="10" borderId="5" xfId="0" applyFont="1" applyFill="1" applyBorder="1" applyAlignment="1">
      <alignment vertical="center"/>
    </xf>
    <xf numFmtId="9" fontId="11" fillId="10" borderId="0" xfId="1" applyFont="1" applyFill="1" applyBorder="1" applyAlignment="1">
      <alignment horizontal="center" vertical="center"/>
    </xf>
    <xf numFmtId="164" fontId="11" fillId="10" borderId="0" xfId="1" applyNumberFormat="1" applyFont="1" applyFill="1" applyBorder="1" applyAlignment="1">
      <alignment vertical="center"/>
    </xf>
    <xf numFmtId="164" fontId="11" fillId="10" borderId="27" xfId="1" applyNumberFormat="1" applyFont="1" applyFill="1" applyBorder="1" applyAlignment="1">
      <alignment vertical="center"/>
    </xf>
    <xf numFmtId="9" fontId="11" fillId="10" borderId="0" xfId="0" applyNumberFormat="1" applyFont="1" applyFill="1" applyBorder="1" applyAlignment="1">
      <alignment vertical="center"/>
    </xf>
    <xf numFmtId="9" fontId="11" fillId="10" borderId="0" xfId="1" applyFont="1" applyFill="1" applyBorder="1" applyAlignment="1">
      <alignment vertical="center"/>
    </xf>
    <xf numFmtId="9" fontId="11" fillId="10" borderId="27" xfId="1" applyFont="1" applyFill="1" applyBorder="1" applyAlignment="1">
      <alignment vertical="center"/>
    </xf>
    <xf numFmtId="0" fontId="12" fillId="10" borderId="0" xfId="0" applyFont="1" applyFill="1" applyBorder="1" applyAlignment="1">
      <alignment horizontal="center" vertical="center"/>
    </xf>
    <xf numFmtId="0" fontId="11" fillId="10" borderId="27" xfId="0" applyFont="1" applyFill="1" applyBorder="1" applyAlignment="1">
      <alignment vertical="center"/>
    </xf>
    <xf numFmtId="0" fontId="11" fillId="10" borderId="1" xfId="0" applyFont="1" applyFill="1" applyBorder="1" applyAlignment="1">
      <alignment vertical="center"/>
    </xf>
    <xf numFmtId="9" fontId="11" fillId="10" borderId="1" xfId="1" applyFont="1" applyFill="1" applyBorder="1" applyAlignment="1">
      <alignment vertical="center"/>
    </xf>
    <xf numFmtId="0" fontId="11" fillId="10" borderId="6" xfId="0" applyFont="1" applyFill="1" applyBorder="1" applyAlignment="1">
      <alignment vertical="center"/>
    </xf>
    <xf numFmtId="0" fontId="11" fillId="10" borderId="7" xfId="0" applyFont="1" applyFill="1" applyBorder="1" applyAlignment="1">
      <alignment vertical="center"/>
    </xf>
    <xf numFmtId="0" fontId="11" fillId="11" borderId="28" xfId="0" applyFont="1" applyFill="1" applyBorder="1" applyAlignment="1">
      <alignment vertical="center"/>
    </xf>
    <xf numFmtId="0" fontId="12" fillId="11" borderId="13" xfId="0" applyFont="1" applyFill="1" applyBorder="1" applyAlignment="1">
      <alignment vertical="center"/>
    </xf>
    <xf numFmtId="0" fontId="11" fillId="11" borderId="13" xfId="0" applyFont="1" applyFill="1" applyBorder="1" applyAlignment="1">
      <alignment vertical="center"/>
    </xf>
    <xf numFmtId="0" fontId="11" fillId="11" borderId="26" xfId="0" applyFont="1" applyFill="1" applyBorder="1" applyAlignment="1">
      <alignment vertical="center"/>
    </xf>
    <xf numFmtId="0" fontId="11" fillId="11" borderId="12" xfId="0" applyFont="1" applyFill="1" applyBorder="1" applyAlignment="1">
      <alignment vertical="center"/>
    </xf>
    <xf numFmtId="0" fontId="11" fillId="11" borderId="0" xfId="0" applyFont="1" applyFill="1" applyBorder="1" applyAlignment="1">
      <alignment vertical="center"/>
    </xf>
    <xf numFmtId="0" fontId="11" fillId="11" borderId="27" xfId="0" applyFont="1" applyFill="1" applyBorder="1" applyAlignment="1">
      <alignment vertical="center"/>
    </xf>
    <xf numFmtId="0" fontId="11" fillId="11" borderId="4" xfId="0" applyFont="1" applyFill="1" applyBorder="1" applyAlignment="1">
      <alignment vertical="center"/>
    </xf>
    <xf numFmtId="37" fontId="11" fillId="11" borderId="2" xfId="0" applyNumberFormat="1" applyFont="1" applyFill="1" applyBorder="1" applyAlignment="1">
      <alignment vertical="center"/>
    </xf>
    <xf numFmtId="0" fontId="11" fillId="11" borderId="5" xfId="0" applyFont="1" applyFill="1" applyBorder="1" applyAlignment="1">
      <alignment vertical="center"/>
    </xf>
    <xf numFmtId="9" fontId="11" fillId="11" borderId="0" xfId="1" applyFont="1" applyFill="1" applyBorder="1" applyAlignment="1">
      <alignment horizontal="center" vertical="center"/>
    </xf>
    <xf numFmtId="9" fontId="11" fillId="11" borderId="0" xfId="1" applyFont="1" applyFill="1" applyBorder="1" applyAlignment="1">
      <alignment vertical="center"/>
    </xf>
    <xf numFmtId="9" fontId="11" fillId="11" borderId="27" xfId="1" applyFont="1" applyFill="1" applyBorder="1" applyAlignment="1">
      <alignment vertical="center"/>
    </xf>
    <xf numFmtId="9" fontId="11" fillId="11" borderId="0" xfId="0" applyNumberFormat="1" applyFont="1" applyFill="1" applyBorder="1" applyAlignment="1">
      <alignment vertical="center"/>
    </xf>
    <xf numFmtId="0" fontId="12" fillId="11" borderId="0" xfId="0" applyFont="1" applyFill="1" applyBorder="1" applyAlignment="1">
      <alignment horizontal="center" vertical="center"/>
    </xf>
    <xf numFmtId="0" fontId="11" fillId="11" borderId="1" xfId="0" applyFont="1" applyFill="1" applyBorder="1" applyAlignment="1">
      <alignment vertical="center"/>
    </xf>
    <xf numFmtId="9" fontId="11" fillId="11" borderId="1" xfId="1" applyFont="1" applyFill="1" applyBorder="1" applyAlignment="1">
      <alignment vertical="center"/>
    </xf>
    <xf numFmtId="0" fontId="11" fillId="11" borderId="6" xfId="0" applyFont="1" applyFill="1" applyBorder="1" applyAlignment="1">
      <alignment vertical="center"/>
    </xf>
    <xf numFmtId="0" fontId="11" fillId="11" borderId="7" xfId="0" applyFont="1" applyFill="1" applyBorder="1" applyAlignment="1">
      <alignment vertical="center"/>
    </xf>
    <xf numFmtId="0" fontId="11" fillId="12" borderId="28" xfId="0" applyFont="1" applyFill="1" applyBorder="1" applyAlignment="1">
      <alignment vertical="center"/>
    </xf>
    <xf numFmtId="0" fontId="12" fillId="12" borderId="13" xfId="0" applyFont="1" applyFill="1" applyBorder="1" applyAlignment="1">
      <alignment vertical="center"/>
    </xf>
    <xf numFmtId="0" fontId="11" fillId="12" borderId="13" xfId="0" applyFont="1" applyFill="1" applyBorder="1" applyAlignment="1">
      <alignment vertical="center"/>
    </xf>
    <xf numFmtId="0" fontId="11" fillId="12" borderId="26" xfId="0" applyFont="1" applyFill="1" applyBorder="1" applyAlignment="1">
      <alignment vertical="center"/>
    </xf>
    <xf numFmtId="0" fontId="11" fillId="12" borderId="12" xfId="0" applyFont="1" applyFill="1" applyBorder="1" applyAlignment="1">
      <alignment vertical="center"/>
    </xf>
    <xf numFmtId="0" fontId="11" fillId="12" borderId="0" xfId="0" applyFont="1" applyFill="1" applyBorder="1" applyAlignment="1">
      <alignment vertical="center"/>
    </xf>
    <xf numFmtId="0" fontId="11" fillId="12" borderId="27" xfId="0" applyFont="1" applyFill="1" applyBorder="1" applyAlignment="1">
      <alignment vertical="center"/>
    </xf>
    <xf numFmtId="0" fontId="11" fillId="12" borderId="4" xfId="0" applyFont="1" applyFill="1" applyBorder="1" applyAlignment="1">
      <alignment vertical="center"/>
    </xf>
    <xf numFmtId="37" fontId="11" fillId="12" borderId="2" xfId="0" applyNumberFormat="1" applyFont="1" applyFill="1" applyBorder="1" applyAlignment="1">
      <alignment vertical="center"/>
    </xf>
    <xf numFmtId="0" fontId="11" fillId="12" borderId="5" xfId="0" applyFont="1" applyFill="1" applyBorder="1" applyAlignment="1">
      <alignment vertical="center"/>
    </xf>
    <xf numFmtId="9" fontId="11" fillId="12" borderId="0" xfId="1" applyFont="1" applyFill="1" applyBorder="1" applyAlignment="1">
      <alignment horizontal="center" vertical="center"/>
    </xf>
    <xf numFmtId="9" fontId="11" fillId="12" borderId="0" xfId="1" applyFont="1" applyFill="1" applyBorder="1" applyAlignment="1">
      <alignment vertical="center"/>
    </xf>
    <xf numFmtId="9" fontId="11" fillId="12" borderId="27" xfId="1" applyFont="1" applyFill="1" applyBorder="1" applyAlignment="1">
      <alignment vertical="center"/>
    </xf>
    <xf numFmtId="9" fontId="11" fillId="12" borderId="0" xfId="0" applyNumberFormat="1" applyFont="1" applyFill="1" applyBorder="1" applyAlignment="1">
      <alignment vertical="center"/>
    </xf>
    <xf numFmtId="0" fontId="12" fillId="12" borderId="0" xfId="0" applyFont="1" applyFill="1" applyBorder="1" applyAlignment="1">
      <alignment horizontal="center" vertical="center"/>
    </xf>
    <xf numFmtId="0" fontId="11" fillId="12" borderId="1" xfId="0" applyFont="1" applyFill="1" applyBorder="1" applyAlignment="1">
      <alignment vertical="center"/>
    </xf>
    <xf numFmtId="9" fontId="11" fillId="12" borderId="1" xfId="1" applyFont="1" applyFill="1" applyBorder="1" applyAlignment="1">
      <alignment vertical="center"/>
    </xf>
    <xf numFmtId="0" fontId="11" fillId="12" borderId="6" xfId="0" applyFont="1" applyFill="1" applyBorder="1" applyAlignment="1">
      <alignment vertical="center"/>
    </xf>
    <xf numFmtId="0" fontId="11" fillId="12" borderId="7" xfId="0" applyFont="1" applyFill="1" applyBorder="1" applyAlignment="1">
      <alignment vertical="center"/>
    </xf>
    <xf numFmtId="0" fontId="11" fillId="13" borderId="28" xfId="0" applyFont="1" applyFill="1" applyBorder="1" applyAlignment="1">
      <alignment vertical="center"/>
    </xf>
    <xf numFmtId="0" fontId="12" fillId="13" borderId="13" xfId="0" applyFont="1" applyFill="1" applyBorder="1" applyAlignment="1">
      <alignment vertical="center"/>
    </xf>
    <xf numFmtId="0" fontId="11" fillId="13" borderId="13" xfId="0" applyFont="1" applyFill="1" applyBorder="1" applyAlignment="1">
      <alignment vertical="center"/>
    </xf>
    <xf numFmtId="0" fontId="11" fillId="13" borderId="26" xfId="0" applyFont="1" applyFill="1" applyBorder="1" applyAlignment="1">
      <alignment vertical="center"/>
    </xf>
    <xf numFmtId="0" fontId="11" fillId="13" borderId="12" xfId="0" applyFont="1" applyFill="1" applyBorder="1" applyAlignment="1">
      <alignment vertical="center"/>
    </xf>
    <xf numFmtId="0" fontId="11" fillId="13" borderId="0" xfId="0" applyFont="1" applyFill="1" applyBorder="1" applyAlignment="1">
      <alignment vertical="center"/>
    </xf>
    <xf numFmtId="0" fontId="11" fillId="13" borderId="27" xfId="0" applyFont="1" applyFill="1" applyBorder="1" applyAlignment="1">
      <alignment vertical="center"/>
    </xf>
    <xf numFmtId="0" fontId="11" fillId="13" borderId="4" xfId="0" applyFont="1" applyFill="1" applyBorder="1" applyAlignment="1">
      <alignment vertical="center"/>
    </xf>
    <xf numFmtId="37" fontId="11" fillId="13" borderId="2" xfId="0" applyNumberFormat="1" applyFont="1" applyFill="1" applyBorder="1" applyAlignment="1">
      <alignment vertical="center"/>
    </xf>
    <xf numFmtId="0" fontId="11" fillId="13" borderId="5" xfId="0" applyFont="1" applyFill="1" applyBorder="1" applyAlignment="1">
      <alignment vertical="center"/>
    </xf>
    <xf numFmtId="9" fontId="11" fillId="13" borderId="0" xfId="1" applyFont="1" applyFill="1" applyBorder="1" applyAlignment="1">
      <alignment horizontal="center" vertical="center"/>
    </xf>
    <xf numFmtId="9" fontId="11" fillId="13" borderId="0" xfId="1" applyFont="1" applyFill="1" applyBorder="1" applyAlignment="1">
      <alignment vertical="center"/>
    </xf>
    <xf numFmtId="9" fontId="11" fillId="13" borderId="27" xfId="1" applyFont="1" applyFill="1" applyBorder="1" applyAlignment="1">
      <alignment vertical="center"/>
    </xf>
    <xf numFmtId="9" fontId="11" fillId="13" borderId="0" xfId="0" applyNumberFormat="1" applyFont="1" applyFill="1" applyBorder="1" applyAlignment="1">
      <alignment vertical="center"/>
    </xf>
    <xf numFmtId="0" fontId="12" fillId="13" borderId="0" xfId="0" applyFont="1" applyFill="1" applyBorder="1" applyAlignment="1">
      <alignment horizontal="center" vertical="center"/>
    </xf>
    <xf numFmtId="0" fontId="11" fillId="13" borderId="1" xfId="0" applyFont="1" applyFill="1" applyBorder="1" applyAlignment="1">
      <alignment vertical="center"/>
    </xf>
    <xf numFmtId="9" fontId="11" fillId="13" borderId="1" xfId="1" applyFont="1" applyFill="1" applyBorder="1" applyAlignment="1">
      <alignment vertical="center"/>
    </xf>
    <xf numFmtId="0" fontId="11" fillId="13" borderId="6" xfId="0" applyFont="1" applyFill="1" applyBorder="1" applyAlignment="1">
      <alignment vertical="center"/>
    </xf>
    <xf numFmtId="0" fontId="11" fillId="13" borderId="7" xfId="0" applyFont="1" applyFill="1" applyBorder="1" applyAlignment="1">
      <alignment vertical="center"/>
    </xf>
    <xf numFmtId="0" fontId="11" fillId="5" borderId="28" xfId="0" applyFont="1" applyFill="1" applyBorder="1" applyAlignment="1">
      <alignment vertical="center"/>
    </xf>
    <xf numFmtId="0" fontId="12" fillId="5" borderId="13" xfId="0" applyFont="1" applyFill="1" applyBorder="1" applyAlignment="1">
      <alignment vertical="center"/>
    </xf>
    <xf numFmtId="0" fontId="11" fillId="5" borderId="13" xfId="0" applyFont="1" applyFill="1" applyBorder="1" applyAlignment="1">
      <alignment vertical="center"/>
    </xf>
    <xf numFmtId="0" fontId="11" fillId="5" borderId="26" xfId="0" applyFont="1" applyFill="1" applyBorder="1" applyAlignment="1">
      <alignment vertical="center"/>
    </xf>
    <xf numFmtId="0" fontId="11" fillId="5" borderId="12" xfId="0" applyFont="1" applyFill="1" applyBorder="1" applyAlignment="1">
      <alignment vertical="center"/>
    </xf>
    <xf numFmtId="0" fontId="11" fillId="5" borderId="27" xfId="0" applyFont="1" applyFill="1" applyBorder="1" applyAlignment="1">
      <alignment vertical="center"/>
    </xf>
    <xf numFmtId="0" fontId="11" fillId="5" borderId="4" xfId="0" applyFont="1" applyFill="1" applyBorder="1" applyAlignment="1">
      <alignment vertical="center"/>
    </xf>
    <xf numFmtId="37" fontId="11" fillId="5" borderId="2" xfId="0" applyNumberFormat="1" applyFont="1" applyFill="1" applyBorder="1" applyAlignment="1">
      <alignment vertical="center"/>
    </xf>
    <xf numFmtId="0" fontId="11" fillId="5" borderId="5" xfId="0" applyFont="1" applyFill="1" applyBorder="1" applyAlignment="1">
      <alignment vertical="center"/>
    </xf>
    <xf numFmtId="9" fontId="11" fillId="5" borderId="0" xfId="1" applyFont="1" applyFill="1" applyBorder="1" applyAlignment="1">
      <alignment horizontal="center" vertical="center"/>
    </xf>
    <xf numFmtId="9" fontId="11" fillId="5" borderId="0" xfId="1" applyFont="1" applyFill="1" applyBorder="1" applyAlignment="1">
      <alignment vertical="center"/>
    </xf>
    <xf numFmtId="9" fontId="11" fillId="5" borderId="27" xfId="1" applyFont="1" applyFill="1" applyBorder="1" applyAlignment="1">
      <alignment vertical="center"/>
    </xf>
    <xf numFmtId="0" fontId="12" fillId="5" borderId="0" xfId="0" applyFont="1" applyFill="1" applyBorder="1" applyAlignment="1">
      <alignment horizontal="center" vertical="center"/>
    </xf>
    <xf numFmtId="9" fontId="11" fillId="5" borderId="1" xfId="1" applyFont="1" applyFill="1" applyBorder="1" applyAlignment="1">
      <alignment vertical="center"/>
    </xf>
    <xf numFmtId="0" fontId="11" fillId="5" borderId="6" xfId="0" applyFont="1" applyFill="1" applyBorder="1" applyAlignment="1">
      <alignment vertical="center"/>
    </xf>
    <xf numFmtId="0" fontId="11" fillId="5" borderId="7" xfId="0" applyFont="1" applyFill="1" applyBorder="1" applyAlignment="1">
      <alignment vertical="center"/>
    </xf>
    <xf numFmtId="0" fontId="11" fillId="19" borderId="0" xfId="0" applyFont="1" applyFill="1" applyAlignment="1" applyProtection="1">
      <alignment vertical="center"/>
      <protection locked="0"/>
    </xf>
    <xf numFmtId="181" fontId="11" fillId="19" borderId="0" xfId="0" applyNumberFormat="1" applyFont="1" applyFill="1" applyAlignment="1">
      <alignment vertical="center"/>
    </xf>
    <xf numFmtId="0" fontId="11" fillId="19" borderId="0" xfId="0" quotePrefix="1" applyFont="1" applyFill="1" applyBorder="1" applyAlignment="1">
      <alignment vertical="center"/>
    </xf>
    <xf numFmtId="0" fontId="17" fillId="19" borderId="0" xfId="0" applyFont="1" applyFill="1" applyBorder="1" applyAlignment="1">
      <alignment horizontal="right" vertical="center"/>
    </xf>
    <xf numFmtId="0" fontId="12" fillId="19" borderId="1" xfId="0" applyFont="1" applyFill="1" applyBorder="1" applyAlignment="1">
      <alignment horizontal="left" vertical="center"/>
    </xf>
    <xf numFmtId="0" fontId="12" fillId="19" borderId="1" xfId="0" applyFont="1" applyFill="1" applyBorder="1" applyAlignment="1">
      <alignment vertical="center"/>
    </xf>
    <xf numFmtId="0" fontId="12" fillId="19" borderId="1" xfId="0" applyFont="1" applyFill="1" applyBorder="1" applyAlignment="1">
      <alignment horizontal="center" vertical="center"/>
    </xf>
    <xf numFmtId="0" fontId="9" fillId="19" borderId="0" xfId="0" applyFont="1" applyFill="1" applyBorder="1" applyAlignment="1">
      <alignment vertical="center"/>
    </xf>
    <xf numFmtId="0" fontId="11" fillId="19" borderId="0" xfId="0" applyFont="1" applyFill="1" applyAlignment="1">
      <alignment vertical="center" wrapText="1"/>
    </xf>
    <xf numFmtId="0" fontId="12" fillId="19" borderId="0" xfId="0" applyFont="1" applyFill="1" applyBorder="1" applyAlignment="1">
      <alignment horizontal="left" vertical="center"/>
    </xf>
    <xf numFmtId="0" fontId="12" fillId="15" borderId="14" xfId="0" applyFont="1" applyFill="1" applyBorder="1" applyAlignment="1">
      <alignment vertical="center"/>
    </xf>
    <xf numFmtId="0" fontId="11" fillId="15" borderId="15" xfId="0" applyFont="1" applyFill="1" applyBorder="1" applyAlignment="1">
      <alignment vertical="center"/>
    </xf>
    <xf numFmtId="0" fontId="11" fillId="15" borderId="16" xfId="0" applyFont="1" applyFill="1" applyBorder="1" applyAlignment="1">
      <alignment vertical="center"/>
    </xf>
    <xf numFmtId="0" fontId="11" fillId="15" borderId="17" xfId="0" applyFont="1" applyFill="1" applyBorder="1" applyAlignment="1">
      <alignment vertical="center"/>
    </xf>
    <xf numFmtId="0" fontId="11" fillId="15" borderId="0" xfId="0" applyFont="1" applyFill="1" applyBorder="1" applyAlignment="1">
      <alignment vertical="center"/>
    </xf>
    <xf numFmtId="0" fontId="11" fillId="15" borderId="18" xfId="0" applyFont="1" applyFill="1" applyBorder="1" applyAlignment="1">
      <alignment vertical="center"/>
    </xf>
    <xf numFmtId="0" fontId="12" fillId="15" borderId="22" xfId="0" applyFont="1" applyFill="1" applyBorder="1" applyAlignment="1">
      <alignment vertical="center"/>
    </xf>
    <xf numFmtId="0" fontId="12" fillId="15" borderId="1" xfId="0" applyFont="1" applyFill="1" applyBorder="1" applyAlignment="1">
      <alignment vertical="center"/>
    </xf>
    <xf numFmtId="0" fontId="12" fillId="15" borderId="1" xfId="0" applyFont="1" applyFill="1" applyBorder="1" applyAlignment="1">
      <alignment horizontal="center" vertical="center"/>
    </xf>
    <xf numFmtId="0" fontId="12" fillId="15" borderId="29" xfId="0" applyFont="1" applyFill="1" applyBorder="1" applyAlignment="1">
      <alignment horizontal="center" vertical="center"/>
    </xf>
    <xf numFmtId="0" fontId="11" fillId="15" borderId="0" xfId="0" applyFont="1" applyFill="1" applyBorder="1" applyAlignment="1">
      <alignment horizontal="center" vertical="center"/>
    </xf>
    <xf numFmtId="164" fontId="11" fillId="15" borderId="0" xfId="0" applyNumberFormat="1" applyFont="1" applyFill="1" applyBorder="1" applyAlignment="1">
      <alignment vertical="center"/>
    </xf>
    <xf numFmtId="164" fontId="11" fillId="15" borderId="0" xfId="1" applyNumberFormat="1" applyFont="1" applyFill="1" applyBorder="1" applyAlignment="1">
      <alignment vertical="center"/>
    </xf>
    <xf numFmtId="164" fontId="11" fillId="15" borderId="18" xfId="1" applyNumberFormat="1" applyFont="1" applyFill="1" applyBorder="1" applyAlignment="1">
      <alignment vertical="center"/>
    </xf>
    <xf numFmtId="169" fontId="11" fillId="15" borderId="0" xfId="2" applyNumberFormat="1" applyFont="1" applyFill="1" applyBorder="1" applyAlignment="1">
      <alignment vertical="center"/>
    </xf>
    <xf numFmtId="169" fontId="11" fillId="15" borderId="18" xfId="2" applyNumberFormat="1" applyFont="1" applyFill="1" applyBorder="1" applyAlignment="1">
      <alignment vertical="center"/>
    </xf>
    <xf numFmtId="0" fontId="11" fillId="15" borderId="1" xfId="0" applyFont="1" applyFill="1" applyBorder="1" applyAlignment="1">
      <alignment vertical="center"/>
    </xf>
    <xf numFmtId="0" fontId="11" fillId="15" borderId="1" xfId="0" applyFont="1" applyFill="1" applyBorder="1" applyAlignment="1">
      <alignment horizontal="center" vertical="center"/>
    </xf>
    <xf numFmtId="0" fontId="11" fillId="15" borderId="29" xfId="0" applyFont="1" applyFill="1" applyBorder="1" applyAlignment="1">
      <alignment horizontal="center" vertical="center"/>
    </xf>
    <xf numFmtId="0" fontId="12" fillId="15" borderId="17" xfId="0" applyFont="1" applyFill="1" applyBorder="1" applyAlignment="1">
      <alignment vertical="center"/>
    </xf>
    <xf numFmtId="0" fontId="11" fillId="15" borderId="22" xfId="0" applyFont="1" applyFill="1" applyBorder="1" applyAlignment="1">
      <alignment vertical="center"/>
    </xf>
    <xf numFmtId="0" fontId="12" fillId="15" borderId="8" xfId="0" applyFont="1" applyFill="1" applyBorder="1" applyAlignment="1">
      <alignment vertical="center"/>
    </xf>
    <xf numFmtId="0" fontId="12" fillId="15" borderId="9" xfId="0" applyFont="1" applyFill="1" applyBorder="1" applyAlignment="1">
      <alignment vertical="center"/>
    </xf>
    <xf numFmtId="0" fontId="12" fillId="15" borderId="9" xfId="0" applyFont="1" applyFill="1" applyBorder="1" applyAlignment="1">
      <alignment horizontal="center" vertical="center"/>
    </xf>
    <xf numFmtId="0" fontId="12" fillId="15" borderId="19" xfId="0" applyFont="1" applyFill="1" applyBorder="1" applyAlignment="1">
      <alignment vertical="center"/>
    </xf>
    <xf numFmtId="0" fontId="12" fillId="15" borderId="20" xfId="0" applyFont="1" applyFill="1" applyBorder="1" applyAlignment="1">
      <alignment vertical="center"/>
    </xf>
    <xf numFmtId="0" fontId="12" fillId="15" borderId="20" xfId="0" applyFont="1" applyFill="1" applyBorder="1" applyAlignment="1">
      <alignment horizontal="center" vertical="center"/>
    </xf>
    <xf numFmtId="0" fontId="11" fillId="15" borderId="20" xfId="0" applyFont="1" applyFill="1" applyBorder="1" applyAlignment="1">
      <alignment vertical="center"/>
    </xf>
    <xf numFmtId="0" fontId="11" fillId="15" borderId="21" xfId="0" applyFont="1" applyFill="1" applyBorder="1" applyAlignment="1">
      <alignment vertical="center"/>
    </xf>
    <xf numFmtId="0" fontId="11" fillId="15" borderId="14" xfId="0" applyFont="1" applyFill="1" applyBorder="1" applyAlignment="1">
      <alignment vertical="center"/>
    </xf>
    <xf numFmtId="37" fontId="11" fillId="15" borderId="0" xfId="0" applyNumberFormat="1" applyFont="1" applyFill="1" applyBorder="1" applyAlignment="1">
      <alignment vertical="center"/>
    </xf>
    <xf numFmtId="37" fontId="11" fillId="15" borderId="18" xfId="0" applyNumberFormat="1" applyFont="1" applyFill="1" applyBorder="1" applyAlignment="1">
      <alignment vertical="center"/>
    </xf>
    <xf numFmtId="0" fontId="11" fillId="15" borderId="29" xfId="0" applyFont="1" applyFill="1" applyBorder="1" applyAlignment="1">
      <alignment vertical="center"/>
    </xf>
    <xf numFmtId="181" fontId="11" fillId="15" borderId="0" xfId="0" applyNumberFormat="1" applyFont="1" applyFill="1" applyBorder="1" applyAlignment="1">
      <alignment horizontal="center" vertical="center"/>
    </xf>
    <xf numFmtId="0" fontId="12" fillId="15" borderId="0" xfId="0" applyFont="1" applyFill="1" applyBorder="1" applyAlignment="1">
      <alignment vertical="center"/>
    </xf>
    <xf numFmtId="0" fontId="12" fillId="15" borderId="0" xfId="0" applyFont="1" applyFill="1" applyBorder="1" applyAlignment="1">
      <alignment horizontal="center" vertical="center"/>
    </xf>
    <xf numFmtId="181" fontId="12" fillId="15" borderId="0" xfId="0" applyNumberFormat="1" applyFont="1" applyFill="1" applyBorder="1" applyAlignment="1">
      <alignment horizontal="center" vertical="center"/>
    </xf>
    <xf numFmtId="181" fontId="11" fillId="15" borderId="1" xfId="0" applyNumberFormat="1" applyFont="1" applyFill="1" applyBorder="1" applyAlignment="1">
      <alignment horizontal="center" vertical="center"/>
    </xf>
    <xf numFmtId="181" fontId="11" fillId="15" borderId="0" xfId="0" applyNumberFormat="1" applyFont="1" applyFill="1" applyBorder="1" applyAlignment="1">
      <alignment vertical="center"/>
    </xf>
    <xf numFmtId="181" fontId="11" fillId="15" borderId="18" xfId="0" applyNumberFormat="1" applyFont="1" applyFill="1" applyBorder="1" applyAlignment="1">
      <alignment vertical="center"/>
    </xf>
    <xf numFmtId="181" fontId="11" fillId="15" borderId="1" xfId="0" applyNumberFormat="1" applyFont="1" applyFill="1" applyBorder="1" applyAlignment="1">
      <alignment vertical="center"/>
    </xf>
    <xf numFmtId="181" fontId="11" fillId="15" borderId="29" xfId="0" applyNumberFormat="1" applyFont="1" applyFill="1" applyBorder="1" applyAlignment="1">
      <alignment vertical="center"/>
    </xf>
    <xf numFmtId="0" fontId="11" fillId="15" borderId="19" xfId="0" applyFont="1" applyFill="1" applyBorder="1" applyAlignment="1">
      <alignment vertical="center"/>
    </xf>
    <xf numFmtId="0" fontId="12" fillId="14" borderId="14" xfId="0" applyFont="1" applyFill="1" applyBorder="1" applyAlignment="1">
      <alignment vertical="center"/>
    </xf>
    <xf numFmtId="0" fontId="11" fillId="14" borderId="15" xfId="0" applyFont="1" applyFill="1" applyBorder="1" applyAlignment="1">
      <alignment vertical="center"/>
    </xf>
    <xf numFmtId="0" fontId="11" fillId="14" borderId="16" xfId="0" applyFont="1" applyFill="1" applyBorder="1" applyAlignment="1">
      <alignment vertical="center"/>
    </xf>
    <xf numFmtId="0" fontId="11" fillId="14" borderId="17" xfId="0" applyFont="1" applyFill="1" applyBorder="1" applyAlignment="1">
      <alignment vertical="center"/>
    </xf>
    <xf numFmtId="0" fontId="11" fillId="14" borderId="0" xfId="0" applyFont="1" applyFill="1" applyBorder="1" applyAlignment="1">
      <alignment vertical="center"/>
    </xf>
    <xf numFmtId="0" fontId="11" fillId="14" borderId="18" xfId="0" applyFont="1" applyFill="1" applyBorder="1" applyAlignment="1">
      <alignment vertical="center"/>
    </xf>
    <xf numFmtId="0" fontId="12" fillId="14" borderId="22" xfId="0" applyFont="1" applyFill="1" applyBorder="1" applyAlignment="1">
      <alignment vertical="center"/>
    </xf>
    <xf numFmtId="0" fontId="12" fillId="14" borderId="1" xfId="0" applyFont="1" applyFill="1" applyBorder="1" applyAlignment="1">
      <alignment vertical="center"/>
    </xf>
    <xf numFmtId="0" fontId="12" fillId="14" borderId="1" xfId="0" applyFont="1" applyFill="1" applyBorder="1" applyAlignment="1">
      <alignment horizontal="center" vertical="center"/>
    </xf>
    <xf numFmtId="0" fontId="12" fillId="14" borderId="29" xfId="0" applyFont="1" applyFill="1" applyBorder="1" applyAlignment="1">
      <alignment horizontal="center" vertical="center"/>
    </xf>
    <xf numFmtId="0" fontId="11" fillId="14" borderId="0" xfId="0" applyFont="1" applyFill="1" applyBorder="1" applyAlignment="1">
      <alignment horizontal="center" vertical="center"/>
    </xf>
    <xf numFmtId="164" fontId="11" fillId="14" borderId="0" xfId="1" applyNumberFormat="1" applyFont="1" applyFill="1" applyBorder="1" applyAlignment="1">
      <alignment vertical="center"/>
    </xf>
    <xf numFmtId="164" fontId="11" fillId="14" borderId="18" xfId="1" applyNumberFormat="1" applyFont="1" applyFill="1" applyBorder="1" applyAlignment="1">
      <alignment vertical="center"/>
    </xf>
    <xf numFmtId="169" fontId="11" fillId="14" borderId="0" xfId="2" applyNumberFormat="1" applyFont="1" applyFill="1" applyBorder="1" applyAlignment="1">
      <alignment vertical="center"/>
    </xf>
    <xf numFmtId="169" fontId="11" fillId="14" borderId="18" xfId="2" applyNumberFormat="1" applyFont="1" applyFill="1" applyBorder="1" applyAlignment="1">
      <alignment vertical="center"/>
    </xf>
    <xf numFmtId="0" fontId="11" fillId="14" borderId="1" xfId="0" applyFont="1" applyFill="1" applyBorder="1" applyAlignment="1">
      <alignment vertical="center"/>
    </xf>
    <xf numFmtId="0" fontId="11" fillId="14" borderId="1" xfId="0" applyFont="1" applyFill="1" applyBorder="1" applyAlignment="1">
      <alignment horizontal="center" vertical="center"/>
    </xf>
    <xf numFmtId="0" fontId="11" fillId="14" borderId="29" xfId="0" applyFont="1" applyFill="1" applyBorder="1" applyAlignment="1">
      <alignment horizontal="center" vertical="center"/>
    </xf>
    <xf numFmtId="0" fontId="12" fillId="14" borderId="17" xfId="0" applyFont="1" applyFill="1" applyBorder="1" applyAlignment="1">
      <alignment vertical="center"/>
    </xf>
    <xf numFmtId="0" fontId="11" fillId="14" borderId="22" xfId="0" applyFont="1" applyFill="1" applyBorder="1" applyAlignment="1">
      <alignment vertical="center"/>
    </xf>
    <xf numFmtId="0" fontId="12" fillId="14" borderId="8" xfId="0" applyFont="1" applyFill="1" applyBorder="1" applyAlignment="1">
      <alignment vertical="center"/>
    </xf>
    <xf numFmtId="0" fontId="12" fillId="14" borderId="9" xfId="0" applyFont="1" applyFill="1" applyBorder="1" applyAlignment="1">
      <alignment vertical="center"/>
    </xf>
    <xf numFmtId="0" fontId="12" fillId="14" borderId="9" xfId="0" applyFont="1" applyFill="1" applyBorder="1" applyAlignment="1">
      <alignment horizontal="center" vertical="center"/>
    </xf>
    <xf numFmtId="0" fontId="12" fillId="14" borderId="19" xfId="0" applyFont="1" applyFill="1" applyBorder="1" applyAlignment="1">
      <alignment vertical="center"/>
    </xf>
    <xf numFmtId="0" fontId="12" fillId="14" borderId="20" xfId="0" applyFont="1" applyFill="1" applyBorder="1" applyAlignment="1">
      <alignment vertical="center"/>
    </xf>
    <xf numFmtId="0" fontId="12" fillId="14" borderId="20" xfId="0" applyFont="1" applyFill="1" applyBorder="1" applyAlignment="1">
      <alignment horizontal="center" vertical="center"/>
    </xf>
    <xf numFmtId="0" fontId="11" fillId="14" borderId="20" xfId="0" applyFont="1" applyFill="1" applyBorder="1" applyAlignment="1">
      <alignment vertical="center"/>
    </xf>
    <xf numFmtId="0" fontId="11" fillId="14" borderId="21" xfId="0" applyFont="1" applyFill="1" applyBorder="1" applyAlignment="1">
      <alignment vertical="center"/>
    </xf>
    <xf numFmtId="0" fontId="11" fillId="14" borderId="14" xfId="0" applyFont="1" applyFill="1" applyBorder="1" applyAlignment="1">
      <alignment vertical="center"/>
    </xf>
    <xf numFmtId="37" fontId="11" fillId="14" borderId="0" xfId="0" applyNumberFormat="1" applyFont="1" applyFill="1" applyBorder="1" applyAlignment="1">
      <alignment vertical="center"/>
    </xf>
    <xf numFmtId="37" fontId="11" fillId="14" borderId="18" xfId="0" applyNumberFormat="1" applyFont="1" applyFill="1" applyBorder="1" applyAlignment="1">
      <alignment vertical="center"/>
    </xf>
    <xf numFmtId="181" fontId="11" fillId="14" borderId="0" xfId="0" applyNumberFormat="1" applyFont="1" applyFill="1" applyBorder="1" applyAlignment="1">
      <alignment horizontal="center" vertical="center"/>
    </xf>
    <xf numFmtId="181" fontId="11" fillId="14" borderId="1" xfId="0" applyNumberFormat="1" applyFont="1" applyFill="1" applyBorder="1" applyAlignment="1">
      <alignment horizontal="center" vertical="center"/>
    </xf>
    <xf numFmtId="0" fontId="12" fillId="14" borderId="0" xfId="0" applyFont="1" applyFill="1" applyBorder="1" applyAlignment="1">
      <alignment vertical="center"/>
    </xf>
    <xf numFmtId="0" fontId="12" fillId="14" borderId="0" xfId="0" applyFont="1" applyFill="1" applyBorder="1" applyAlignment="1">
      <alignment horizontal="center" vertical="center"/>
    </xf>
    <xf numFmtId="181" fontId="12" fillId="14" borderId="0" xfId="0" applyNumberFormat="1" applyFont="1" applyFill="1" applyBorder="1" applyAlignment="1">
      <alignment horizontal="center" vertical="center"/>
    </xf>
    <xf numFmtId="181" fontId="11" fillId="14" borderId="0" xfId="0" applyNumberFormat="1" applyFont="1" applyFill="1" applyBorder="1" applyAlignment="1">
      <alignment vertical="center"/>
    </xf>
    <xf numFmtId="181" fontId="11" fillId="14" borderId="18" xfId="0" applyNumberFormat="1" applyFont="1" applyFill="1" applyBorder="1" applyAlignment="1">
      <alignment vertical="center"/>
    </xf>
    <xf numFmtId="181" fontId="11" fillId="14" borderId="1" xfId="0" applyNumberFormat="1" applyFont="1" applyFill="1" applyBorder="1" applyAlignment="1">
      <alignment vertical="center"/>
    </xf>
    <xf numFmtId="181" fontId="11" fillId="14" borderId="29" xfId="0" applyNumberFormat="1" applyFont="1" applyFill="1" applyBorder="1" applyAlignment="1">
      <alignment vertical="center"/>
    </xf>
    <xf numFmtId="0" fontId="11" fillId="14" borderId="19" xfId="0" applyFont="1" applyFill="1" applyBorder="1" applyAlignment="1">
      <alignment vertical="center"/>
    </xf>
    <xf numFmtId="0" fontId="5" fillId="15" borderId="15" xfId="0" applyFont="1" applyFill="1" applyBorder="1" applyAlignment="1">
      <alignment vertical="center"/>
    </xf>
    <xf numFmtId="0" fontId="5" fillId="15" borderId="16" xfId="0" applyFont="1" applyFill="1" applyBorder="1" applyAlignment="1">
      <alignment vertical="center"/>
    </xf>
    <xf numFmtId="0" fontId="5" fillId="15" borderId="0" xfId="0" applyFont="1" applyFill="1" applyBorder="1" applyAlignment="1">
      <alignment vertical="center"/>
    </xf>
    <xf numFmtId="0" fontId="5" fillId="15" borderId="18" xfId="0" applyFont="1" applyFill="1" applyBorder="1" applyAlignment="1">
      <alignment vertical="center"/>
    </xf>
    <xf numFmtId="0" fontId="11" fillId="15" borderId="0" xfId="0" applyFont="1" applyFill="1" applyBorder="1" applyAlignment="1">
      <alignment horizontal="left" vertical="center"/>
    </xf>
    <xf numFmtId="37" fontId="5" fillId="15" borderId="0" xfId="0" applyNumberFormat="1" applyFont="1" applyFill="1" applyBorder="1" applyAlignment="1">
      <alignment horizontal="right" vertical="center"/>
    </xf>
    <xf numFmtId="164" fontId="5" fillId="15" borderId="0" xfId="0" applyNumberFormat="1" applyFont="1" applyFill="1" applyBorder="1" applyAlignment="1">
      <alignment horizontal="right" vertical="center"/>
    </xf>
    <xf numFmtId="181" fontId="5" fillId="15" borderId="0" xfId="0" applyNumberFormat="1" applyFont="1" applyFill="1" applyBorder="1" applyAlignment="1">
      <alignment vertical="center"/>
    </xf>
    <xf numFmtId="181" fontId="5" fillId="15" borderId="18" xfId="0" applyNumberFormat="1" applyFont="1" applyFill="1" applyBorder="1" applyAlignment="1">
      <alignment vertical="center"/>
    </xf>
    <xf numFmtId="0" fontId="20" fillId="15" borderId="0" xfId="0" applyFont="1" applyFill="1" applyBorder="1" applyAlignment="1">
      <alignment horizontal="left" vertical="center"/>
    </xf>
    <xf numFmtId="0" fontId="20" fillId="15" borderId="0" xfId="0" applyFont="1" applyFill="1" applyBorder="1" applyAlignment="1">
      <alignment vertical="center"/>
    </xf>
    <xf numFmtId="164" fontId="5" fillId="15" borderId="0" xfId="0" applyNumberFormat="1" applyFont="1" applyFill="1" applyBorder="1" applyAlignment="1">
      <alignment vertical="center"/>
    </xf>
    <xf numFmtId="37" fontId="5" fillId="15" borderId="0" xfId="0" applyNumberFormat="1" applyFont="1" applyFill="1" applyBorder="1" applyAlignment="1">
      <alignment vertical="center"/>
    </xf>
    <xf numFmtId="0" fontId="5" fillId="15" borderId="1" xfId="0" applyFont="1" applyFill="1" applyBorder="1" applyAlignment="1">
      <alignment vertical="center"/>
    </xf>
    <xf numFmtId="0" fontId="5" fillId="15" borderId="20" xfId="0" applyFont="1" applyFill="1" applyBorder="1" applyAlignment="1">
      <alignment vertical="center"/>
    </xf>
    <xf numFmtId="0" fontId="5" fillId="15" borderId="21" xfId="0" applyFont="1" applyFill="1" applyBorder="1" applyAlignment="1">
      <alignment vertical="center"/>
    </xf>
    <xf numFmtId="0" fontId="12" fillId="16" borderId="14" xfId="0" applyFont="1" applyFill="1" applyBorder="1" applyAlignment="1">
      <alignment vertical="center"/>
    </xf>
    <xf numFmtId="0" fontId="11" fillId="16" borderId="15" xfId="0" applyFont="1" applyFill="1" applyBorder="1" applyAlignment="1">
      <alignment vertical="center"/>
    </xf>
    <xf numFmtId="0" fontId="5" fillId="16" borderId="15" xfId="0" applyFont="1" applyFill="1" applyBorder="1" applyAlignment="1">
      <alignment vertical="center"/>
    </xf>
    <xf numFmtId="0" fontId="5" fillId="16" borderId="16" xfId="0" applyFont="1" applyFill="1" applyBorder="1" applyAlignment="1">
      <alignment vertical="center"/>
    </xf>
    <xf numFmtId="0" fontId="12" fillId="16" borderId="17" xfId="0" applyFont="1" applyFill="1" applyBorder="1" applyAlignment="1">
      <alignment vertical="center"/>
    </xf>
    <xf numFmtId="0" fontId="11" fillId="16" borderId="0" xfId="0" applyFont="1" applyFill="1" applyBorder="1" applyAlignment="1">
      <alignment vertical="center"/>
    </xf>
    <xf numFmtId="0" fontId="5" fillId="16" borderId="0" xfId="0" applyFont="1" applyFill="1" applyBorder="1" applyAlignment="1">
      <alignment vertical="center"/>
    </xf>
    <xf numFmtId="0" fontId="5" fillId="16" borderId="18" xfId="0" applyFont="1" applyFill="1" applyBorder="1" applyAlignment="1">
      <alignment vertical="center"/>
    </xf>
    <xf numFmtId="0" fontId="11" fillId="16" borderId="17" xfId="0" applyFont="1" applyFill="1" applyBorder="1" applyAlignment="1">
      <alignment vertical="center"/>
    </xf>
    <xf numFmtId="0" fontId="11" fillId="16" borderId="0" xfId="0" applyFont="1" applyFill="1" applyBorder="1" applyAlignment="1">
      <alignment horizontal="left" vertical="center"/>
    </xf>
    <xf numFmtId="0" fontId="11" fillId="16" borderId="0" xfId="0" applyFont="1" applyFill="1" applyBorder="1" applyAlignment="1">
      <alignment horizontal="center" vertical="center"/>
    </xf>
    <xf numFmtId="37" fontId="5" fillId="16" borderId="0" xfId="0" applyNumberFormat="1" applyFont="1" applyFill="1" applyBorder="1" applyAlignment="1">
      <alignment horizontal="right" vertical="center"/>
    </xf>
    <xf numFmtId="164" fontId="5" fillId="16" borderId="0" xfId="0" applyNumberFormat="1" applyFont="1" applyFill="1" applyBorder="1" applyAlignment="1">
      <alignment horizontal="right" vertical="center"/>
    </xf>
    <xf numFmtId="0" fontId="20" fillId="16" borderId="0" xfId="0" applyFont="1" applyFill="1" applyBorder="1" applyAlignment="1">
      <alignment horizontal="left" vertical="center"/>
    </xf>
    <xf numFmtId="0" fontId="11" fillId="16" borderId="1" xfId="0" applyFont="1" applyFill="1" applyBorder="1" applyAlignment="1">
      <alignment vertical="center"/>
    </xf>
    <xf numFmtId="0" fontId="20" fillId="16" borderId="0" xfId="0" applyFont="1" applyFill="1" applyBorder="1" applyAlignment="1">
      <alignment vertical="center"/>
    </xf>
    <xf numFmtId="164" fontId="5" fillId="16" borderId="0" xfId="0" applyNumberFormat="1" applyFont="1" applyFill="1" applyBorder="1" applyAlignment="1">
      <alignment vertical="center"/>
    </xf>
    <xf numFmtId="37" fontId="5" fillId="16" borderId="0" xfId="0" applyNumberFormat="1" applyFont="1" applyFill="1" applyBorder="1" applyAlignment="1">
      <alignment vertical="center"/>
    </xf>
    <xf numFmtId="181" fontId="5" fillId="16" borderId="0" xfId="0" applyNumberFormat="1" applyFont="1" applyFill="1" applyBorder="1" applyAlignment="1">
      <alignment vertical="center"/>
    </xf>
    <xf numFmtId="181" fontId="5" fillId="16" borderId="18" xfId="0" applyNumberFormat="1" applyFont="1" applyFill="1" applyBorder="1" applyAlignment="1">
      <alignment vertical="center"/>
    </xf>
    <xf numFmtId="37" fontId="11" fillId="16" borderId="0" xfId="0" applyNumberFormat="1" applyFont="1" applyFill="1" applyBorder="1" applyAlignment="1">
      <alignment vertical="center"/>
    </xf>
    <xf numFmtId="0" fontId="5" fillId="16" borderId="1" xfId="0" applyFont="1" applyFill="1" applyBorder="1" applyAlignment="1">
      <alignment vertical="center"/>
    </xf>
    <xf numFmtId="0" fontId="11" fillId="16" borderId="19" xfId="0" applyFont="1" applyFill="1" applyBorder="1" applyAlignment="1">
      <alignment vertical="center"/>
    </xf>
    <xf numFmtId="0" fontId="11" fillId="16" borderId="20" xfId="0" applyFont="1" applyFill="1" applyBorder="1" applyAlignment="1">
      <alignment vertical="center"/>
    </xf>
    <xf numFmtId="0" fontId="5" fillId="16" borderId="20" xfId="0" applyFont="1" applyFill="1" applyBorder="1" applyAlignment="1">
      <alignment vertical="center"/>
    </xf>
    <xf numFmtId="0" fontId="5" fillId="16" borderId="21" xfId="0" applyFont="1" applyFill="1" applyBorder="1" applyAlignment="1">
      <alignment vertical="center"/>
    </xf>
    <xf numFmtId="0" fontId="24" fillId="20" borderId="0" xfId="0" applyFont="1" applyFill="1" applyBorder="1" applyAlignment="1">
      <alignment vertical="center"/>
    </xf>
    <xf numFmtId="0" fontId="27" fillId="20" borderId="0" xfId="0" applyFont="1" applyFill="1" applyBorder="1" applyAlignment="1">
      <alignment vertical="center"/>
    </xf>
    <xf numFmtId="0" fontId="17" fillId="20" borderId="0" xfId="0" applyFont="1" applyFill="1" applyBorder="1" applyAlignment="1">
      <alignment horizontal="center" vertical="center"/>
    </xf>
    <xf numFmtId="0" fontId="12" fillId="17" borderId="14" xfId="0" applyFont="1" applyFill="1" applyBorder="1" applyAlignment="1">
      <alignment vertical="center"/>
    </xf>
    <xf numFmtId="0" fontId="11" fillId="17" borderId="15" xfId="0" applyFont="1" applyFill="1" applyBorder="1" applyAlignment="1">
      <alignment vertical="center"/>
    </xf>
    <xf numFmtId="0" fontId="5" fillId="17" borderId="15" xfId="0" applyFont="1" applyFill="1" applyBorder="1" applyAlignment="1">
      <alignment vertical="center"/>
    </xf>
    <xf numFmtId="0" fontId="5" fillId="17" borderId="16" xfId="0" applyFont="1" applyFill="1" applyBorder="1" applyAlignment="1">
      <alignment vertical="center"/>
    </xf>
    <xf numFmtId="0" fontId="11" fillId="17" borderId="17" xfId="0" applyFont="1" applyFill="1" applyBorder="1" applyAlignment="1">
      <alignment vertical="center"/>
    </xf>
    <xf numFmtId="0" fontId="11" fillId="17" borderId="0" xfId="0" applyFont="1" applyFill="1" applyBorder="1" applyAlignment="1">
      <alignment vertical="center"/>
    </xf>
    <xf numFmtId="0" fontId="5" fillId="17" borderId="0" xfId="0" applyFont="1" applyFill="1" applyBorder="1" applyAlignment="1">
      <alignment vertical="center"/>
    </xf>
    <xf numFmtId="0" fontId="5" fillId="17" borderId="18" xfId="0" applyFont="1" applyFill="1" applyBorder="1" applyAlignment="1">
      <alignment vertical="center"/>
    </xf>
    <xf numFmtId="0" fontId="11" fillId="17" borderId="4" xfId="0" applyFont="1" applyFill="1" applyBorder="1" applyAlignment="1">
      <alignment vertical="center"/>
    </xf>
    <xf numFmtId="37" fontId="11" fillId="17" borderId="2" xfId="0" applyNumberFormat="1" applyFont="1" applyFill="1" applyBorder="1" applyAlignment="1">
      <alignment vertical="center"/>
    </xf>
    <xf numFmtId="0" fontId="11" fillId="17" borderId="5" xfId="0" applyFont="1" applyFill="1" applyBorder="1" applyAlignment="1">
      <alignment vertical="center"/>
    </xf>
    <xf numFmtId="9" fontId="5" fillId="17" borderId="0" xfId="1" applyFont="1" applyFill="1" applyBorder="1" applyAlignment="1">
      <alignment horizontal="center" vertical="center"/>
    </xf>
    <xf numFmtId="9" fontId="5" fillId="17" borderId="0" xfId="1" applyFont="1" applyFill="1" applyBorder="1" applyAlignment="1">
      <alignment vertical="center"/>
    </xf>
    <xf numFmtId="9" fontId="5" fillId="17" borderId="18" xfId="1" applyFont="1" applyFill="1" applyBorder="1" applyAlignment="1">
      <alignment vertical="center"/>
    </xf>
    <xf numFmtId="9" fontId="5" fillId="17" borderId="0" xfId="0" applyNumberFormat="1" applyFont="1" applyFill="1" applyBorder="1" applyAlignment="1">
      <alignment vertical="center"/>
    </xf>
    <xf numFmtId="0" fontId="12" fillId="17" borderId="0" xfId="0" applyFont="1" applyFill="1" applyBorder="1" applyAlignment="1">
      <alignment horizontal="center" vertical="center"/>
    </xf>
    <xf numFmtId="0" fontId="24" fillId="17" borderId="0" xfId="0" applyFont="1" applyFill="1" applyBorder="1" applyAlignment="1">
      <alignment horizontal="center" vertical="center"/>
    </xf>
    <xf numFmtId="9" fontId="11" fillId="17" borderId="0" xfId="1" applyFont="1" applyFill="1" applyBorder="1" applyAlignment="1">
      <alignment vertical="center"/>
    </xf>
    <xf numFmtId="0" fontId="11" fillId="17" borderId="1" xfId="0" applyFont="1" applyFill="1" applyBorder="1" applyAlignment="1">
      <alignment vertical="center"/>
    </xf>
    <xf numFmtId="9" fontId="11" fillId="17" borderId="1" xfId="1" applyFont="1" applyFill="1" applyBorder="1" applyAlignment="1">
      <alignment vertical="center"/>
    </xf>
    <xf numFmtId="0" fontId="11" fillId="17" borderId="19" xfId="0" applyFont="1" applyFill="1" applyBorder="1" applyAlignment="1">
      <alignment vertical="center"/>
    </xf>
    <xf numFmtId="0" fontId="11" fillId="17" borderId="20" xfId="0" applyFont="1" applyFill="1" applyBorder="1" applyAlignment="1">
      <alignment vertical="center"/>
    </xf>
    <xf numFmtId="0" fontId="5" fillId="17" borderId="20" xfId="0" applyFont="1" applyFill="1" applyBorder="1" applyAlignment="1">
      <alignment vertical="center"/>
    </xf>
    <xf numFmtId="0" fontId="5" fillId="17" borderId="21" xfId="0" applyFont="1" applyFill="1" applyBorder="1" applyAlignment="1">
      <alignment vertical="center"/>
    </xf>
    <xf numFmtId="0" fontId="12" fillId="14" borderId="15" xfId="0" applyFont="1" applyFill="1" applyBorder="1" applyAlignment="1">
      <alignment vertical="center"/>
    </xf>
    <xf numFmtId="0" fontId="5" fillId="14" borderId="15" xfId="0" applyFont="1" applyFill="1" applyBorder="1" applyAlignment="1">
      <alignment vertical="center"/>
    </xf>
    <xf numFmtId="0" fontId="5" fillId="14" borderId="16" xfId="0" applyFont="1" applyFill="1" applyBorder="1" applyAlignment="1">
      <alignment vertical="center"/>
    </xf>
    <xf numFmtId="0" fontId="5" fillId="14" borderId="0" xfId="0" applyFont="1" applyFill="1" applyBorder="1" applyAlignment="1">
      <alignment vertical="center"/>
    </xf>
    <xf numFmtId="0" fontId="5" fillId="14" borderId="18" xfId="0" applyFont="1" applyFill="1" applyBorder="1" applyAlignment="1">
      <alignment vertical="center"/>
    </xf>
    <xf numFmtId="0" fontId="11" fillId="14" borderId="4" xfId="0" applyFont="1" applyFill="1" applyBorder="1" applyAlignment="1">
      <alignment vertical="center"/>
    </xf>
    <xf numFmtId="37" fontId="11" fillId="14" borderId="2" xfId="0" applyNumberFormat="1" applyFont="1" applyFill="1" applyBorder="1" applyAlignment="1">
      <alignment vertical="center"/>
    </xf>
    <xf numFmtId="0" fontId="11" fillId="14" borderId="5" xfId="0" applyFont="1" applyFill="1" applyBorder="1" applyAlignment="1">
      <alignment vertical="center"/>
    </xf>
    <xf numFmtId="9" fontId="5" fillId="14" borderId="0" xfId="1" applyFont="1" applyFill="1" applyBorder="1" applyAlignment="1">
      <alignment horizontal="center" vertical="center"/>
    </xf>
    <xf numFmtId="9" fontId="5" fillId="14" borderId="0" xfId="1" applyFont="1" applyFill="1" applyBorder="1" applyAlignment="1">
      <alignment vertical="center"/>
    </xf>
    <xf numFmtId="9" fontId="5" fillId="14" borderId="18" xfId="1" applyFont="1" applyFill="1" applyBorder="1" applyAlignment="1">
      <alignment vertical="center"/>
    </xf>
    <xf numFmtId="9" fontId="5" fillId="14" borderId="0" xfId="0" applyNumberFormat="1" applyFont="1" applyFill="1" applyBorder="1" applyAlignment="1">
      <alignment vertical="center"/>
    </xf>
    <xf numFmtId="0" fontId="24" fillId="14" borderId="0" xfId="0" applyFont="1" applyFill="1" applyBorder="1" applyAlignment="1">
      <alignment horizontal="center" vertical="center"/>
    </xf>
    <xf numFmtId="9" fontId="11" fillId="14" borderId="0" xfId="1" applyFont="1" applyFill="1" applyBorder="1" applyAlignment="1">
      <alignment vertical="center"/>
    </xf>
    <xf numFmtId="9" fontId="11" fillId="14" borderId="1" xfId="1" applyFont="1" applyFill="1" applyBorder="1" applyAlignment="1">
      <alignment vertical="center"/>
    </xf>
    <xf numFmtId="0" fontId="5" fillId="14" borderId="20" xfId="0" applyFont="1" applyFill="1" applyBorder="1" applyAlignment="1">
      <alignment vertical="center"/>
    </xf>
    <xf numFmtId="0" fontId="5" fillId="14" borderId="21" xfId="0" applyFont="1" applyFill="1" applyBorder="1" applyAlignment="1">
      <alignment vertical="center"/>
    </xf>
    <xf numFmtId="0" fontId="11" fillId="19" borderId="15" xfId="0" applyFont="1" applyFill="1" applyBorder="1" applyAlignment="1">
      <alignment vertical="center"/>
    </xf>
    <xf numFmtId="0" fontId="5" fillId="19" borderId="0" xfId="0" applyFont="1" applyFill="1" applyAlignment="1">
      <alignment vertical="center"/>
    </xf>
    <xf numFmtId="0" fontId="24" fillId="19" borderId="1" xfId="0" applyFont="1" applyFill="1" applyBorder="1" applyAlignment="1">
      <alignment horizontal="center" vertical="center"/>
    </xf>
    <xf numFmtId="10" fontId="11" fillId="19" borderId="0" xfId="0" applyNumberFormat="1" applyFont="1" applyFill="1" applyBorder="1" applyAlignment="1">
      <alignment vertical="center"/>
    </xf>
    <xf numFmtId="0" fontId="11" fillId="19" borderId="0" xfId="0" quotePrefix="1" applyFont="1" applyFill="1" applyAlignment="1">
      <alignment vertical="center"/>
    </xf>
    <xf numFmtId="0" fontId="5" fillId="19" borderId="0" xfId="0" applyFont="1" applyFill="1" applyBorder="1" applyAlignment="1">
      <alignment vertical="center"/>
    </xf>
    <xf numFmtId="0" fontId="24" fillId="19" borderId="0" xfId="0" applyFont="1" applyFill="1" applyAlignment="1">
      <alignment vertical="center"/>
    </xf>
    <xf numFmtId="0" fontId="27" fillId="19" borderId="0" xfId="145" applyFont="1" applyFill="1" applyBorder="1" applyAlignment="1">
      <alignment horizontal="left"/>
    </xf>
    <xf numFmtId="0" fontId="5" fillId="19" borderId="0" xfId="143" applyFont="1" applyFill="1" applyBorder="1"/>
    <xf numFmtId="0" fontId="5" fillId="19" borderId="0" xfId="143" applyFont="1" applyFill="1" applyBorder="1" applyAlignment="1">
      <alignment horizontal="right"/>
    </xf>
    <xf numFmtId="0" fontId="24" fillId="19" borderId="0" xfId="143" applyFont="1" applyFill="1" applyBorder="1" applyAlignment="1">
      <alignment horizontal="right"/>
    </xf>
    <xf numFmtId="0" fontId="24" fillId="19" borderId="0" xfId="143" applyFont="1" applyFill="1" applyBorder="1"/>
    <xf numFmtId="0" fontId="5" fillId="19" borderId="0" xfId="143" applyFont="1" applyFill="1" applyBorder="1" applyAlignment="1">
      <alignment horizontal="center"/>
    </xf>
    <xf numFmtId="0" fontId="29" fillId="19" borderId="0" xfId="143" applyFont="1" applyFill="1" applyBorder="1" applyAlignment="1">
      <alignment horizontal="center"/>
    </xf>
    <xf numFmtId="0" fontId="30" fillId="19" borderId="0" xfId="143" applyFont="1" applyFill="1" applyBorder="1" applyAlignment="1">
      <alignment horizontal="center"/>
    </xf>
    <xf numFmtId="0" fontId="31" fillId="19" borderId="0" xfId="143" applyFont="1" applyFill="1" applyBorder="1"/>
    <xf numFmtId="0" fontId="11" fillId="19" borderId="0" xfId="0" applyFont="1" applyFill="1" applyBorder="1"/>
    <xf numFmtId="0" fontId="12" fillId="19" borderId="0" xfId="0" applyFont="1" applyFill="1"/>
    <xf numFmtId="0" fontId="5" fillId="19" borderId="0" xfId="145" applyFont="1" applyFill="1" applyBorder="1"/>
    <xf numFmtId="0" fontId="21" fillId="19" borderId="0" xfId="0" applyFont="1" applyFill="1"/>
    <xf numFmtId="0" fontId="21" fillId="19" borderId="0" xfId="0" applyFont="1" applyFill="1" applyBorder="1" applyProtection="1"/>
    <xf numFmtId="0" fontId="11" fillId="19" borderId="0" xfId="0" applyFont="1" applyFill="1"/>
    <xf numFmtId="0" fontId="5" fillId="19" borderId="0" xfId="143" applyFont="1" applyFill="1"/>
    <xf numFmtId="0" fontId="5" fillId="19" borderId="0" xfId="145" applyFont="1" applyFill="1"/>
    <xf numFmtId="0" fontId="11" fillId="19" borderId="0" xfId="0" applyFont="1" applyFill="1" applyAlignment="1">
      <alignment horizontal="left" vertical="top"/>
    </xf>
    <xf numFmtId="0" fontId="34" fillId="19" borderId="0" xfId="0" applyFont="1" applyFill="1"/>
    <xf numFmtId="178" fontId="11" fillId="19" borderId="0" xfId="0" applyNumberFormat="1" applyFont="1" applyFill="1"/>
    <xf numFmtId="0" fontId="11" fillId="19" borderId="0" xfId="0" applyFont="1" applyFill="1" applyAlignment="1">
      <alignment horizontal="center"/>
    </xf>
    <xf numFmtId="0" fontId="34" fillId="19" borderId="0" xfId="0" applyFont="1" applyFill="1" applyAlignment="1">
      <alignment horizontal="center"/>
    </xf>
    <xf numFmtId="3" fontId="11" fillId="19" borderId="0" xfId="0" applyNumberFormat="1" applyFont="1" applyFill="1" applyAlignment="1">
      <alignment horizontal="center"/>
    </xf>
    <xf numFmtId="178" fontId="11" fillId="19" borderId="0" xfId="0" applyNumberFormat="1" applyFont="1" applyFill="1" applyAlignment="1">
      <alignment horizontal="center"/>
    </xf>
    <xf numFmtId="0" fontId="34" fillId="19" borderId="0" xfId="0" applyFont="1" applyFill="1" applyBorder="1" applyAlignment="1">
      <alignment horizontal="center"/>
    </xf>
    <xf numFmtId="178" fontId="11" fillId="19" borderId="0" xfId="0" applyNumberFormat="1" applyFont="1" applyFill="1" applyBorder="1" applyAlignment="1">
      <alignment horizontal="center"/>
    </xf>
    <xf numFmtId="0" fontId="11" fillId="19" borderId="0" xfId="0" applyFont="1" applyFill="1" applyAlignment="1">
      <alignment horizontal="left" vertical="top" wrapText="1"/>
    </xf>
    <xf numFmtId="178" fontId="11" fillId="19" borderId="0" xfId="0" applyNumberFormat="1" applyFont="1" applyFill="1" applyBorder="1" applyAlignment="1">
      <alignment horizontal="left"/>
    </xf>
    <xf numFmtId="0" fontId="12" fillId="19" borderId="0" xfId="0" applyFont="1" applyFill="1" applyBorder="1"/>
    <xf numFmtId="0" fontId="24" fillId="19" borderId="0" xfId="145" applyFont="1" applyFill="1" applyBorder="1"/>
    <xf numFmtId="0" fontId="5" fillId="19" borderId="0" xfId="145" applyFont="1" applyFill="1" applyBorder="1" applyAlignment="1">
      <alignment horizontal="center"/>
    </xf>
    <xf numFmtId="0" fontId="24" fillId="19" borderId="0" xfId="145" applyFont="1" applyFill="1" applyBorder="1" applyAlignment="1">
      <alignment horizontal="center"/>
    </xf>
    <xf numFmtId="0" fontId="11" fillId="19" borderId="0" xfId="0" applyFont="1" applyFill="1" applyBorder="1" applyAlignment="1">
      <alignment horizontal="left" vertical="center" wrapText="1"/>
    </xf>
    <xf numFmtId="0" fontId="11" fillId="19" borderId="0" xfId="0" applyFont="1" applyFill="1" applyBorder="1" applyAlignment="1">
      <alignment vertical="center" wrapText="1"/>
    </xf>
    <xf numFmtId="0" fontId="11" fillId="19" borderId="15" xfId="0" applyFont="1" applyFill="1" applyBorder="1"/>
    <xf numFmtId="0" fontId="11" fillId="19" borderId="0" xfId="0" applyFont="1" applyFill="1" applyBorder="1" applyAlignment="1">
      <alignment horizontal="left"/>
    </xf>
    <xf numFmtId="0" fontId="42" fillId="19" borderId="0" xfId="0" applyFont="1" applyFill="1" applyAlignment="1">
      <alignment horizontal="left" vertical="center"/>
    </xf>
    <xf numFmtId="44" fontId="11" fillId="19" borderId="0" xfId="3" applyFont="1" applyFill="1" applyBorder="1" applyAlignment="1">
      <alignment horizontal="center" vertical="center"/>
    </xf>
    <xf numFmtId="44" fontId="11" fillId="19" borderId="0" xfId="3" applyFont="1" applyFill="1" applyBorder="1" applyAlignment="1">
      <alignment vertical="center"/>
    </xf>
    <xf numFmtId="0" fontId="11" fillId="19" borderId="0" xfId="0" applyFont="1" applyFill="1" applyBorder="1" applyAlignment="1">
      <alignment horizontal="center" vertical="center" wrapText="1"/>
    </xf>
    <xf numFmtId="0" fontId="12" fillId="19" borderId="3" xfId="0" applyFont="1" applyFill="1" applyBorder="1" applyAlignment="1">
      <alignment horizontal="center" vertical="center"/>
    </xf>
    <xf numFmtId="0" fontId="12" fillId="19" borderId="3" xfId="0" applyFont="1" applyFill="1" applyBorder="1" applyAlignment="1">
      <alignment horizontal="center" vertical="center" wrapText="1"/>
    </xf>
    <xf numFmtId="0" fontId="11" fillId="19" borderId="20" xfId="0" applyFont="1" applyFill="1" applyBorder="1" applyAlignment="1">
      <alignment horizontal="left" vertical="center" wrapText="1"/>
    </xf>
    <xf numFmtId="166" fontId="12" fillId="19" borderId="20" xfId="0" applyNumberFormat="1" applyFont="1" applyFill="1" applyBorder="1" applyAlignment="1">
      <alignment horizontal="right" vertical="center"/>
    </xf>
    <xf numFmtId="164" fontId="12" fillId="19" borderId="20" xfId="1" applyNumberFormat="1" applyFont="1" applyFill="1" applyBorder="1" applyAlignment="1">
      <alignment horizontal="right" vertical="center"/>
    </xf>
    <xf numFmtId="0" fontId="5" fillId="19" borderId="0" xfId="145" applyFont="1" applyFill="1" applyBorder="1" applyAlignment="1">
      <alignment horizontal="right" vertical="center"/>
    </xf>
    <xf numFmtId="0" fontId="9" fillId="18" borderId="0" xfId="145" applyFont="1" applyFill="1" applyBorder="1" applyAlignment="1">
      <alignment horizontal="left" vertical="center"/>
    </xf>
    <xf numFmtId="0" fontId="9" fillId="18" borderId="0" xfId="145" applyFont="1" applyFill="1" applyBorder="1" applyAlignment="1">
      <alignment vertical="center"/>
    </xf>
    <xf numFmtId="0" fontId="10" fillId="18" borderId="0" xfId="145" applyFont="1" applyFill="1" applyBorder="1" applyAlignment="1">
      <alignment vertical="center"/>
    </xf>
    <xf numFmtId="0" fontId="9" fillId="18" borderId="0" xfId="145" applyFont="1" applyFill="1" applyBorder="1" applyAlignment="1">
      <alignment horizontal="center" vertical="center"/>
    </xf>
    <xf numFmtId="0" fontId="29" fillId="19" borderId="0" xfId="145" applyFont="1" applyFill="1" applyBorder="1" applyAlignment="1">
      <alignment horizontal="center" vertical="center"/>
    </xf>
    <xf numFmtId="0" fontId="24" fillId="19" borderId="0" xfId="145" applyFont="1" applyFill="1" applyBorder="1" applyAlignment="1">
      <alignment horizontal="right" vertical="center"/>
    </xf>
    <xf numFmtId="0" fontId="24" fillId="19" borderId="0" xfId="145" applyFont="1" applyFill="1" applyBorder="1" applyAlignment="1">
      <alignment vertical="center"/>
    </xf>
    <xf numFmtId="0" fontId="5" fillId="19" borderId="0" xfId="145" applyFont="1" applyFill="1" applyBorder="1" applyAlignment="1">
      <alignment horizontal="center" vertical="center"/>
    </xf>
    <xf numFmtId="0" fontId="24" fillId="19" borderId="0" xfId="145" applyFont="1" applyFill="1" applyBorder="1" applyAlignment="1">
      <alignment horizontal="left" vertical="center"/>
    </xf>
    <xf numFmtId="0" fontId="24" fillId="19" borderId="0" xfId="145" applyFont="1" applyFill="1" applyBorder="1" applyAlignment="1">
      <alignment horizontal="center" vertical="center"/>
    </xf>
    <xf numFmtId="0" fontId="21" fillId="19" borderId="0" xfId="0" applyFont="1" applyFill="1" applyBorder="1" applyAlignment="1" applyProtection="1">
      <alignment vertical="center"/>
    </xf>
    <xf numFmtId="0" fontId="9" fillId="24" borderId="0" xfId="145" applyFont="1" applyFill="1" applyBorder="1" applyAlignment="1">
      <alignment vertical="center"/>
    </xf>
    <xf numFmtId="0" fontId="10" fillId="24" borderId="0" xfId="145" applyFont="1" applyFill="1" applyBorder="1" applyAlignment="1">
      <alignment vertical="center"/>
    </xf>
    <xf numFmtId="0" fontId="9" fillId="24" borderId="0" xfId="145" applyFont="1" applyFill="1" applyBorder="1" applyAlignment="1">
      <alignment horizontal="center" vertical="center"/>
    </xf>
    <xf numFmtId="0" fontId="12" fillId="19" borderId="40" xfId="0" applyFont="1" applyFill="1" applyBorder="1" applyAlignment="1">
      <alignment vertical="center"/>
    </xf>
    <xf numFmtId="0" fontId="5" fillId="19" borderId="0" xfId="0" applyFont="1" applyFill="1" applyBorder="1" applyAlignment="1" applyProtection="1">
      <alignment horizontal="right" vertical="center"/>
    </xf>
    <xf numFmtId="0" fontId="34" fillId="19" borderId="31" xfId="0" applyFont="1" applyFill="1" applyBorder="1" applyAlignment="1" applyProtection="1">
      <alignment vertical="center" wrapText="1"/>
    </xf>
    <xf numFmtId="0" fontId="43" fillId="19" borderId="34" xfId="0" applyFont="1" applyFill="1" applyBorder="1" applyAlignment="1" applyProtection="1">
      <alignment vertical="center" wrapText="1"/>
    </xf>
    <xf numFmtId="0" fontId="12" fillId="19" borderId="14" xfId="0" applyFont="1" applyFill="1" applyBorder="1" applyAlignment="1">
      <alignment vertical="center"/>
    </xf>
    <xf numFmtId="0" fontId="12" fillId="19" borderId="15" xfId="0" applyFont="1" applyFill="1" applyBorder="1" applyAlignment="1">
      <alignment horizontal="center" vertical="center"/>
    </xf>
    <xf numFmtId="0" fontId="12" fillId="19" borderId="16" xfId="0" applyFont="1" applyFill="1" applyBorder="1" applyAlignment="1">
      <alignment horizontal="center" vertical="center"/>
    </xf>
    <xf numFmtId="0" fontId="12" fillId="19" borderId="15" xfId="0" applyFont="1" applyFill="1" applyBorder="1" applyAlignment="1">
      <alignment vertical="center"/>
    </xf>
    <xf numFmtId="0" fontId="5" fillId="19" borderId="15" xfId="145" applyFont="1" applyFill="1" applyBorder="1" applyAlignment="1">
      <alignment vertical="center"/>
    </xf>
    <xf numFmtId="0" fontId="5" fillId="19" borderId="16" xfId="145" applyFont="1" applyFill="1" applyBorder="1" applyAlignment="1">
      <alignment vertical="center"/>
    </xf>
    <xf numFmtId="0" fontId="11" fillId="19" borderId="17" xfId="0" applyFont="1" applyFill="1" applyBorder="1" applyAlignment="1">
      <alignment vertical="center"/>
    </xf>
    <xf numFmtId="0" fontId="11" fillId="19" borderId="18" xfId="0" applyFont="1" applyFill="1" applyBorder="1" applyAlignment="1">
      <alignment vertical="center"/>
    </xf>
    <xf numFmtId="0" fontId="11" fillId="19" borderId="17" xfId="0" applyFont="1" applyFill="1" applyBorder="1" applyAlignment="1">
      <alignment horizontal="left" vertical="center"/>
    </xf>
    <xf numFmtId="164" fontId="11" fillId="19" borderId="0" xfId="1" applyNumberFormat="1" applyFont="1" applyFill="1" applyBorder="1" applyAlignment="1">
      <alignment vertical="center"/>
    </xf>
    <xf numFmtId="0" fontId="5" fillId="19" borderId="18" xfId="145" applyFont="1" applyFill="1" applyBorder="1" applyAlignment="1">
      <alignment vertical="center"/>
    </xf>
    <xf numFmtId="0" fontId="11" fillId="19" borderId="19" xfId="0" applyFont="1" applyFill="1" applyBorder="1" applyAlignment="1">
      <alignment horizontal="left" vertical="center"/>
    </xf>
    <xf numFmtId="164" fontId="11" fillId="19" borderId="20" xfId="1" applyNumberFormat="1" applyFont="1" applyFill="1" applyBorder="1" applyAlignment="1">
      <alignment vertical="center"/>
    </xf>
    <xf numFmtId="0" fontId="5" fillId="19" borderId="20" xfId="145" applyFont="1" applyFill="1" applyBorder="1" applyAlignment="1">
      <alignment vertical="center"/>
    </xf>
    <xf numFmtId="0" fontId="5" fillId="19" borderId="21" xfId="145" applyFont="1" applyFill="1" applyBorder="1" applyAlignment="1">
      <alignment vertical="center"/>
    </xf>
    <xf numFmtId="0" fontId="5" fillId="19" borderId="17" xfId="145" applyFont="1" applyFill="1" applyBorder="1" applyAlignment="1">
      <alignment horizontal="center" vertical="center"/>
    </xf>
    <xf numFmtId="0" fontId="11" fillId="19" borderId="18" xfId="0" applyFont="1" applyFill="1" applyBorder="1" applyAlignment="1">
      <alignment horizontal="center" vertical="center"/>
    </xf>
    <xf numFmtId="0" fontId="38" fillId="19" borderId="0" xfId="0" applyFont="1" applyFill="1" applyBorder="1" applyAlignment="1">
      <alignment horizontal="left" vertical="center"/>
    </xf>
    <xf numFmtId="0" fontId="38" fillId="19" borderId="18" xfId="0" applyFont="1" applyFill="1" applyBorder="1" applyAlignment="1">
      <alignment horizontal="left" vertical="center"/>
    </xf>
    <xf numFmtId="0" fontId="11" fillId="19" borderId="17" xfId="0" quotePrefix="1" applyFont="1" applyFill="1" applyBorder="1" applyAlignment="1">
      <alignment horizontal="center" vertical="center"/>
    </xf>
    <xf numFmtId="2" fontId="11" fillId="19" borderId="18" xfId="0" applyNumberFormat="1" applyFont="1" applyFill="1" applyBorder="1" applyAlignment="1">
      <alignment horizontal="center" vertical="center"/>
    </xf>
    <xf numFmtId="2" fontId="19" fillId="19" borderId="0" xfId="0" applyNumberFormat="1" applyFont="1" applyFill="1" applyBorder="1" applyAlignment="1">
      <alignment horizontal="center" vertical="center"/>
    </xf>
    <xf numFmtId="2" fontId="19" fillId="19" borderId="18" xfId="0" applyNumberFormat="1" applyFont="1" applyFill="1" applyBorder="1" applyAlignment="1">
      <alignment horizontal="center" vertical="center"/>
    </xf>
    <xf numFmtId="0" fontId="11" fillId="19" borderId="17" xfId="0" applyFont="1" applyFill="1" applyBorder="1" applyAlignment="1">
      <alignment horizontal="center" vertical="center"/>
    </xf>
    <xf numFmtId="0" fontId="11" fillId="19" borderId="19" xfId="0" applyFont="1" applyFill="1" applyBorder="1" applyAlignment="1">
      <alignment horizontal="center" vertical="center"/>
    </xf>
    <xf numFmtId="2" fontId="11" fillId="19" borderId="21" xfId="0" applyNumberFormat="1" applyFont="1" applyFill="1" applyBorder="1" applyAlignment="1">
      <alignment horizontal="center" vertical="center"/>
    </xf>
    <xf numFmtId="2" fontId="19" fillId="19" borderId="20" xfId="0" applyNumberFormat="1" applyFont="1" applyFill="1" applyBorder="1" applyAlignment="1">
      <alignment horizontal="center" vertical="center"/>
    </xf>
    <xf numFmtId="2" fontId="19" fillId="19" borderId="21" xfId="0" applyNumberFormat="1" applyFont="1" applyFill="1" applyBorder="1" applyAlignment="1">
      <alignment horizontal="center" vertical="center"/>
    </xf>
    <xf numFmtId="0" fontId="12" fillId="19" borderId="20" xfId="0" applyFont="1" applyFill="1" applyBorder="1" applyAlignment="1">
      <alignment vertical="center"/>
    </xf>
    <xf numFmtId="0" fontId="11" fillId="19" borderId="20" xfId="0" applyFont="1" applyFill="1" applyBorder="1" applyAlignment="1">
      <alignment vertical="center"/>
    </xf>
    <xf numFmtId="170" fontId="34" fillId="19" borderId="41" xfId="0" applyNumberFormat="1" applyFont="1" applyFill="1" applyBorder="1" applyAlignment="1">
      <alignment horizontal="center" vertical="center" wrapText="1"/>
    </xf>
    <xf numFmtId="164" fontId="34" fillId="19" borderId="42" xfId="1" applyNumberFormat="1" applyFont="1" applyFill="1" applyBorder="1" applyAlignment="1">
      <alignment horizontal="center" vertical="center"/>
    </xf>
    <xf numFmtId="170" fontId="34" fillId="26" borderId="32" xfId="0" applyNumberFormat="1" applyFont="1" applyFill="1" applyBorder="1" applyAlignment="1">
      <alignment horizontal="center" vertical="center" wrapText="1"/>
    </xf>
    <xf numFmtId="164" fontId="34" fillId="26" borderId="35" xfId="0" applyNumberFormat="1" applyFont="1" applyFill="1" applyBorder="1" applyAlignment="1">
      <alignment horizontal="center" vertical="center" wrapText="1"/>
    </xf>
    <xf numFmtId="0" fontId="11" fillId="19" borderId="33" xfId="0" applyFont="1" applyFill="1" applyBorder="1" applyAlignment="1">
      <alignment horizontal="left" vertical="center"/>
    </xf>
    <xf numFmtId="0" fontId="11" fillId="26" borderId="33" xfId="0" applyFont="1" applyFill="1" applyBorder="1" applyAlignment="1">
      <alignment horizontal="left" vertical="center"/>
    </xf>
    <xf numFmtId="0" fontId="24" fillId="19" borderId="1" xfId="145" applyFont="1" applyFill="1" applyBorder="1" applyAlignment="1">
      <alignment horizontal="center" vertical="center" wrapText="1"/>
    </xf>
    <xf numFmtId="10" fontId="11" fillId="19" borderId="0" xfId="0" applyNumberFormat="1" applyFont="1" applyFill="1" applyAlignment="1">
      <alignment horizontal="center" vertical="center"/>
    </xf>
    <xf numFmtId="186" fontId="5" fillId="19" borderId="0" xfId="3" applyNumberFormat="1" applyFont="1" applyFill="1" applyAlignment="1">
      <alignment horizontal="center" vertical="center" wrapText="1"/>
    </xf>
    <xf numFmtId="9" fontId="11" fillId="19" borderId="0" xfId="0" applyNumberFormat="1" applyFont="1" applyFill="1" applyAlignment="1">
      <alignment horizontal="center" vertical="center"/>
    </xf>
    <xf numFmtId="164" fontId="11" fillId="19" borderId="0" xfId="0" applyNumberFormat="1" applyFont="1" applyFill="1" applyAlignment="1">
      <alignment horizontal="center" vertical="center"/>
    </xf>
    <xf numFmtId="10" fontId="5" fillId="19" borderId="0" xfId="1" applyNumberFormat="1" applyFont="1" applyFill="1" applyAlignment="1">
      <alignment horizontal="center" vertical="center" wrapText="1"/>
    </xf>
    <xf numFmtId="186" fontId="34" fillId="19" borderId="0" xfId="3" applyNumberFormat="1" applyFont="1" applyFill="1" applyAlignment="1">
      <alignment horizontal="center" vertical="center" wrapText="1"/>
    </xf>
    <xf numFmtId="0" fontId="24" fillId="19" borderId="0" xfId="145" applyFont="1" applyFill="1" applyAlignment="1">
      <alignment horizontal="center" vertical="center" wrapText="1"/>
    </xf>
    <xf numFmtId="0" fontId="12" fillId="19" borderId="0" xfId="0" applyFont="1" applyFill="1" applyAlignment="1">
      <alignment horizontal="center" vertical="center" wrapText="1"/>
    </xf>
    <xf numFmtId="0" fontId="5" fillId="19" borderId="0" xfId="145" applyFont="1" applyFill="1" applyAlignment="1">
      <alignment vertical="center"/>
    </xf>
    <xf numFmtId="0" fontId="34" fillId="19" borderId="0" xfId="0" applyFont="1" applyFill="1" applyBorder="1" applyAlignment="1">
      <alignment horizontal="center" vertical="center" wrapText="1"/>
    </xf>
    <xf numFmtId="6" fontId="11" fillId="19" borderId="0" xfId="0" applyNumberFormat="1" applyFont="1" applyFill="1" applyBorder="1" applyAlignment="1">
      <alignment horizontal="center" vertical="center" wrapText="1"/>
    </xf>
    <xf numFmtId="0" fontId="24" fillId="19" borderId="20" xfId="0" applyFont="1" applyFill="1" applyBorder="1" applyAlignment="1">
      <alignment vertical="center"/>
    </xf>
    <xf numFmtId="0" fontId="24" fillId="19" borderId="1" xfId="145" applyFont="1" applyFill="1" applyBorder="1" applyAlignment="1">
      <alignment vertical="center"/>
    </xf>
    <xf numFmtId="0" fontId="24" fillId="19" borderId="1" xfId="145" applyFont="1" applyFill="1" applyBorder="1" applyAlignment="1">
      <alignment horizontal="center" vertical="center"/>
    </xf>
    <xf numFmtId="0" fontId="24" fillId="19" borderId="0" xfId="145" applyFont="1" applyFill="1" applyAlignment="1">
      <alignment horizontal="right" vertical="center"/>
    </xf>
    <xf numFmtId="10" fontId="5" fillId="19" borderId="0" xfId="145" applyNumberFormat="1" applyFont="1" applyFill="1" applyAlignment="1">
      <alignment horizontal="center" vertical="center"/>
    </xf>
    <xf numFmtId="187" fontId="5" fillId="19" borderId="0" xfId="145" applyNumberFormat="1" applyFont="1" applyFill="1" applyAlignment="1">
      <alignment vertical="center"/>
    </xf>
    <xf numFmtId="10" fontId="37" fillId="19" borderId="0" xfId="1" applyNumberFormat="1" applyFont="1" applyFill="1" applyAlignment="1">
      <alignment horizontal="center" vertical="center" wrapText="1"/>
    </xf>
    <xf numFmtId="0" fontId="17" fillId="19" borderId="0" xfId="145" applyFont="1" applyFill="1" applyAlignment="1">
      <alignment vertical="center"/>
    </xf>
    <xf numFmtId="187" fontId="17" fillId="19" borderId="0" xfId="145" applyNumberFormat="1" applyFont="1" applyFill="1" applyAlignment="1">
      <alignment vertical="center"/>
    </xf>
    <xf numFmtId="0" fontId="11" fillId="19" borderId="0" xfId="0" applyFont="1" applyFill="1" applyProtection="1">
      <protection locked="0"/>
    </xf>
    <xf numFmtId="0" fontId="40" fillId="19" borderId="0" xfId="0" applyFont="1" applyFill="1" applyBorder="1"/>
    <xf numFmtId="0" fontId="12" fillId="19" borderId="0" xfId="0" applyFont="1" applyFill="1" applyBorder="1" applyAlignment="1">
      <alignment horizontal="left"/>
    </xf>
    <xf numFmtId="0" fontId="12" fillId="19" borderId="0" xfId="0" applyFont="1" applyFill="1" applyBorder="1" applyAlignment="1">
      <alignment horizontal="center"/>
    </xf>
    <xf numFmtId="0" fontId="12" fillId="19" borderId="28" xfId="0" applyFont="1" applyFill="1" applyBorder="1"/>
    <xf numFmtId="0" fontId="12" fillId="19" borderId="13" xfId="0" applyFont="1" applyFill="1" applyBorder="1"/>
    <xf numFmtId="0" fontId="12" fillId="19" borderId="13" xfId="0" applyFont="1" applyFill="1" applyBorder="1" applyAlignment="1">
      <alignment horizontal="center"/>
    </xf>
    <xf numFmtId="0" fontId="12" fillId="19" borderId="6" xfId="0" applyFont="1" applyFill="1" applyBorder="1"/>
    <xf numFmtId="0" fontId="12" fillId="19" borderId="1" xfId="0" applyFont="1" applyFill="1" applyBorder="1"/>
    <xf numFmtId="0" fontId="12" fillId="19" borderId="1" xfId="0" applyFont="1" applyFill="1" applyBorder="1" applyAlignment="1">
      <alignment horizontal="center"/>
    </xf>
    <xf numFmtId="0" fontId="5" fillId="19" borderId="0" xfId="145" applyFont="1" applyFill="1" applyAlignment="1">
      <alignment horizontal="center"/>
    </xf>
    <xf numFmtId="37" fontId="5" fillId="19" borderId="0" xfId="145" applyNumberFormat="1" applyFont="1" applyFill="1" applyAlignment="1">
      <alignment horizontal="right"/>
    </xf>
    <xf numFmtId="0" fontId="12" fillId="19" borderId="4" xfId="0" applyFont="1" applyFill="1" applyBorder="1" applyAlignment="1">
      <alignment horizontal="left"/>
    </xf>
    <xf numFmtId="0" fontId="12" fillId="19" borderId="2" xfId="0" applyFont="1" applyFill="1" applyBorder="1"/>
    <xf numFmtId="0" fontId="24" fillId="19" borderId="2" xfId="145" applyFont="1" applyFill="1" applyBorder="1" applyAlignment="1">
      <alignment horizontal="center"/>
    </xf>
    <xf numFmtId="0" fontId="12" fillId="19" borderId="2" xfId="0" applyFont="1" applyFill="1" applyBorder="1" applyAlignment="1">
      <alignment horizontal="center"/>
    </xf>
    <xf numFmtId="0" fontId="5" fillId="19" borderId="0" xfId="0" applyFont="1" applyFill="1" applyBorder="1" applyAlignment="1">
      <alignment horizontal="left"/>
    </xf>
    <xf numFmtId="0" fontId="11" fillId="19" borderId="0" xfId="0" quotePrefix="1" applyFont="1" applyFill="1"/>
    <xf numFmtId="0" fontId="11" fillId="19" borderId="13" xfId="0" applyFont="1" applyFill="1" applyBorder="1"/>
    <xf numFmtId="0" fontId="11" fillId="19" borderId="1" xfId="0" applyFont="1" applyFill="1" applyBorder="1"/>
    <xf numFmtId="0" fontId="11" fillId="19" borderId="0" xfId="0" applyFont="1" applyFill="1" applyBorder="1" applyAlignment="1">
      <alignment horizontal="center"/>
    </xf>
    <xf numFmtId="0" fontId="11" fillId="19" borderId="0" xfId="0" applyFont="1" applyFill="1" applyBorder="1" applyAlignment="1">
      <alignment horizontal="right"/>
    </xf>
    <xf numFmtId="0" fontId="17" fillId="19" borderId="0" xfId="0" applyFont="1" applyFill="1" applyBorder="1" applyAlignment="1">
      <alignment horizontal="right"/>
    </xf>
    <xf numFmtId="0" fontId="41" fillId="19" borderId="0" xfId="0" applyFont="1" applyFill="1" applyBorder="1" applyAlignment="1">
      <alignment horizontal="left"/>
    </xf>
    <xf numFmtId="0" fontId="41" fillId="19" borderId="0" xfId="0" applyFont="1" applyFill="1" applyBorder="1"/>
    <xf numFmtId="0" fontId="41" fillId="19" borderId="0" xfId="0" applyFont="1" applyFill="1" applyBorder="1" applyAlignment="1">
      <alignment horizontal="center"/>
    </xf>
    <xf numFmtId="0" fontId="12" fillId="19" borderId="1" xfId="0" applyFont="1" applyFill="1" applyBorder="1" applyAlignment="1">
      <alignment horizontal="left"/>
    </xf>
    <xf numFmtId="0" fontId="47" fillId="19" borderId="0" xfId="0" applyFont="1" applyFill="1" applyBorder="1"/>
    <xf numFmtId="0" fontId="47" fillId="19" borderId="0" xfId="0" applyFont="1" applyFill="1" applyBorder="1" applyAlignment="1">
      <alignment horizontal="center"/>
    </xf>
    <xf numFmtId="181" fontId="11" fillId="19" borderId="0" xfId="0" applyNumberFormat="1" applyFont="1" applyFill="1"/>
    <xf numFmtId="0" fontId="5" fillId="19" borderId="0" xfId="0" applyFont="1" applyFill="1"/>
    <xf numFmtId="0" fontId="24" fillId="19" borderId="1" xfId="0" applyFont="1" applyFill="1" applyBorder="1" applyAlignment="1">
      <alignment horizontal="center"/>
    </xf>
    <xf numFmtId="0" fontId="5" fillId="19" borderId="0" xfId="0" applyFont="1" applyFill="1" applyBorder="1"/>
    <xf numFmtId="0" fontId="24" fillId="19" borderId="0" xfId="0" applyFont="1" applyFill="1"/>
    <xf numFmtId="10" fontId="11" fillId="19" borderId="0" xfId="0" applyNumberFormat="1" applyFont="1" applyFill="1" applyBorder="1"/>
    <xf numFmtId="0" fontId="11" fillId="19" borderId="0" xfId="0" quotePrefix="1" applyFont="1" applyFill="1" applyBorder="1"/>
    <xf numFmtId="165" fontId="11" fillId="19" borderId="0" xfId="0" applyNumberFormat="1" applyFont="1" applyFill="1" applyBorder="1" applyAlignment="1" applyProtection="1">
      <alignment horizontal="center" vertical="center"/>
    </xf>
    <xf numFmtId="190" fontId="12" fillId="15" borderId="0" xfId="0" applyNumberFormat="1" applyFont="1" applyFill="1" applyBorder="1" applyAlignment="1">
      <alignment vertical="center"/>
    </xf>
    <xf numFmtId="190" fontId="29" fillId="19" borderId="3" xfId="143" applyNumberFormat="1" applyFont="1" applyFill="1" applyBorder="1" applyAlignment="1">
      <alignment horizontal="center" vertical="center"/>
    </xf>
    <xf numFmtId="190" fontId="29" fillId="19" borderId="0" xfId="143" applyNumberFormat="1" applyFont="1" applyFill="1" applyBorder="1" applyAlignment="1">
      <alignment horizontal="center" vertical="center"/>
    </xf>
    <xf numFmtId="190" fontId="12" fillId="15" borderId="12" xfId="0" applyNumberFormat="1" applyFont="1" applyFill="1" applyBorder="1" applyAlignment="1">
      <alignment horizontal="center" vertical="center"/>
    </xf>
    <xf numFmtId="190" fontId="12" fillId="15" borderId="27" xfId="0" applyNumberFormat="1" applyFont="1" applyFill="1" applyBorder="1" applyAlignment="1">
      <alignment horizontal="center" vertical="center"/>
    </xf>
    <xf numFmtId="190" fontId="12" fillId="14" borderId="12" xfId="0" applyNumberFormat="1" applyFont="1" applyFill="1" applyBorder="1" applyAlignment="1">
      <alignment horizontal="center" vertical="center"/>
    </xf>
    <xf numFmtId="190" fontId="12" fillId="14" borderId="27" xfId="0" applyNumberFormat="1" applyFont="1" applyFill="1" applyBorder="1" applyAlignment="1">
      <alignment horizontal="center" vertical="center"/>
    </xf>
    <xf numFmtId="190" fontId="12" fillId="19" borderId="0" xfId="0" applyNumberFormat="1" applyFont="1" applyFill="1" applyBorder="1" applyAlignment="1">
      <alignment horizontal="center" vertical="center"/>
    </xf>
    <xf numFmtId="190" fontId="11" fillId="19" borderId="0" xfId="0" applyNumberFormat="1" applyFont="1" applyFill="1" applyBorder="1" applyAlignment="1">
      <alignment vertical="center"/>
    </xf>
    <xf numFmtId="190" fontId="12" fillId="19" borderId="0" xfId="0" applyNumberFormat="1" applyFont="1" applyFill="1" applyBorder="1" applyAlignment="1">
      <alignment vertical="center"/>
    </xf>
    <xf numFmtId="190" fontId="11" fillId="14" borderId="12" xfId="0" applyNumberFormat="1" applyFont="1" applyFill="1" applyBorder="1" applyAlignment="1">
      <alignment horizontal="center" vertical="center"/>
    </xf>
    <xf numFmtId="190" fontId="11" fillId="14" borderId="27" xfId="0" applyNumberFormat="1" applyFont="1" applyFill="1" applyBorder="1" applyAlignment="1">
      <alignment horizontal="center" vertical="center"/>
    </xf>
    <xf numFmtId="190" fontId="11" fillId="15" borderId="12" xfId="0" applyNumberFormat="1" applyFont="1" applyFill="1" applyBorder="1" applyAlignment="1">
      <alignment horizontal="center" vertical="center"/>
    </xf>
    <xf numFmtId="190" fontId="11" fillId="15" borderId="27" xfId="0" applyNumberFormat="1" applyFont="1" applyFill="1" applyBorder="1" applyAlignment="1">
      <alignment horizontal="center" vertical="center"/>
    </xf>
    <xf numFmtId="190" fontId="34" fillId="2" borderId="23" xfId="0" applyNumberFormat="1" applyFont="1" applyFill="1" applyBorder="1" applyAlignment="1" applyProtection="1">
      <alignment horizontal="center" vertical="center"/>
      <protection locked="0"/>
    </xf>
    <xf numFmtId="190" fontId="34" fillId="10" borderId="23" xfId="0" applyNumberFormat="1" applyFont="1" applyFill="1" applyBorder="1" applyAlignment="1" applyProtection="1">
      <alignment horizontal="center" vertical="center"/>
      <protection locked="0"/>
    </xf>
    <xf numFmtId="190" fontId="34" fillId="11" borderId="23" xfId="0" applyNumberFormat="1" applyFont="1" applyFill="1" applyBorder="1" applyAlignment="1" applyProtection="1">
      <alignment horizontal="center" vertical="center"/>
      <protection locked="0"/>
    </xf>
    <xf numFmtId="190" fontId="34" fillId="12" borderId="23" xfId="0" applyNumberFormat="1" applyFont="1" applyFill="1" applyBorder="1" applyAlignment="1" applyProtection="1">
      <alignment horizontal="center" vertical="center"/>
      <protection locked="0"/>
    </xf>
    <xf numFmtId="190" fontId="34" fillId="13" borderId="23" xfId="0" applyNumberFormat="1" applyFont="1" applyFill="1" applyBorder="1" applyAlignment="1" applyProtection="1">
      <alignment horizontal="center" vertical="center"/>
      <protection locked="0"/>
    </xf>
    <xf numFmtId="190" fontId="34" fillId="5" borderId="23" xfId="0" applyNumberFormat="1" applyFont="1" applyFill="1" applyBorder="1" applyAlignment="1" applyProtection="1">
      <alignment horizontal="center" vertical="center"/>
      <protection locked="0"/>
    </xf>
    <xf numFmtId="190" fontId="34" fillId="15" borderId="4" xfId="0" applyNumberFormat="1" applyFont="1" applyFill="1" applyBorder="1" applyAlignment="1" applyProtection="1">
      <alignment vertical="center"/>
      <protection locked="0"/>
    </xf>
    <xf numFmtId="190" fontId="11" fillId="15" borderId="5" xfId="0" applyNumberFormat="1" applyFont="1" applyFill="1" applyBorder="1" applyAlignment="1" applyProtection="1">
      <alignment vertical="center"/>
    </xf>
    <xf numFmtId="190" fontId="34" fillId="14" borderId="4" xfId="0" applyNumberFormat="1" applyFont="1" applyFill="1" applyBorder="1" applyAlignment="1" applyProtection="1">
      <alignment vertical="center"/>
      <protection locked="0"/>
    </xf>
    <xf numFmtId="190" fontId="11" fillId="14" borderId="5" xfId="0" applyNumberFormat="1" applyFont="1" applyFill="1" applyBorder="1" applyAlignment="1" applyProtection="1">
      <alignment vertical="center"/>
    </xf>
    <xf numFmtId="190" fontId="24" fillId="15" borderId="4" xfId="0" applyNumberFormat="1" applyFont="1" applyFill="1" applyBorder="1" applyAlignment="1" applyProtection="1">
      <alignment vertical="center"/>
    </xf>
    <xf numFmtId="190" fontId="24" fillId="15" borderId="5" xfId="0" applyNumberFormat="1" applyFont="1" applyFill="1" applyBorder="1" applyAlignment="1" applyProtection="1">
      <alignment vertical="center"/>
    </xf>
    <xf numFmtId="190" fontId="24" fillId="14" borderId="4" xfId="0" applyNumberFormat="1" applyFont="1" applyFill="1" applyBorder="1" applyAlignment="1" applyProtection="1">
      <alignment vertical="center"/>
    </xf>
    <xf numFmtId="190" fontId="24" fillId="14" borderId="5" xfId="0" applyNumberFormat="1" applyFont="1" applyFill="1" applyBorder="1" applyAlignment="1" applyProtection="1">
      <alignment vertical="center"/>
    </xf>
    <xf numFmtId="190" fontId="5" fillId="14" borderId="4" xfId="0" applyNumberFormat="1" applyFont="1" applyFill="1" applyBorder="1" applyAlignment="1" applyProtection="1">
      <alignment vertical="center"/>
      <protection locked="0"/>
    </xf>
    <xf numFmtId="190" fontId="11" fillId="2" borderId="0" xfId="2" applyNumberFormat="1" applyFont="1" applyFill="1" applyBorder="1" applyAlignment="1">
      <alignment vertical="center"/>
    </xf>
    <xf numFmtId="190" fontId="11" fillId="2" borderId="18" xfId="2" applyNumberFormat="1" applyFont="1" applyFill="1" applyBorder="1" applyAlignment="1">
      <alignment vertical="center"/>
    </xf>
    <xf numFmtId="190" fontId="11" fillId="2" borderId="0" xfId="0" applyNumberFormat="1" applyFont="1" applyFill="1" applyBorder="1" applyAlignment="1">
      <alignment vertical="center"/>
    </xf>
    <xf numFmtId="190" fontId="11" fillId="2" borderId="18" xfId="0" applyNumberFormat="1" applyFont="1" applyFill="1" applyBorder="1" applyAlignment="1">
      <alignment vertical="center"/>
    </xf>
    <xf numFmtId="190" fontId="11" fillId="2" borderId="1" xfId="0" applyNumberFormat="1" applyFont="1" applyFill="1" applyBorder="1" applyAlignment="1">
      <alignment vertical="center"/>
    </xf>
    <xf numFmtId="190" fontId="11" fillId="2" borderId="29" xfId="0" applyNumberFormat="1" applyFont="1" applyFill="1" applyBorder="1" applyAlignment="1">
      <alignment vertical="center"/>
    </xf>
    <xf numFmtId="190" fontId="11" fillId="2" borderId="20" xfId="0" applyNumberFormat="1" applyFont="1" applyFill="1" applyBorder="1" applyAlignment="1">
      <alignment vertical="center"/>
    </xf>
    <xf numFmtId="190" fontId="11" fillId="19" borderId="0" xfId="0" applyNumberFormat="1" applyFont="1" applyFill="1" applyAlignment="1">
      <alignment vertical="center"/>
    </xf>
    <xf numFmtId="190" fontId="11" fillId="6" borderId="0" xfId="2" applyNumberFormat="1" applyFont="1" applyFill="1" applyBorder="1" applyAlignment="1">
      <alignment vertical="center"/>
    </xf>
    <xf numFmtId="190" fontId="11" fillId="6" borderId="18" xfId="2" applyNumberFormat="1" applyFont="1" applyFill="1" applyBorder="1" applyAlignment="1">
      <alignment vertical="center"/>
    </xf>
    <xf numFmtId="190" fontId="11" fillId="6" borderId="0" xfId="0" applyNumberFormat="1" applyFont="1" applyFill="1" applyBorder="1" applyAlignment="1">
      <alignment vertical="center"/>
    </xf>
    <xf numFmtId="190" fontId="11" fillId="6" borderId="18" xfId="0" applyNumberFormat="1" applyFont="1" applyFill="1" applyBorder="1" applyAlignment="1">
      <alignment vertical="center"/>
    </xf>
    <xf numFmtId="190" fontId="11" fillId="6" borderId="1" xfId="0" applyNumberFormat="1" applyFont="1" applyFill="1" applyBorder="1" applyAlignment="1">
      <alignment vertical="center"/>
    </xf>
    <xf numFmtId="190" fontId="11" fillId="6" borderId="29" xfId="0" applyNumberFormat="1" applyFont="1" applyFill="1" applyBorder="1" applyAlignment="1">
      <alignment vertical="center"/>
    </xf>
    <xf numFmtId="190" fontId="11" fillId="6" borderId="20" xfId="0" applyNumberFormat="1" applyFont="1" applyFill="1" applyBorder="1" applyAlignment="1">
      <alignment vertical="center"/>
    </xf>
    <xf numFmtId="190" fontId="11" fillId="7" borderId="0" xfId="2" applyNumberFormat="1" applyFont="1" applyFill="1" applyBorder="1" applyAlignment="1">
      <alignment vertical="center"/>
    </xf>
    <xf numFmtId="190" fontId="11" fillId="7" borderId="18" xfId="2" applyNumberFormat="1" applyFont="1" applyFill="1" applyBorder="1" applyAlignment="1">
      <alignment vertical="center"/>
    </xf>
    <xf numFmtId="190" fontId="11" fillId="7" borderId="0" xfId="0" applyNumberFormat="1" applyFont="1" applyFill="1" applyBorder="1" applyAlignment="1">
      <alignment vertical="center"/>
    </xf>
    <xf numFmtId="190" fontId="11" fillId="7" borderId="18" xfId="0" applyNumberFormat="1" applyFont="1" applyFill="1" applyBorder="1" applyAlignment="1">
      <alignment vertical="center"/>
    </xf>
    <xf numFmtId="190" fontId="11" fillId="7" borderId="1" xfId="0" applyNumberFormat="1" applyFont="1" applyFill="1" applyBorder="1" applyAlignment="1">
      <alignment vertical="center"/>
    </xf>
    <xf numFmtId="190" fontId="11" fillId="7" borderId="29" xfId="0" applyNumberFormat="1" applyFont="1" applyFill="1" applyBorder="1" applyAlignment="1">
      <alignment vertical="center"/>
    </xf>
    <xf numFmtId="190" fontId="11" fillId="7" borderId="0" xfId="0" applyNumberFormat="1" applyFont="1" applyFill="1" applyBorder="1" applyAlignment="1">
      <alignment horizontal="right" vertical="center"/>
    </xf>
    <xf numFmtId="190" fontId="11" fillId="7" borderId="20" xfId="0" applyNumberFormat="1" applyFont="1" applyFill="1" applyBorder="1" applyAlignment="1">
      <alignment vertical="center"/>
    </xf>
    <xf numFmtId="190" fontId="11" fillId="8" borderId="0" xfId="2" applyNumberFormat="1" applyFont="1" applyFill="1" applyBorder="1" applyAlignment="1">
      <alignment vertical="center"/>
    </xf>
    <xf numFmtId="190" fontId="11" fillId="8" borderId="18" xfId="2" applyNumberFormat="1" applyFont="1" applyFill="1" applyBorder="1" applyAlignment="1">
      <alignment vertical="center"/>
    </xf>
    <xf numFmtId="190" fontId="11" fillId="8" borderId="0" xfId="0" applyNumberFormat="1" applyFont="1" applyFill="1" applyBorder="1" applyAlignment="1">
      <alignment vertical="center"/>
    </xf>
    <xf numFmtId="190" fontId="11" fillId="8" borderId="18" xfId="0" applyNumberFormat="1" applyFont="1" applyFill="1" applyBorder="1" applyAlignment="1">
      <alignment vertical="center"/>
    </xf>
    <xf numFmtId="190" fontId="11" fillId="8" borderId="1" xfId="0" applyNumberFormat="1" applyFont="1" applyFill="1" applyBorder="1" applyAlignment="1">
      <alignment vertical="center"/>
    </xf>
    <xf numFmtId="190" fontId="11" fillId="8" borderId="29" xfId="0" applyNumberFormat="1" applyFont="1" applyFill="1" applyBorder="1" applyAlignment="1">
      <alignment vertical="center"/>
    </xf>
    <xf numFmtId="190" fontId="11" fillId="8" borderId="0" xfId="0" applyNumberFormat="1" applyFont="1" applyFill="1" applyBorder="1" applyAlignment="1">
      <alignment horizontal="right" vertical="center"/>
    </xf>
    <xf numFmtId="190" fontId="11" fillId="8" borderId="20" xfId="0" applyNumberFormat="1" applyFont="1" applyFill="1" applyBorder="1" applyAlignment="1">
      <alignment vertical="center"/>
    </xf>
    <xf numFmtId="190" fontId="11" fillId="9" borderId="0" xfId="2" applyNumberFormat="1" applyFont="1" applyFill="1" applyBorder="1" applyAlignment="1">
      <alignment vertical="center"/>
    </xf>
    <xf numFmtId="190" fontId="11" fillId="9" borderId="18" xfId="2" applyNumberFormat="1" applyFont="1" applyFill="1" applyBorder="1" applyAlignment="1">
      <alignment vertical="center"/>
    </xf>
    <xf numFmtId="190" fontId="11" fillId="9" borderId="0" xfId="0" applyNumberFormat="1" applyFont="1" applyFill="1" applyBorder="1" applyAlignment="1">
      <alignment vertical="center"/>
    </xf>
    <xf numFmtId="190" fontId="11" fillId="9" borderId="18" xfId="0" applyNumberFormat="1" applyFont="1" applyFill="1" applyBorder="1" applyAlignment="1">
      <alignment vertical="center"/>
    </xf>
    <xf numFmtId="190" fontId="11" fillId="9" borderId="1" xfId="0" applyNumberFormat="1" applyFont="1" applyFill="1" applyBorder="1" applyAlignment="1">
      <alignment vertical="center"/>
    </xf>
    <xf numFmtId="190" fontId="11" fillId="9" borderId="29" xfId="0" applyNumberFormat="1" applyFont="1" applyFill="1" applyBorder="1" applyAlignment="1">
      <alignment vertical="center"/>
    </xf>
    <xf numFmtId="190" fontId="11" fillId="9" borderId="0" xfId="0" applyNumberFormat="1" applyFont="1" applyFill="1" applyBorder="1" applyAlignment="1">
      <alignment horizontal="right" vertical="center"/>
    </xf>
    <xf numFmtId="190" fontId="11" fillId="9" borderId="20" xfId="0" applyNumberFormat="1" applyFont="1" applyFill="1" applyBorder="1" applyAlignment="1">
      <alignment vertical="center"/>
    </xf>
    <xf numFmtId="190" fontId="11" fillId="5" borderId="0" xfId="2" applyNumberFormat="1" applyFont="1" applyFill="1" applyBorder="1" applyAlignment="1">
      <alignment vertical="center"/>
    </xf>
    <xf numFmtId="190" fontId="11" fillId="5" borderId="18" xfId="2" applyNumberFormat="1" applyFont="1" applyFill="1" applyBorder="1" applyAlignment="1">
      <alignment vertical="center"/>
    </xf>
    <xf numFmtId="190" fontId="11" fillId="5" borderId="0" xfId="0" applyNumberFormat="1" applyFont="1" applyFill="1" applyBorder="1" applyAlignment="1">
      <alignment vertical="center"/>
    </xf>
    <xf numFmtId="190" fontId="11" fillId="5" borderId="18" xfId="0" applyNumberFormat="1" applyFont="1" applyFill="1" applyBorder="1" applyAlignment="1">
      <alignment vertical="center"/>
    </xf>
    <xf numFmtId="190" fontId="11" fillId="5" borderId="1" xfId="0" applyNumberFormat="1" applyFont="1" applyFill="1" applyBorder="1" applyAlignment="1">
      <alignment vertical="center"/>
    </xf>
    <xf numFmtId="190" fontId="11" fillId="5" borderId="29" xfId="0" applyNumberFormat="1" applyFont="1" applyFill="1" applyBorder="1" applyAlignment="1">
      <alignment vertical="center"/>
    </xf>
    <xf numFmtId="190" fontId="11" fillId="5" borderId="0" xfId="0" applyNumberFormat="1" applyFont="1" applyFill="1" applyBorder="1" applyAlignment="1">
      <alignment horizontal="right" vertical="center"/>
    </xf>
    <xf numFmtId="190" fontId="11" fillId="5" borderId="20" xfId="0" applyNumberFormat="1" applyFont="1" applyFill="1" applyBorder="1" applyAlignment="1">
      <alignment vertical="center"/>
    </xf>
    <xf numFmtId="190" fontId="5" fillId="2" borderId="0" xfId="0" applyNumberFormat="1" applyFont="1" applyFill="1" applyBorder="1" applyAlignment="1">
      <alignment vertical="center"/>
    </xf>
    <xf numFmtId="190" fontId="5" fillId="2" borderId="18" xfId="0" applyNumberFormat="1" applyFont="1" applyFill="1" applyBorder="1" applyAlignment="1">
      <alignment vertical="center"/>
    </xf>
    <xf numFmtId="190" fontId="5" fillId="2" borderId="1" xfId="0" applyNumberFormat="1" applyFont="1" applyFill="1" applyBorder="1" applyAlignment="1">
      <alignment vertical="center"/>
    </xf>
    <xf numFmtId="190" fontId="5" fillId="2" borderId="29" xfId="0" applyNumberFormat="1" applyFont="1" applyFill="1" applyBorder="1" applyAlignment="1">
      <alignment vertical="center"/>
    </xf>
    <xf numFmtId="190" fontId="5" fillId="6" borderId="0" xfId="0" applyNumberFormat="1" applyFont="1" applyFill="1" applyBorder="1" applyAlignment="1">
      <alignment vertical="center"/>
    </xf>
    <xf numFmtId="190" fontId="5" fillId="6" borderId="18" xfId="0" applyNumberFormat="1" applyFont="1" applyFill="1" applyBorder="1" applyAlignment="1">
      <alignment vertical="center"/>
    </xf>
    <xf numFmtId="190" fontId="5" fillId="6" borderId="1" xfId="0" applyNumberFormat="1" applyFont="1" applyFill="1" applyBorder="1" applyAlignment="1">
      <alignment vertical="center"/>
    </xf>
    <xf numFmtId="190" fontId="5" fillId="6" borderId="29" xfId="0" applyNumberFormat="1" applyFont="1" applyFill="1" applyBorder="1" applyAlignment="1">
      <alignment vertical="center"/>
    </xf>
    <xf numFmtId="190" fontId="5" fillId="6" borderId="20" xfId="0" applyNumberFormat="1" applyFont="1" applyFill="1" applyBorder="1" applyAlignment="1">
      <alignment vertical="center"/>
    </xf>
    <xf numFmtId="190" fontId="5" fillId="6" borderId="21" xfId="0" applyNumberFormat="1" applyFont="1" applyFill="1" applyBorder="1" applyAlignment="1">
      <alignment vertical="center"/>
    </xf>
    <xf numFmtId="190" fontId="11" fillId="7" borderId="21" xfId="0" applyNumberFormat="1" applyFont="1" applyFill="1" applyBorder="1" applyAlignment="1">
      <alignment vertical="center"/>
    </xf>
    <xf numFmtId="190" fontId="11" fillId="8" borderId="21" xfId="0" applyNumberFormat="1" applyFont="1" applyFill="1" applyBorder="1" applyAlignment="1">
      <alignment vertical="center"/>
    </xf>
    <xf numFmtId="190" fontId="11" fillId="9" borderId="21" xfId="0" applyNumberFormat="1" applyFont="1" applyFill="1" applyBorder="1" applyAlignment="1">
      <alignment vertical="center"/>
    </xf>
    <xf numFmtId="190" fontId="11" fillId="5" borderId="21" xfId="0" applyNumberFormat="1" applyFont="1" applyFill="1" applyBorder="1" applyAlignment="1">
      <alignment vertical="center"/>
    </xf>
    <xf numFmtId="190" fontId="11" fillId="2" borderId="13" xfId="0" applyNumberFormat="1" applyFont="1" applyFill="1" applyBorder="1" applyAlignment="1">
      <alignment vertical="center"/>
    </xf>
    <xf numFmtId="190" fontId="11" fillId="2" borderId="26" xfId="0" applyNumberFormat="1" applyFont="1" applyFill="1" applyBorder="1" applyAlignment="1">
      <alignment vertical="center"/>
    </xf>
    <xf numFmtId="190" fontId="11" fillId="2" borderId="27" xfId="0" applyNumberFormat="1" applyFont="1" applyFill="1" applyBorder="1" applyAlignment="1">
      <alignment vertical="center"/>
    </xf>
    <xf numFmtId="190" fontId="11" fillId="2" borderId="7" xfId="0" applyNumberFormat="1" applyFont="1" applyFill="1" applyBorder="1" applyAlignment="1">
      <alignment vertical="center"/>
    </xf>
    <xf numFmtId="190" fontId="11" fillId="10" borderId="13" xfId="0" applyNumberFormat="1" applyFont="1" applyFill="1" applyBorder="1" applyAlignment="1">
      <alignment vertical="center"/>
    </xf>
    <xf numFmtId="190" fontId="11" fillId="10" borderId="26" xfId="0" applyNumberFormat="1" applyFont="1" applyFill="1" applyBorder="1" applyAlignment="1">
      <alignment vertical="center"/>
    </xf>
    <xf numFmtId="190" fontId="11" fillId="10" borderId="0" xfId="0" applyNumberFormat="1" applyFont="1" applyFill="1" applyBorder="1" applyAlignment="1">
      <alignment vertical="center"/>
    </xf>
    <xf numFmtId="190" fontId="11" fillId="10" borderId="27" xfId="0" applyNumberFormat="1" applyFont="1" applyFill="1" applyBorder="1" applyAlignment="1">
      <alignment vertical="center"/>
    </xf>
    <xf numFmtId="190" fontId="11" fillId="10" borderId="1" xfId="0" applyNumberFormat="1" applyFont="1" applyFill="1" applyBorder="1" applyAlignment="1">
      <alignment vertical="center"/>
    </xf>
    <xf numFmtId="190" fontId="11" fillId="10" borderId="7" xfId="0" applyNumberFormat="1" applyFont="1" applyFill="1" applyBorder="1" applyAlignment="1">
      <alignment vertical="center"/>
    </xf>
    <xf numFmtId="190" fontId="11" fillId="11" borderId="0" xfId="0" applyNumberFormat="1" applyFont="1" applyFill="1" applyBorder="1" applyAlignment="1">
      <alignment vertical="center"/>
    </xf>
    <xf numFmtId="190" fontId="11" fillId="11" borderId="27" xfId="0" applyNumberFormat="1" applyFont="1" applyFill="1" applyBorder="1" applyAlignment="1">
      <alignment vertical="center"/>
    </xf>
    <xf numFmtId="190" fontId="11" fillId="11" borderId="1" xfId="0" applyNumberFormat="1" applyFont="1" applyFill="1" applyBorder="1" applyAlignment="1">
      <alignment vertical="center"/>
    </xf>
    <xf numFmtId="190" fontId="11" fillId="11" borderId="7" xfId="0" applyNumberFormat="1" applyFont="1" applyFill="1" applyBorder="1" applyAlignment="1">
      <alignment vertical="center"/>
    </xf>
    <xf numFmtId="190" fontId="11" fillId="12" borderId="0" xfId="0" applyNumberFormat="1" applyFont="1" applyFill="1" applyBorder="1" applyAlignment="1">
      <alignment vertical="center"/>
    </xf>
    <xf numFmtId="190" fontId="11" fillId="12" borderId="27" xfId="0" applyNumberFormat="1" applyFont="1" applyFill="1" applyBorder="1" applyAlignment="1">
      <alignment vertical="center"/>
    </xf>
    <xf numFmtId="190" fontId="11" fillId="12" borderId="1" xfId="0" applyNumberFormat="1" applyFont="1" applyFill="1" applyBorder="1" applyAlignment="1">
      <alignment vertical="center"/>
    </xf>
    <xf numFmtId="190" fontId="11" fillId="12" borderId="7" xfId="0" applyNumberFormat="1" applyFont="1" applyFill="1" applyBorder="1" applyAlignment="1">
      <alignment vertical="center"/>
    </xf>
    <xf numFmtId="190" fontId="11" fillId="13" borderId="0" xfId="0" applyNumberFormat="1" applyFont="1" applyFill="1" applyBorder="1" applyAlignment="1">
      <alignment vertical="center"/>
    </xf>
    <xf numFmtId="190" fontId="11" fillId="13" borderId="27" xfId="0" applyNumberFormat="1" applyFont="1" applyFill="1" applyBorder="1" applyAlignment="1">
      <alignment vertical="center"/>
    </xf>
    <xf numFmtId="190" fontId="11" fillId="13" borderId="1" xfId="0" applyNumberFormat="1" applyFont="1" applyFill="1" applyBorder="1" applyAlignment="1">
      <alignment vertical="center"/>
    </xf>
    <xf numFmtId="190" fontId="11" fillId="13" borderId="7" xfId="0" applyNumberFormat="1" applyFont="1" applyFill="1" applyBorder="1" applyAlignment="1">
      <alignment vertical="center"/>
    </xf>
    <xf numFmtId="190" fontId="11" fillId="5" borderId="27" xfId="0" applyNumberFormat="1" applyFont="1" applyFill="1" applyBorder="1" applyAlignment="1">
      <alignment vertical="center"/>
    </xf>
    <xf numFmtId="190" fontId="11" fillId="5" borderId="7" xfId="0" applyNumberFormat="1" applyFont="1" applyFill="1" applyBorder="1" applyAlignment="1">
      <alignment vertical="center"/>
    </xf>
    <xf numFmtId="190" fontId="11" fillId="15" borderId="0" xfId="2" applyNumberFormat="1" applyFont="1" applyFill="1" applyBorder="1" applyAlignment="1">
      <alignment vertical="center"/>
    </xf>
    <xf numFmtId="190" fontId="11" fillId="15" borderId="18" xfId="0" applyNumberFormat="1" applyFont="1" applyFill="1" applyBorder="1" applyAlignment="1">
      <alignment vertical="center"/>
    </xf>
    <xf numFmtId="190" fontId="11" fillId="15" borderId="18" xfId="2" applyNumberFormat="1" applyFont="1" applyFill="1" applyBorder="1" applyAlignment="1">
      <alignment vertical="center"/>
    </xf>
    <xf numFmtId="190" fontId="11" fillId="15" borderId="0" xfId="0" applyNumberFormat="1" applyFont="1" applyFill="1" applyBorder="1" applyAlignment="1">
      <alignment vertical="center"/>
    </xf>
    <xf numFmtId="190" fontId="11" fillId="15" borderId="1" xfId="0" applyNumberFormat="1" applyFont="1" applyFill="1" applyBorder="1" applyAlignment="1">
      <alignment vertical="center"/>
    </xf>
    <xf numFmtId="190" fontId="11" fillId="15" borderId="29" xfId="0" applyNumberFormat="1" applyFont="1" applyFill="1" applyBorder="1" applyAlignment="1">
      <alignment vertical="center"/>
    </xf>
    <xf numFmtId="190" fontId="12" fillId="15" borderId="18" xfId="0" applyNumberFormat="1" applyFont="1" applyFill="1" applyBorder="1" applyAlignment="1">
      <alignment vertical="center"/>
    </xf>
    <xf numFmtId="190" fontId="11" fillId="14" borderId="0" xfId="0" applyNumberFormat="1" applyFont="1" applyFill="1" applyBorder="1" applyAlignment="1">
      <alignment vertical="center"/>
    </xf>
    <xf numFmtId="190" fontId="11" fillId="14" borderId="0" xfId="2" applyNumberFormat="1" applyFont="1" applyFill="1" applyBorder="1" applyAlignment="1">
      <alignment vertical="center"/>
    </xf>
    <xf numFmtId="190" fontId="11" fillId="14" borderId="18" xfId="0" applyNumberFormat="1" applyFont="1" applyFill="1" applyBorder="1" applyAlignment="1">
      <alignment vertical="center"/>
    </xf>
    <xf numFmtId="190" fontId="11" fillId="14" borderId="18" xfId="2" applyNumberFormat="1" applyFont="1" applyFill="1" applyBorder="1" applyAlignment="1">
      <alignment vertical="center"/>
    </xf>
    <xf numFmtId="190" fontId="11" fillId="14" borderId="1" xfId="0" applyNumberFormat="1" applyFont="1" applyFill="1" applyBorder="1" applyAlignment="1">
      <alignment vertical="center"/>
    </xf>
    <xf numFmtId="190" fontId="11" fillId="14" borderId="29" xfId="0" applyNumberFormat="1" applyFont="1" applyFill="1" applyBorder="1" applyAlignment="1">
      <alignment vertical="center"/>
    </xf>
    <xf numFmtId="190" fontId="12" fillId="14" borderId="0" xfId="0" applyNumberFormat="1" applyFont="1" applyFill="1" applyBorder="1" applyAlignment="1">
      <alignment vertical="center"/>
    </xf>
    <xf numFmtId="190" fontId="12" fillId="14" borderId="18" xfId="0" applyNumberFormat="1" applyFont="1" applyFill="1" applyBorder="1" applyAlignment="1">
      <alignment vertical="center"/>
    </xf>
    <xf numFmtId="190" fontId="5" fillId="15" borderId="0" xfId="0" applyNumberFormat="1" applyFont="1" applyFill="1" applyBorder="1" applyAlignment="1">
      <alignment vertical="center"/>
    </xf>
    <xf numFmtId="190" fontId="5" fillId="15" borderId="18" xfId="0" applyNumberFormat="1" applyFont="1" applyFill="1" applyBorder="1" applyAlignment="1">
      <alignment vertical="center"/>
    </xf>
    <xf numFmtId="190" fontId="5" fillId="15" borderId="1" xfId="0" applyNumberFormat="1" applyFont="1" applyFill="1" applyBorder="1" applyAlignment="1">
      <alignment vertical="center"/>
    </xf>
    <xf numFmtId="190" fontId="5" fillId="15" borderId="29" xfId="0" applyNumberFormat="1" applyFont="1" applyFill="1" applyBorder="1" applyAlignment="1">
      <alignment vertical="center"/>
    </xf>
    <xf numFmtId="190" fontId="5" fillId="16" borderId="0" xfId="0" applyNumberFormat="1" applyFont="1" applyFill="1" applyBorder="1" applyAlignment="1">
      <alignment vertical="center"/>
    </xf>
    <xf numFmtId="190" fontId="5" fillId="16" borderId="18" xfId="0" applyNumberFormat="1" applyFont="1" applyFill="1" applyBorder="1" applyAlignment="1">
      <alignment vertical="center"/>
    </xf>
    <xf numFmtId="190" fontId="5" fillId="16" borderId="1" xfId="0" applyNumberFormat="1" applyFont="1" applyFill="1" applyBorder="1" applyAlignment="1">
      <alignment vertical="center"/>
    </xf>
    <xf numFmtId="190" fontId="5" fillId="16" borderId="29" xfId="0" applyNumberFormat="1" applyFont="1" applyFill="1" applyBorder="1" applyAlignment="1">
      <alignment vertical="center"/>
    </xf>
    <xf numFmtId="190" fontId="11" fillId="16" borderId="0" xfId="0" applyNumberFormat="1" applyFont="1" applyFill="1" applyBorder="1" applyAlignment="1">
      <alignment vertical="center"/>
    </xf>
    <xf numFmtId="190" fontId="5" fillId="17" borderId="0" xfId="0" applyNumberFormat="1" applyFont="1" applyFill="1" applyBorder="1" applyAlignment="1">
      <alignment vertical="center"/>
    </xf>
    <xf numFmtId="190" fontId="5" fillId="17" borderId="18" xfId="0" applyNumberFormat="1" applyFont="1" applyFill="1" applyBorder="1" applyAlignment="1">
      <alignment vertical="center"/>
    </xf>
    <xf numFmtId="190" fontId="5" fillId="17" borderId="1" xfId="0" applyNumberFormat="1" applyFont="1" applyFill="1" applyBorder="1" applyAlignment="1">
      <alignment vertical="center"/>
    </xf>
    <xf numFmtId="190" fontId="5" fillId="17" borderId="29" xfId="0" applyNumberFormat="1" applyFont="1" applyFill="1" applyBorder="1" applyAlignment="1">
      <alignment vertical="center"/>
    </xf>
    <xf numFmtId="190" fontId="5" fillId="14" borderId="0" xfId="0" applyNumberFormat="1" applyFont="1" applyFill="1" applyBorder="1" applyAlignment="1">
      <alignment vertical="center"/>
    </xf>
    <xf numFmtId="190" fontId="5" fillId="14" borderId="18" xfId="0" applyNumberFormat="1" applyFont="1" applyFill="1" applyBorder="1" applyAlignment="1">
      <alignment vertical="center"/>
    </xf>
    <xf numFmtId="190" fontId="5" fillId="14" borderId="1" xfId="0" applyNumberFormat="1" applyFont="1" applyFill="1" applyBorder="1" applyAlignment="1">
      <alignment vertical="center"/>
    </xf>
    <xf numFmtId="190" fontId="5" fillId="14" borderId="29" xfId="0" applyNumberFormat="1" applyFont="1" applyFill="1" applyBorder="1" applyAlignment="1">
      <alignment vertical="center"/>
    </xf>
    <xf numFmtId="190" fontId="34" fillId="15" borderId="0" xfId="2" applyNumberFormat="1" applyFont="1" applyFill="1" applyBorder="1"/>
    <xf numFmtId="190" fontId="34" fillId="15" borderId="18" xfId="0" applyNumberFormat="1" applyFont="1" applyFill="1" applyBorder="1"/>
    <xf numFmtId="190" fontId="11" fillId="15" borderId="0" xfId="2" applyNumberFormat="1" applyFont="1" applyFill="1" applyBorder="1"/>
    <xf numFmtId="190" fontId="11" fillId="15" borderId="18" xfId="2" applyNumberFormat="1" applyFont="1" applyFill="1" applyBorder="1"/>
    <xf numFmtId="190" fontId="11" fillId="15" borderId="0" xfId="0" applyNumberFormat="1" applyFont="1" applyFill="1" applyBorder="1"/>
    <xf numFmtId="190" fontId="11" fillId="15" borderId="18" xfId="0" applyNumberFormat="1" applyFont="1" applyFill="1" applyBorder="1"/>
    <xf numFmtId="190" fontId="11" fillId="15" borderId="1" xfId="0" applyNumberFormat="1" applyFont="1" applyFill="1" applyBorder="1"/>
    <xf numFmtId="190" fontId="11" fillId="15" borderId="29" xfId="0" applyNumberFormat="1" applyFont="1" applyFill="1" applyBorder="1"/>
    <xf numFmtId="190" fontId="11" fillId="15" borderId="0" xfId="0" applyNumberFormat="1" applyFont="1" applyFill="1" applyBorder="1" applyAlignment="1"/>
    <xf numFmtId="190" fontId="11" fillId="15" borderId="18" xfId="0" applyNumberFormat="1" applyFont="1" applyFill="1" applyBorder="1" applyAlignment="1"/>
    <xf numFmtId="190" fontId="12" fillId="15" borderId="0" xfId="0" applyNumberFormat="1" applyFont="1" applyFill="1" applyBorder="1" applyAlignment="1"/>
    <xf numFmtId="190" fontId="12" fillId="15" borderId="18" xfId="0" applyNumberFormat="1" applyFont="1" applyFill="1" applyBorder="1" applyAlignment="1"/>
    <xf numFmtId="190" fontId="11" fillId="15" borderId="1" xfId="0" applyNumberFormat="1" applyFont="1" applyFill="1" applyBorder="1" applyAlignment="1"/>
    <xf numFmtId="190" fontId="11" fillId="15" borderId="29" xfId="0" applyNumberFormat="1" applyFont="1" applyFill="1" applyBorder="1" applyAlignment="1"/>
    <xf numFmtId="190" fontId="11" fillId="14" borderId="0" xfId="0" applyNumberFormat="1" applyFont="1" applyFill="1" applyBorder="1"/>
    <xf numFmtId="190" fontId="34" fillId="14" borderId="0" xfId="2" applyNumberFormat="1" applyFont="1" applyFill="1" applyBorder="1"/>
    <xf numFmtId="190" fontId="34" fillId="14" borderId="18" xfId="0" applyNumberFormat="1" applyFont="1" applyFill="1" applyBorder="1"/>
    <xf numFmtId="190" fontId="11" fillId="14" borderId="0" xfId="2" applyNumberFormat="1" applyFont="1" applyFill="1" applyBorder="1"/>
    <xf numFmtId="190" fontId="11" fillId="14" borderId="18" xfId="2" applyNumberFormat="1" applyFont="1" applyFill="1" applyBorder="1"/>
    <xf numFmtId="190" fontId="11" fillId="14" borderId="18" xfId="0" applyNumberFormat="1" applyFont="1" applyFill="1" applyBorder="1"/>
    <xf numFmtId="190" fontId="11" fillId="14" borderId="1" xfId="0" applyNumberFormat="1" applyFont="1" applyFill="1" applyBorder="1"/>
    <xf numFmtId="190" fontId="11" fillId="14" borderId="29" xfId="0" applyNumberFormat="1" applyFont="1" applyFill="1" applyBorder="1"/>
    <xf numFmtId="190" fontId="11" fillId="14" borderId="0" xfId="0" applyNumberFormat="1" applyFont="1" applyFill="1" applyBorder="1" applyAlignment="1"/>
    <xf numFmtId="190" fontId="11" fillId="14" borderId="18" xfId="0" applyNumberFormat="1" applyFont="1" applyFill="1" applyBorder="1" applyAlignment="1"/>
    <xf numFmtId="190" fontId="12" fillId="14" borderId="0" xfId="0" applyNumberFormat="1" applyFont="1" applyFill="1" applyBorder="1" applyAlignment="1"/>
    <xf numFmtId="190" fontId="12" fillId="14" borderId="18" xfId="0" applyNumberFormat="1" applyFont="1" applyFill="1" applyBorder="1" applyAlignment="1"/>
    <xf numFmtId="190" fontId="11" fillId="14" borderId="1" xfId="0" applyNumberFormat="1" applyFont="1" applyFill="1" applyBorder="1" applyAlignment="1"/>
    <xf numFmtId="190" fontId="11" fillId="14" borderId="29" xfId="0" applyNumberFormat="1" applyFont="1" applyFill="1" applyBorder="1" applyAlignment="1"/>
    <xf numFmtId="190" fontId="5" fillId="15" borderId="0" xfId="0" applyNumberFormat="1" applyFont="1" applyFill="1" applyBorder="1"/>
    <xf numFmtId="190" fontId="5" fillId="15" borderId="18" xfId="0" applyNumberFormat="1" applyFont="1" applyFill="1" applyBorder="1"/>
    <xf numFmtId="190" fontId="5" fillId="15" borderId="1" xfId="0" applyNumberFormat="1" applyFont="1" applyFill="1" applyBorder="1"/>
    <xf numFmtId="190" fontId="5" fillId="15" borderId="29" xfId="0" applyNumberFormat="1" applyFont="1" applyFill="1" applyBorder="1"/>
    <xf numFmtId="190" fontId="5" fillId="16" borderId="0" xfId="0" applyNumberFormat="1" applyFont="1" applyFill="1" applyBorder="1"/>
    <xf numFmtId="190" fontId="5" fillId="16" borderId="18" xfId="0" applyNumberFormat="1" applyFont="1" applyFill="1" applyBorder="1"/>
    <xf numFmtId="190" fontId="5" fillId="16" borderId="1" xfId="0" applyNumberFormat="1" applyFont="1" applyFill="1" applyBorder="1"/>
    <xf numFmtId="190" fontId="5" fillId="16" borderId="29" xfId="0" applyNumberFormat="1" applyFont="1" applyFill="1" applyBorder="1"/>
    <xf numFmtId="190" fontId="11" fillId="16" borderId="0" xfId="0" applyNumberFormat="1" applyFont="1" applyFill="1" applyBorder="1"/>
    <xf numFmtId="190" fontId="5" fillId="17" borderId="0" xfId="0" applyNumberFormat="1" applyFont="1" applyFill="1" applyBorder="1"/>
    <xf numFmtId="190" fontId="5" fillId="17" borderId="18" xfId="0" applyNumberFormat="1" applyFont="1" applyFill="1" applyBorder="1"/>
    <xf numFmtId="190" fontId="5" fillId="17" borderId="1" xfId="0" applyNumberFormat="1" applyFont="1" applyFill="1" applyBorder="1"/>
    <xf numFmtId="190" fontId="5" fillId="17" borderId="29" xfId="0" applyNumberFormat="1" applyFont="1" applyFill="1" applyBorder="1"/>
    <xf numFmtId="190" fontId="5" fillId="14" borderId="0" xfId="0" applyNumberFormat="1" applyFont="1" applyFill="1" applyBorder="1"/>
    <xf numFmtId="190" fontId="5" fillId="14" borderId="18" xfId="0" applyNumberFormat="1" applyFont="1" applyFill="1" applyBorder="1"/>
    <xf numFmtId="190" fontId="5" fillId="14" borderId="1" xfId="0" applyNumberFormat="1" applyFont="1" applyFill="1" applyBorder="1"/>
    <xf numFmtId="190" fontId="5" fillId="14" borderId="29" xfId="0" applyNumberFormat="1" applyFont="1" applyFill="1" applyBorder="1"/>
    <xf numFmtId="190" fontId="11" fillId="19" borderId="0" xfId="2" applyNumberFormat="1" applyFont="1" applyFill="1" applyBorder="1"/>
    <xf numFmtId="190" fontId="12" fillId="19" borderId="26" xfId="2" applyNumberFormat="1" applyFont="1" applyFill="1" applyBorder="1"/>
    <xf numFmtId="190" fontId="12" fillId="19" borderId="7" xfId="2" applyNumberFormat="1" applyFont="1" applyFill="1" applyBorder="1"/>
    <xf numFmtId="190" fontId="12" fillId="19" borderId="5" xfId="2" applyNumberFormat="1" applyFont="1" applyFill="1" applyBorder="1"/>
    <xf numFmtId="190" fontId="12" fillId="19" borderId="0" xfId="2" applyNumberFormat="1" applyFont="1" applyFill="1" applyBorder="1"/>
    <xf numFmtId="190" fontId="11" fillId="19" borderId="31" xfId="3" applyNumberFormat="1" applyFont="1" applyFill="1" applyBorder="1" applyAlignment="1">
      <alignment horizontal="center" vertical="center"/>
    </xf>
    <xf numFmtId="190" fontId="11" fillId="19" borderId="0" xfId="3" applyNumberFormat="1" applyFont="1" applyFill="1" applyBorder="1" applyAlignment="1">
      <alignment horizontal="center" vertical="center"/>
    </xf>
    <xf numFmtId="190" fontId="11" fillId="19" borderId="34" xfId="3" applyNumberFormat="1" applyFont="1" applyFill="1" applyBorder="1" applyAlignment="1">
      <alignment horizontal="center" vertical="center"/>
    </xf>
    <xf numFmtId="190" fontId="34" fillId="19" borderId="31" xfId="0" applyNumberFormat="1" applyFont="1" applyFill="1" applyBorder="1" applyAlignment="1">
      <alignment horizontal="center" vertical="center"/>
    </xf>
    <xf numFmtId="190" fontId="34" fillId="19" borderId="0" xfId="0" applyNumberFormat="1" applyFont="1" applyFill="1" applyBorder="1" applyAlignment="1">
      <alignment horizontal="center" vertical="center"/>
    </xf>
    <xf numFmtId="190" fontId="34" fillId="19" borderId="34" xfId="0" applyNumberFormat="1" applyFont="1" applyFill="1" applyBorder="1" applyAlignment="1">
      <alignment horizontal="center" vertical="center"/>
    </xf>
    <xf numFmtId="190" fontId="34" fillId="26" borderId="31" xfId="0" applyNumberFormat="1" applyFont="1" applyFill="1" applyBorder="1" applyAlignment="1">
      <alignment horizontal="center" vertical="center" wrapText="1"/>
    </xf>
    <xf numFmtId="190" fontId="34" fillId="26" borderId="0" xfId="0" applyNumberFormat="1" applyFont="1" applyFill="1" applyBorder="1" applyAlignment="1">
      <alignment horizontal="center" vertical="center" wrapText="1"/>
    </xf>
    <xf numFmtId="190" fontId="34" fillId="26" borderId="34" xfId="0" applyNumberFormat="1" applyFont="1" applyFill="1" applyBorder="1" applyAlignment="1">
      <alignment horizontal="center" vertical="center" wrapText="1"/>
    </xf>
    <xf numFmtId="190" fontId="11" fillId="14" borderId="25" xfId="0" applyNumberFormat="1" applyFont="1" applyFill="1" applyBorder="1" applyAlignment="1">
      <alignment horizontal="center" vertical="center"/>
    </xf>
    <xf numFmtId="190" fontId="11" fillId="14" borderId="23" xfId="0" applyNumberFormat="1" applyFont="1" applyFill="1" applyBorder="1" applyAlignment="1">
      <alignment horizontal="center" vertical="center"/>
    </xf>
    <xf numFmtId="190" fontId="12" fillId="14" borderId="24" xfId="0" applyNumberFormat="1" applyFont="1" applyFill="1" applyBorder="1" applyAlignment="1">
      <alignment horizontal="center" vertical="center"/>
    </xf>
    <xf numFmtId="190" fontId="11" fillId="19" borderId="28" xfId="0" applyNumberFormat="1" applyFont="1" applyFill="1" applyBorder="1" applyAlignment="1">
      <alignment horizontal="center" vertical="center" wrapText="1"/>
    </xf>
    <xf numFmtId="190" fontId="11" fillId="19" borderId="25" xfId="0" applyNumberFormat="1" applyFont="1" applyFill="1" applyBorder="1" applyAlignment="1">
      <alignment horizontal="center" vertical="center" wrapText="1"/>
    </xf>
    <xf numFmtId="190" fontId="11" fillId="19" borderId="26" xfId="0" applyNumberFormat="1" applyFont="1" applyFill="1" applyBorder="1" applyAlignment="1">
      <alignment horizontal="center" vertical="center" wrapText="1"/>
    </xf>
    <xf numFmtId="190" fontId="11" fillId="19" borderId="12" xfId="0" applyNumberFormat="1" applyFont="1" applyFill="1" applyBorder="1" applyAlignment="1">
      <alignment horizontal="center" vertical="center" wrapText="1"/>
    </xf>
    <xf numFmtId="190" fontId="11" fillId="19" borderId="23" xfId="0" applyNumberFormat="1" applyFont="1" applyFill="1" applyBorder="1" applyAlignment="1">
      <alignment horizontal="center" vertical="center" wrapText="1"/>
    </xf>
    <xf numFmtId="190" fontId="11" fillId="19" borderId="27" xfId="0" applyNumberFormat="1" applyFont="1" applyFill="1" applyBorder="1" applyAlignment="1">
      <alignment horizontal="center" vertical="center" wrapText="1"/>
    </xf>
    <xf numFmtId="190" fontId="11" fillId="19" borderId="6" xfId="0" applyNumberFormat="1" applyFont="1" applyFill="1" applyBorder="1" applyAlignment="1">
      <alignment horizontal="center" vertical="center" wrapText="1"/>
    </xf>
    <xf numFmtId="190" fontId="11" fillId="19" borderId="24" xfId="0" applyNumberFormat="1" applyFont="1" applyFill="1" applyBorder="1" applyAlignment="1">
      <alignment horizontal="center" vertical="center" wrapText="1"/>
    </xf>
    <xf numFmtId="190" fontId="11" fillId="19" borderId="7" xfId="0" applyNumberFormat="1" applyFont="1" applyFill="1" applyBorder="1" applyAlignment="1">
      <alignment horizontal="center" vertical="center" wrapText="1"/>
    </xf>
    <xf numFmtId="190" fontId="11" fillId="19" borderId="0" xfId="0" applyNumberFormat="1" applyFont="1" applyFill="1" applyBorder="1" applyAlignment="1">
      <alignment horizontal="center" vertical="center" wrapText="1"/>
    </xf>
    <xf numFmtId="190" fontId="11" fillId="19" borderId="20" xfId="0" applyNumberFormat="1" applyFont="1" applyFill="1" applyBorder="1" applyAlignment="1">
      <alignment horizontal="center" vertical="center" wrapText="1"/>
    </xf>
    <xf numFmtId="190" fontId="34" fillId="19" borderId="0" xfId="0" applyNumberFormat="1" applyFont="1" applyFill="1" applyBorder="1" applyAlignment="1">
      <alignment horizontal="right" vertical="center" wrapText="1"/>
    </xf>
    <xf numFmtId="190" fontId="11" fillId="19" borderId="0" xfId="0" applyNumberFormat="1" applyFont="1" applyFill="1" applyBorder="1" applyAlignment="1">
      <alignment horizontal="right" vertical="center" wrapText="1"/>
    </xf>
    <xf numFmtId="190" fontId="34" fillId="19" borderId="0" xfId="145" applyNumberFormat="1" applyFont="1" applyFill="1" applyAlignment="1">
      <alignment vertical="center"/>
    </xf>
    <xf numFmtId="190" fontId="24" fillId="19" borderId="13" xfId="145" applyNumberFormat="1" applyFont="1" applyFill="1" applyBorder="1" applyAlignment="1">
      <alignment vertical="center"/>
    </xf>
    <xf numFmtId="190" fontId="43" fillId="19" borderId="0" xfId="145" applyNumberFormat="1" applyFont="1" applyFill="1" applyAlignment="1">
      <alignment vertical="center"/>
    </xf>
    <xf numFmtId="191" fontId="11" fillId="15" borderId="0" xfId="0" applyNumberFormat="1" applyFont="1" applyFill="1" applyBorder="1" applyAlignment="1">
      <alignment vertical="center"/>
    </xf>
    <xf numFmtId="191" fontId="11" fillId="19" borderId="0" xfId="0" applyNumberFormat="1" applyFont="1" applyFill="1" applyBorder="1" applyAlignment="1">
      <alignment vertical="center"/>
    </xf>
    <xf numFmtId="191" fontId="11" fillId="15" borderId="12" xfId="0" applyNumberFormat="1" applyFont="1" applyFill="1" applyBorder="1" applyAlignment="1">
      <alignment horizontal="center" vertical="center"/>
    </xf>
    <xf numFmtId="191" fontId="11" fillId="15" borderId="27" xfId="0" applyNumberFormat="1" applyFont="1" applyFill="1" applyBorder="1" applyAlignment="1">
      <alignment horizontal="center" vertical="center"/>
    </xf>
    <xf numFmtId="191" fontId="34" fillId="2" borderId="23" xfId="0" applyNumberFormat="1" applyFont="1" applyFill="1" applyBorder="1" applyAlignment="1" applyProtection="1">
      <alignment horizontal="center" vertical="center"/>
      <protection locked="0"/>
    </xf>
    <xf numFmtId="191" fontId="34" fillId="10" borderId="23" xfId="0" applyNumberFormat="1" applyFont="1" applyFill="1" applyBorder="1" applyAlignment="1" applyProtection="1">
      <alignment horizontal="center" vertical="center"/>
      <protection locked="0"/>
    </xf>
    <xf numFmtId="191" fontId="34" fillId="11" borderId="23" xfId="0" applyNumberFormat="1" applyFont="1" applyFill="1" applyBorder="1" applyAlignment="1" applyProtection="1">
      <alignment horizontal="center" vertical="center"/>
      <protection locked="0"/>
    </xf>
    <xf numFmtId="191" fontId="34" fillId="12" borderId="23" xfId="0" applyNumberFormat="1" applyFont="1" applyFill="1" applyBorder="1" applyAlignment="1" applyProtection="1">
      <alignment horizontal="center" vertical="center"/>
      <protection locked="0"/>
    </xf>
    <xf numFmtId="191" fontId="34" fillId="13" borderId="23" xfId="0" applyNumberFormat="1" applyFont="1" applyFill="1" applyBorder="1" applyAlignment="1" applyProtection="1">
      <alignment horizontal="center" vertical="center"/>
      <protection locked="0"/>
    </xf>
    <xf numFmtId="191" fontId="34" fillId="5" borderId="23" xfId="0" applyNumberFormat="1" applyFont="1" applyFill="1" applyBorder="1" applyAlignment="1" applyProtection="1">
      <alignment horizontal="center" vertical="center"/>
      <protection locked="0"/>
    </xf>
    <xf numFmtId="191" fontId="34" fillId="10" borderId="23" xfId="2" applyNumberFormat="1" applyFont="1" applyFill="1" applyBorder="1" applyAlignment="1" applyProtection="1">
      <alignment horizontal="center" vertical="center"/>
      <protection locked="0"/>
    </xf>
    <xf numFmtId="191" fontId="34" fillId="11" borderId="23" xfId="2" applyNumberFormat="1" applyFont="1" applyFill="1" applyBorder="1" applyAlignment="1" applyProtection="1">
      <alignment horizontal="center" vertical="center"/>
      <protection locked="0"/>
    </xf>
    <xf numFmtId="191" fontId="34" fillId="12" borderId="23" xfId="2" applyNumberFormat="1" applyFont="1" applyFill="1" applyBorder="1" applyAlignment="1" applyProtection="1">
      <alignment horizontal="center" vertical="center"/>
      <protection locked="0"/>
    </xf>
    <xf numFmtId="191" fontId="34" fillId="13" borderId="23" xfId="2" applyNumberFormat="1" applyFont="1" applyFill="1" applyBorder="1" applyAlignment="1" applyProtection="1">
      <alignment horizontal="center" vertical="center"/>
      <protection locked="0"/>
    </xf>
    <xf numFmtId="191" fontId="34" fillId="5" borderId="23" xfId="2" applyNumberFormat="1" applyFont="1" applyFill="1" applyBorder="1" applyAlignment="1" applyProtection="1">
      <alignment horizontal="center" vertical="center"/>
      <protection locked="0"/>
    </xf>
    <xf numFmtId="191" fontId="5" fillId="2" borderId="23" xfId="0" applyNumberFormat="1" applyFont="1" applyFill="1" applyBorder="1" applyAlignment="1" applyProtection="1">
      <alignment horizontal="center" vertical="center"/>
      <protection locked="0"/>
    </xf>
    <xf numFmtId="191" fontId="5" fillId="10" borderId="23" xfId="2" applyNumberFormat="1" applyFont="1" applyFill="1" applyBorder="1" applyAlignment="1" applyProtection="1">
      <alignment horizontal="center" vertical="center"/>
      <protection locked="0"/>
    </xf>
    <xf numFmtId="191" fontId="5" fillId="11" borderId="23" xfId="2" applyNumberFormat="1" applyFont="1" applyFill="1" applyBorder="1" applyAlignment="1" applyProtection="1">
      <alignment horizontal="center" vertical="center"/>
      <protection locked="0"/>
    </xf>
    <xf numFmtId="191" fontId="5" fillId="12" borderId="23" xfId="2" applyNumberFormat="1" applyFont="1" applyFill="1" applyBorder="1" applyAlignment="1" applyProtection="1">
      <alignment horizontal="center" vertical="center"/>
      <protection locked="0"/>
    </xf>
    <xf numFmtId="191" fontId="5" fillId="13" borderId="23" xfId="2" applyNumberFormat="1" applyFont="1" applyFill="1" applyBorder="1" applyAlignment="1" applyProtection="1">
      <alignment horizontal="center" vertical="center"/>
      <protection locked="0"/>
    </xf>
    <xf numFmtId="191" fontId="5" fillId="5" borderId="23" xfId="2" applyNumberFormat="1" applyFont="1" applyFill="1" applyBorder="1" applyAlignment="1" applyProtection="1">
      <alignment horizontal="center" vertical="center"/>
      <protection locked="0"/>
    </xf>
    <xf numFmtId="191" fontId="5" fillId="2" borderId="24" xfId="0" applyNumberFormat="1" applyFont="1" applyFill="1" applyBorder="1" applyAlignment="1" applyProtection="1">
      <alignment horizontal="center" vertical="center"/>
      <protection locked="0"/>
    </xf>
    <xf numFmtId="191" fontId="5" fillId="10" borderId="24" xfId="2" applyNumberFormat="1" applyFont="1" applyFill="1" applyBorder="1" applyAlignment="1" applyProtection="1">
      <alignment horizontal="center" vertical="center"/>
      <protection locked="0"/>
    </xf>
    <xf numFmtId="191" fontId="5" fillId="11" borderId="24" xfId="2" applyNumberFormat="1" applyFont="1" applyFill="1" applyBorder="1" applyAlignment="1" applyProtection="1">
      <alignment horizontal="center" vertical="center"/>
      <protection locked="0"/>
    </xf>
    <xf numFmtId="191" fontId="5" fillId="12" borderId="24" xfId="2" applyNumberFormat="1" applyFont="1" applyFill="1" applyBorder="1" applyAlignment="1" applyProtection="1">
      <alignment horizontal="center" vertical="center"/>
      <protection locked="0"/>
    </xf>
    <xf numFmtId="191" fontId="5" fillId="13" borderId="24" xfId="2" applyNumberFormat="1" applyFont="1" applyFill="1" applyBorder="1" applyAlignment="1" applyProtection="1">
      <alignment horizontal="center" vertical="center"/>
      <protection locked="0"/>
    </xf>
    <xf numFmtId="191" fontId="5" fillId="5" borderId="24" xfId="2" applyNumberFormat="1" applyFont="1" applyFill="1" applyBorder="1" applyAlignment="1" applyProtection="1">
      <alignment horizontal="center" vertical="center"/>
      <protection locked="0"/>
    </xf>
    <xf numFmtId="191" fontId="34" fillId="10" borderId="24" xfId="0" applyNumberFormat="1" applyFont="1" applyFill="1" applyBorder="1" applyAlignment="1" applyProtection="1">
      <alignment horizontal="center" vertical="center"/>
      <protection locked="0"/>
    </xf>
    <xf numFmtId="191" fontId="34" fillId="11" borderId="24" xfId="0" applyNumberFormat="1" applyFont="1" applyFill="1" applyBorder="1" applyAlignment="1" applyProtection="1">
      <alignment horizontal="center" vertical="center"/>
      <protection locked="0"/>
    </xf>
    <xf numFmtId="191" fontId="34" fillId="12" borderId="24" xfId="0" applyNumberFormat="1" applyFont="1" applyFill="1" applyBorder="1" applyAlignment="1" applyProtection="1">
      <alignment horizontal="center" vertical="center"/>
      <protection locked="0"/>
    </xf>
    <xf numFmtId="191" fontId="34" fillId="13" borderId="24" xfId="0" applyNumberFormat="1" applyFont="1" applyFill="1" applyBorder="1" applyAlignment="1" applyProtection="1">
      <alignment horizontal="center" vertical="center"/>
      <protection locked="0"/>
    </xf>
    <xf numFmtId="191" fontId="34" fillId="5" borderId="24" xfId="0" applyNumberFormat="1" applyFont="1" applyFill="1" applyBorder="1" applyAlignment="1" applyProtection="1">
      <alignment horizontal="center" vertical="center"/>
      <protection locked="0"/>
    </xf>
    <xf numFmtId="191" fontId="11" fillId="19" borderId="0" xfId="0" quotePrefix="1" applyNumberFormat="1" applyFont="1" applyFill="1" applyBorder="1" applyAlignment="1">
      <alignment vertical="center"/>
    </xf>
    <xf numFmtId="191" fontId="11" fillId="2" borderId="0" xfId="2" applyNumberFormat="1" applyFont="1" applyFill="1" applyBorder="1" applyAlignment="1">
      <alignment vertical="center"/>
    </xf>
    <xf numFmtId="191" fontId="11" fillId="2" borderId="18" xfId="2" applyNumberFormat="1" applyFont="1" applyFill="1" applyBorder="1" applyAlignment="1">
      <alignment vertical="center"/>
    </xf>
    <xf numFmtId="191" fontId="11" fillId="2" borderId="0" xfId="0" applyNumberFormat="1" applyFont="1" applyFill="1" applyBorder="1" applyAlignment="1">
      <alignment horizontal="right" vertical="center"/>
    </xf>
    <xf numFmtId="191" fontId="12" fillId="2" borderId="10" xfId="0" applyNumberFormat="1" applyFont="1" applyFill="1" applyBorder="1" applyAlignment="1">
      <alignment horizontal="right" vertical="center"/>
    </xf>
    <xf numFmtId="191" fontId="12" fillId="2" borderId="20" xfId="0" applyNumberFormat="1" applyFont="1" applyFill="1" applyBorder="1" applyAlignment="1">
      <alignment vertical="center"/>
    </xf>
    <xf numFmtId="191" fontId="11" fillId="6" borderId="0" xfId="2" applyNumberFormat="1" applyFont="1" applyFill="1" applyBorder="1" applyAlignment="1">
      <alignment vertical="center"/>
    </xf>
    <xf numFmtId="191" fontId="11" fillId="6" borderId="18" xfId="2" applyNumberFormat="1" applyFont="1" applyFill="1" applyBorder="1" applyAlignment="1">
      <alignment vertical="center"/>
    </xf>
    <xf numFmtId="191" fontId="11" fillId="6" borderId="0" xfId="0" applyNumberFormat="1" applyFont="1" applyFill="1" applyBorder="1" applyAlignment="1">
      <alignment horizontal="right" vertical="center"/>
    </xf>
    <xf numFmtId="191" fontId="12" fillId="6" borderId="10" xfId="0" applyNumberFormat="1" applyFont="1" applyFill="1" applyBorder="1" applyAlignment="1">
      <alignment horizontal="right" vertical="center"/>
    </xf>
    <xf numFmtId="191" fontId="11" fillId="7" borderId="0" xfId="2" applyNumberFormat="1" applyFont="1" applyFill="1" applyBorder="1" applyAlignment="1">
      <alignment vertical="center"/>
    </xf>
    <xf numFmtId="191" fontId="11" fillId="7" borderId="18" xfId="2" applyNumberFormat="1" applyFont="1" applyFill="1" applyBorder="1" applyAlignment="1">
      <alignment vertical="center"/>
    </xf>
    <xf numFmtId="191" fontId="11" fillId="7" borderId="0" xfId="0" applyNumberFormat="1" applyFont="1" applyFill="1" applyBorder="1" applyAlignment="1">
      <alignment horizontal="right" vertical="center"/>
    </xf>
    <xf numFmtId="191" fontId="12" fillId="7" borderId="10" xfId="0" applyNumberFormat="1" applyFont="1" applyFill="1" applyBorder="1" applyAlignment="1">
      <alignment horizontal="right" vertical="center"/>
    </xf>
    <xf numFmtId="191" fontId="11" fillId="8" borderId="0" xfId="2" applyNumberFormat="1" applyFont="1" applyFill="1" applyBorder="1" applyAlignment="1">
      <alignment vertical="center"/>
    </xf>
    <xf numFmtId="191" fontId="11" fillId="8" borderId="18" xfId="2" applyNumberFormat="1" applyFont="1" applyFill="1" applyBorder="1" applyAlignment="1">
      <alignment vertical="center"/>
    </xf>
    <xf numFmtId="191" fontId="11" fillId="8" borderId="0" xfId="0" applyNumberFormat="1" applyFont="1" applyFill="1" applyBorder="1" applyAlignment="1">
      <alignment horizontal="right" vertical="center"/>
    </xf>
    <xf numFmtId="191" fontId="12" fillId="8" borderId="10" xfId="0" applyNumberFormat="1" applyFont="1" applyFill="1" applyBorder="1" applyAlignment="1">
      <alignment horizontal="right" vertical="center"/>
    </xf>
    <xf numFmtId="191" fontId="12" fillId="8" borderId="20" xfId="0" applyNumberFormat="1" applyFont="1" applyFill="1" applyBorder="1" applyAlignment="1">
      <alignment vertical="center"/>
    </xf>
    <xf numFmtId="191" fontId="12" fillId="19" borderId="0" xfId="0" applyNumberFormat="1" applyFont="1" applyFill="1" applyBorder="1" applyAlignment="1">
      <alignment vertical="center"/>
    </xf>
    <xf numFmtId="191" fontId="11" fillId="9" borderId="0" xfId="2" applyNumberFormat="1" applyFont="1" applyFill="1" applyBorder="1" applyAlignment="1">
      <alignment vertical="center"/>
    </xf>
    <xf numFmtId="191" fontId="11" fillId="9" borderId="18" xfId="2" applyNumberFormat="1" applyFont="1" applyFill="1" applyBorder="1" applyAlignment="1">
      <alignment vertical="center"/>
    </xf>
    <xf numFmtId="191" fontId="11" fillId="9" borderId="0" xfId="0" applyNumberFormat="1" applyFont="1" applyFill="1" applyBorder="1" applyAlignment="1">
      <alignment horizontal="right" vertical="center"/>
    </xf>
    <xf numFmtId="191" fontId="12" fillId="9" borderId="10" xfId="0" applyNumberFormat="1" applyFont="1" applyFill="1" applyBorder="1" applyAlignment="1">
      <alignment horizontal="right" vertical="center"/>
    </xf>
    <xf numFmtId="191" fontId="12" fillId="9" borderId="20" xfId="0" applyNumberFormat="1" applyFont="1" applyFill="1" applyBorder="1" applyAlignment="1">
      <alignment vertical="center"/>
    </xf>
    <xf numFmtId="191" fontId="11" fillId="5" borderId="0" xfId="2" applyNumberFormat="1" applyFont="1" applyFill="1" applyBorder="1" applyAlignment="1">
      <alignment vertical="center"/>
    </xf>
    <xf numFmtId="191" fontId="11" fillId="5" borderId="18" xfId="2" applyNumberFormat="1" applyFont="1" applyFill="1" applyBorder="1" applyAlignment="1">
      <alignment vertical="center"/>
    </xf>
    <xf numFmtId="191" fontId="11" fillId="5" borderId="0" xfId="0" applyNumberFormat="1" applyFont="1" applyFill="1" applyBorder="1" applyAlignment="1">
      <alignment horizontal="right" vertical="center"/>
    </xf>
    <xf numFmtId="191" fontId="12" fillId="5" borderId="10" xfId="0" applyNumberFormat="1" applyFont="1" applyFill="1" applyBorder="1" applyAlignment="1">
      <alignment horizontal="right" vertical="center"/>
    </xf>
    <xf numFmtId="191" fontId="12" fillId="5" borderId="20" xfId="0" applyNumberFormat="1" applyFont="1" applyFill="1" applyBorder="1" applyAlignment="1">
      <alignment vertical="center"/>
    </xf>
    <xf numFmtId="191" fontId="12" fillId="15" borderId="10" xfId="0" applyNumberFormat="1" applyFont="1" applyFill="1" applyBorder="1" applyAlignment="1">
      <alignment vertical="center"/>
    </xf>
    <xf numFmtId="191" fontId="12" fillId="15" borderId="20" xfId="0" applyNumberFormat="1" applyFont="1" applyFill="1" applyBorder="1" applyAlignment="1">
      <alignment vertical="center"/>
    </xf>
    <xf numFmtId="191" fontId="11" fillId="15" borderId="18" xfId="0" applyNumberFormat="1" applyFont="1" applyFill="1" applyBorder="1" applyAlignment="1">
      <alignment vertical="center"/>
    </xf>
    <xf numFmtId="191" fontId="11" fillId="14" borderId="0" xfId="0" applyNumberFormat="1" applyFont="1" applyFill="1" applyBorder="1" applyAlignment="1">
      <alignment vertical="center"/>
    </xf>
    <xf numFmtId="191" fontId="12" fillId="14" borderId="10" xfId="0" applyNumberFormat="1" applyFont="1" applyFill="1" applyBorder="1" applyAlignment="1">
      <alignment vertical="center"/>
    </xf>
    <xf numFmtId="191" fontId="12" fillId="14" borderId="20" xfId="0" applyNumberFormat="1" applyFont="1" applyFill="1" applyBorder="1" applyAlignment="1">
      <alignment vertical="center"/>
    </xf>
    <xf numFmtId="191" fontId="11" fillId="14" borderId="18" xfId="0" applyNumberFormat="1" applyFont="1" applyFill="1" applyBorder="1" applyAlignment="1">
      <alignment vertical="center"/>
    </xf>
    <xf numFmtId="191" fontId="11" fillId="14" borderId="1" xfId="0" applyNumberFormat="1" applyFont="1" applyFill="1" applyBorder="1" applyAlignment="1">
      <alignment vertical="center"/>
    </xf>
    <xf numFmtId="191" fontId="11" fillId="14" borderId="29" xfId="0" applyNumberFormat="1" applyFont="1" applyFill="1" applyBorder="1" applyAlignment="1">
      <alignment vertical="center"/>
    </xf>
    <xf numFmtId="191" fontId="11" fillId="15" borderId="0" xfId="0" applyNumberFormat="1" applyFont="1" applyFill="1" applyBorder="1"/>
    <xf numFmtId="191" fontId="12" fillId="15" borderId="10" xfId="0" applyNumberFormat="1" applyFont="1" applyFill="1" applyBorder="1"/>
    <xf numFmtId="191" fontId="12" fillId="15" borderId="20" xfId="0" applyNumberFormat="1" applyFont="1" applyFill="1" applyBorder="1"/>
    <xf numFmtId="191" fontId="11" fillId="15" borderId="0" xfId="0" applyNumberFormat="1" applyFont="1" applyFill="1" applyBorder="1" applyAlignment="1"/>
    <xf numFmtId="191" fontId="11" fillId="15" borderId="18" xfId="0" applyNumberFormat="1" applyFont="1" applyFill="1" applyBorder="1" applyAlignment="1"/>
    <xf numFmtId="191" fontId="11" fillId="14" borderId="0" xfId="0" applyNumberFormat="1" applyFont="1" applyFill="1" applyBorder="1"/>
    <xf numFmtId="191" fontId="12" fillId="14" borderId="10" xfId="0" applyNumberFormat="1" applyFont="1" applyFill="1" applyBorder="1"/>
    <xf numFmtId="191" fontId="12" fillId="14" borderId="20" xfId="0" applyNumberFormat="1" applyFont="1" applyFill="1" applyBorder="1"/>
    <xf numFmtId="191" fontId="11" fillId="14" borderId="0" xfId="0" applyNumberFormat="1" applyFont="1" applyFill="1" applyBorder="1" applyAlignment="1"/>
    <xf numFmtId="191" fontId="11" fillId="14" borderId="18" xfId="0" applyNumberFormat="1" applyFont="1" applyFill="1" applyBorder="1" applyAlignment="1"/>
    <xf numFmtId="191" fontId="11" fillId="14" borderId="1" xfId="0" applyNumberFormat="1" applyFont="1" applyFill="1" applyBorder="1" applyAlignment="1"/>
    <xf numFmtId="191" fontId="11" fillId="14" borderId="29" xfId="0" applyNumberFormat="1" applyFont="1" applyFill="1" applyBorder="1" applyAlignment="1"/>
    <xf numFmtId="191" fontId="11" fillId="19" borderId="0" xfId="2" applyNumberFormat="1" applyFont="1" applyFill="1" applyBorder="1"/>
    <xf numFmtId="191" fontId="11" fillId="19" borderId="0" xfId="0" applyNumberFormat="1" applyFont="1" applyFill="1" applyBorder="1" applyAlignment="1">
      <alignment horizontal="right" vertical="center" wrapText="1"/>
    </xf>
    <xf numFmtId="191" fontId="12" fillId="19" borderId="0" xfId="0" applyNumberFormat="1" applyFont="1" applyFill="1" applyBorder="1" applyAlignment="1">
      <alignment horizontal="right" vertical="center" wrapText="1"/>
    </xf>
    <xf numFmtId="192" fontId="12" fillId="2" borderId="24" xfId="0" applyNumberFormat="1" applyFont="1" applyFill="1" applyBorder="1" applyAlignment="1">
      <alignment horizontal="center" vertical="center"/>
    </xf>
    <xf numFmtId="192" fontId="12" fillId="10" borderId="24" xfId="0" applyNumberFormat="1" applyFont="1" applyFill="1" applyBorder="1" applyAlignment="1">
      <alignment horizontal="center" vertical="center"/>
    </xf>
    <xf numFmtId="192" fontId="12" fillId="11" borderId="24" xfId="0" applyNumberFormat="1" applyFont="1" applyFill="1" applyBorder="1" applyAlignment="1">
      <alignment horizontal="center" vertical="center"/>
    </xf>
    <xf numFmtId="192" fontId="12" fillId="12" borderId="24" xfId="0" applyNumberFormat="1" applyFont="1" applyFill="1" applyBorder="1" applyAlignment="1">
      <alignment horizontal="center" vertical="center"/>
    </xf>
    <xf numFmtId="192" fontId="12" fillId="13" borderId="24" xfId="0" applyNumberFormat="1" applyFont="1" applyFill="1" applyBorder="1" applyAlignment="1">
      <alignment horizontal="center" vertical="center"/>
    </xf>
    <xf numFmtId="192" fontId="12" fillId="22" borderId="24" xfId="0" applyNumberFormat="1" applyFont="1" applyFill="1" applyBorder="1" applyAlignment="1">
      <alignment horizontal="center" vertical="center"/>
    </xf>
    <xf numFmtId="192" fontId="12" fillId="3" borderId="24" xfId="3" applyNumberFormat="1" applyFont="1" applyFill="1" applyBorder="1" applyAlignment="1">
      <alignment horizontal="center" vertical="center"/>
    </xf>
    <xf numFmtId="192" fontId="16" fillId="20" borderId="0" xfId="0" applyNumberFormat="1" applyFont="1" applyFill="1" applyBorder="1" applyAlignment="1">
      <alignment horizontal="center" vertical="center"/>
    </xf>
    <xf numFmtId="192" fontId="11" fillId="15" borderId="12" xfId="3" applyNumberFormat="1" applyFont="1" applyFill="1" applyBorder="1" applyAlignment="1">
      <alignment horizontal="center" vertical="center"/>
    </xf>
    <xf numFmtId="192" fontId="11" fillId="15" borderId="27" xfId="3" applyNumberFormat="1" applyFont="1" applyFill="1" applyBorder="1" applyAlignment="1">
      <alignment horizontal="center" vertical="center"/>
    </xf>
    <xf numFmtId="192" fontId="11" fillId="14" borderId="12" xfId="3" applyNumberFormat="1" applyFont="1" applyFill="1" applyBorder="1" applyAlignment="1">
      <alignment horizontal="center" vertical="center"/>
    </xf>
    <xf numFmtId="192" fontId="11" fillId="14" borderId="27" xfId="3" applyNumberFormat="1" applyFont="1" applyFill="1" applyBorder="1" applyAlignment="1">
      <alignment horizontal="center" vertical="center"/>
    </xf>
    <xf numFmtId="192" fontId="11" fillId="15" borderId="6" xfId="3" applyNumberFormat="1" applyFont="1" applyFill="1" applyBorder="1" applyAlignment="1">
      <alignment horizontal="center" vertical="center"/>
    </xf>
    <xf numFmtId="192" fontId="11" fillId="15" borderId="7" xfId="3" applyNumberFormat="1" applyFont="1" applyFill="1" applyBorder="1" applyAlignment="1">
      <alignment horizontal="center" vertical="center"/>
    </xf>
    <xf numFmtId="192" fontId="11" fillId="15" borderId="12" xfId="0" applyNumberFormat="1" applyFont="1" applyFill="1" applyBorder="1" applyAlignment="1">
      <alignment horizontal="center" vertical="center"/>
    </xf>
    <xf numFmtId="192" fontId="11" fillId="15" borderId="27" xfId="0" applyNumberFormat="1" applyFont="1" applyFill="1" applyBorder="1" applyAlignment="1">
      <alignment horizontal="center" vertical="center"/>
    </xf>
    <xf numFmtId="192" fontId="11" fillId="19" borderId="0" xfId="2" applyNumberFormat="1" applyFont="1" applyFill="1" applyBorder="1"/>
    <xf numFmtId="3" fontId="49" fillId="27" borderId="23" xfId="0" applyNumberFormat="1" applyFont="1" applyFill="1" applyBorder="1" applyAlignment="1">
      <alignment horizontal="center"/>
    </xf>
    <xf numFmtId="0" fontId="44" fillId="25" borderId="32" xfId="0" applyFont="1" applyFill="1" applyBorder="1" applyAlignment="1">
      <alignment horizontal="center" vertical="center" wrapText="1"/>
    </xf>
    <xf numFmtId="0" fontId="44" fillId="25" borderId="30" xfId="0" applyFont="1" applyFill="1" applyBorder="1" applyAlignment="1">
      <alignment horizontal="center" vertical="center" wrapText="1"/>
    </xf>
    <xf numFmtId="0" fontId="44" fillId="25" borderId="31" xfId="0" applyFont="1" applyFill="1" applyBorder="1" applyAlignment="1">
      <alignment horizontal="center" vertical="center" wrapText="1"/>
    </xf>
    <xf numFmtId="0" fontId="34" fillId="19" borderId="31" xfId="0" applyFont="1" applyFill="1" applyBorder="1" applyAlignment="1">
      <alignment horizontal="left" vertical="center" wrapText="1"/>
    </xf>
    <xf numFmtId="0" fontId="34" fillId="26" borderId="31" xfId="0" applyFont="1" applyFill="1" applyBorder="1" applyAlignment="1">
      <alignment horizontal="left" vertical="center" wrapText="1"/>
    </xf>
    <xf numFmtId="0" fontId="12" fillId="19" borderId="33" xfId="0" applyFont="1" applyFill="1" applyBorder="1" applyAlignment="1">
      <alignment horizontal="left" vertical="center" wrapText="1"/>
    </xf>
    <xf numFmtId="0" fontId="43" fillId="26" borderId="34" xfId="0" applyFont="1" applyFill="1" applyBorder="1" applyAlignment="1">
      <alignment horizontal="left" vertical="center" wrapText="1"/>
    </xf>
    <xf numFmtId="4" fontId="34" fillId="19" borderId="34" xfId="0" applyNumberFormat="1" applyFont="1" applyFill="1" applyBorder="1" applyAlignment="1">
      <alignment horizontal="center" vertical="center" wrapText="1"/>
    </xf>
    <xf numFmtId="4" fontId="34" fillId="19" borderId="35" xfId="0" applyNumberFormat="1" applyFont="1" applyFill="1" applyBorder="1" applyAlignment="1">
      <alignment horizontal="center" vertical="center" wrapText="1"/>
    </xf>
    <xf numFmtId="4" fontId="34" fillId="26" borderId="31" xfId="0" applyNumberFormat="1" applyFont="1" applyFill="1" applyBorder="1" applyAlignment="1">
      <alignment horizontal="center" vertical="center" wrapText="1"/>
    </xf>
    <xf numFmtId="4" fontId="43" fillId="26" borderId="34" xfId="0" applyNumberFormat="1" applyFont="1" applyFill="1" applyBorder="1" applyAlignment="1">
      <alignment horizontal="center" vertical="center" wrapText="1"/>
    </xf>
    <xf numFmtId="4" fontId="34" fillId="19" borderId="31" xfId="0" applyNumberFormat="1" applyFont="1" applyFill="1" applyBorder="1" applyAlignment="1" applyProtection="1">
      <alignment horizontal="center" vertical="center" wrapText="1"/>
    </xf>
    <xf numFmtId="4" fontId="34" fillId="19" borderId="32" xfId="0" applyNumberFormat="1" applyFont="1" applyFill="1" applyBorder="1" applyAlignment="1" applyProtection="1">
      <alignment horizontal="center" vertical="center" wrapText="1"/>
    </xf>
    <xf numFmtId="4" fontId="34" fillId="19" borderId="34" xfId="0" applyNumberFormat="1" applyFont="1" applyFill="1" applyBorder="1" applyAlignment="1" applyProtection="1">
      <alignment horizontal="center" vertical="center" wrapText="1"/>
    </xf>
    <xf numFmtId="4" fontId="34" fillId="19" borderId="35" xfId="0" applyNumberFormat="1" applyFont="1" applyFill="1" applyBorder="1" applyAlignment="1" applyProtection="1">
      <alignment horizontal="center" vertical="center" wrapText="1"/>
    </xf>
    <xf numFmtId="4" fontId="34" fillId="26" borderId="32" xfId="0" applyNumberFormat="1" applyFont="1" applyFill="1" applyBorder="1" applyAlignment="1">
      <alignment horizontal="center" vertical="center" wrapText="1"/>
    </xf>
    <xf numFmtId="4" fontId="34" fillId="26" borderId="34" xfId="0" applyNumberFormat="1" applyFont="1" applyFill="1" applyBorder="1" applyAlignment="1">
      <alignment horizontal="center" vertical="center" wrapText="1"/>
    </xf>
    <xf numFmtId="4" fontId="34" fillId="26" borderId="35" xfId="0" applyNumberFormat="1" applyFont="1" applyFill="1" applyBorder="1" applyAlignment="1">
      <alignment horizontal="center" vertical="center" wrapText="1"/>
    </xf>
    <xf numFmtId="4" fontId="34" fillId="19" borderId="31" xfId="0" applyNumberFormat="1" applyFont="1" applyFill="1" applyBorder="1" applyAlignment="1">
      <alignment horizontal="center" vertical="center" wrapText="1"/>
    </xf>
    <xf numFmtId="4" fontId="34" fillId="19" borderId="32" xfId="0" applyNumberFormat="1" applyFont="1" applyFill="1" applyBorder="1" applyAlignment="1">
      <alignment horizontal="center" vertical="center" wrapText="1"/>
    </xf>
    <xf numFmtId="4" fontId="34" fillId="19" borderId="0" xfId="0" applyNumberFormat="1" applyFont="1" applyFill="1" applyBorder="1" applyAlignment="1">
      <alignment horizontal="center" vertical="center" wrapText="1"/>
    </xf>
    <xf numFmtId="4" fontId="34" fillId="19" borderId="37" xfId="0" applyNumberFormat="1" applyFont="1" applyFill="1" applyBorder="1" applyAlignment="1">
      <alignment horizontal="center" vertical="center" wrapText="1"/>
    </xf>
    <xf numFmtId="4" fontId="43" fillId="19" borderId="34" xfId="0" applyNumberFormat="1" applyFont="1" applyFill="1" applyBorder="1" applyAlignment="1" applyProtection="1">
      <alignment horizontal="center" vertical="center" wrapText="1"/>
    </xf>
    <xf numFmtId="4" fontId="11" fillId="19" borderId="33" xfId="3" applyNumberFormat="1" applyFont="1" applyFill="1" applyBorder="1" applyAlignment="1">
      <alignment horizontal="center" vertical="center" wrapText="1"/>
    </xf>
    <xf numFmtId="4" fontId="11" fillId="19" borderId="34" xfId="3" applyNumberFormat="1" applyFont="1" applyFill="1" applyBorder="1" applyAlignment="1">
      <alignment horizontal="center" vertical="center" wrapText="1"/>
    </xf>
    <xf numFmtId="4" fontId="11" fillId="19" borderId="35" xfId="3" applyNumberFormat="1" applyFont="1" applyFill="1" applyBorder="1" applyAlignment="1">
      <alignment horizontal="center" vertical="center" wrapText="1"/>
    </xf>
    <xf numFmtId="190" fontId="45" fillId="19" borderId="4" xfId="145" applyNumberFormat="1" applyFont="1" applyFill="1" applyBorder="1" applyAlignment="1">
      <alignment horizontal="center" vertical="center"/>
    </xf>
    <xf numFmtId="0" fontId="46" fillId="0" borderId="5" xfId="0" applyFont="1" applyBorder="1" applyAlignment="1">
      <alignment horizontal="center" vertical="center"/>
    </xf>
    <xf numFmtId="49" fontId="45" fillId="19" borderId="4" xfId="145" applyNumberFormat="1" applyFont="1" applyFill="1" applyBorder="1" applyAlignment="1">
      <alignment horizontal="center" vertical="center"/>
    </xf>
    <xf numFmtId="49" fontId="46" fillId="0" borderId="5" xfId="0" applyNumberFormat="1" applyFont="1" applyBorder="1" applyAlignment="1">
      <alignment horizontal="center" vertical="center"/>
    </xf>
    <xf numFmtId="0" fontId="11" fillId="19" borderId="0" xfId="0" applyFont="1" applyFill="1" applyBorder="1" applyAlignment="1">
      <alignment horizontal="left" vertical="center"/>
    </xf>
    <xf numFmtId="192" fontId="11" fillId="15" borderId="12" xfId="3" applyNumberFormat="1" applyFont="1" applyFill="1" applyBorder="1" applyAlignment="1">
      <alignment horizontal="center" vertical="center"/>
    </xf>
    <xf numFmtId="172" fontId="11" fillId="15" borderId="27" xfId="3" applyNumberFormat="1" applyFont="1" applyFill="1" applyBorder="1" applyAlignment="1">
      <alignment horizontal="center" vertical="center"/>
    </xf>
    <xf numFmtId="192" fontId="11" fillId="14" borderId="12" xfId="3" applyNumberFormat="1" applyFont="1" applyFill="1" applyBorder="1" applyAlignment="1">
      <alignment horizontal="center" vertical="center"/>
    </xf>
    <xf numFmtId="172" fontId="11" fillId="14" borderId="27" xfId="3" applyNumberFormat="1" applyFont="1" applyFill="1" applyBorder="1" applyAlignment="1">
      <alignment horizontal="center" vertical="center"/>
    </xf>
    <xf numFmtId="190" fontId="11" fillId="15" borderId="12" xfId="3" applyNumberFormat="1" applyFont="1" applyFill="1" applyBorder="1" applyAlignment="1">
      <alignment horizontal="center" vertical="center"/>
    </xf>
    <xf numFmtId="5" fontId="11" fillId="15" borderId="27" xfId="3" applyNumberFormat="1" applyFont="1" applyFill="1" applyBorder="1" applyAlignment="1">
      <alignment horizontal="center" vertical="center"/>
    </xf>
    <xf numFmtId="190" fontId="11" fillId="14" borderId="12" xfId="3" applyNumberFormat="1" applyFont="1" applyFill="1" applyBorder="1" applyAlignment="1">
      <alignment horizontal="center" vertical="center"/>
    </xf>
    <xf numFmtId="5" fontId="11" fillId="14" borderId="27" xfId="3" applyNumberFormat="1" applyFont="1" applyFill="1" applyBorder="1" applyAlignment="1">
      <alignment horizontal="center" vertical="center"/>
    </xf>
    <xf numFmtId="190" fontId="11" fillId="14" borderId="6" xfId="3" applyNumberFormat="1" applyFont="1" applyFill="1" applyBorder="1" applyAlignment="1">
      <alignment horizontal="center" vertical="center"/>
    </xf>
    <xf numFmtId="5" fontId="11" fillId="14" borderId="7" xfId="3" applyNumberFormat="1" applyFont="1" applyFill="1" applyBorder="1" applyAlignment="1">
      <alignment horizontal="center" vertical="center"/>
    </xf>
    <xf numFmtId="190" fontId="11" fillId="15" borderId="12" xfId="0" applyNumberFormat="1" applyFont="1" applyFill="1" applyBorder="1" applyAlignment="1">
      <alignment horizontal="center" vertical="center"/>
    </xf>
    <xf numFmtId="5" fontId="11" fillId="15" borderId="27" xfId="0" applyNumberFormat="1" applyFont="1" applyFill="1" applyBorder="1" applyAlignment="1">
      <alignment horizontal="center" vertical="center"/>
    </xf>
    <xf numFmtId="190" fontId="11" fillId="14" borderId="12" xfId="0" applyNumberFormat="1" applyFont="1" applyFill="1" applyBorder="1" applyAlignment="1">
      <alignment horizontal="center" vertical="center"/>
    </xf>
    <xf numFmtId="5" fontId="11" fillId="14" borderId="27" xfId="0" applyNumberFormat="1" applyFont="1" applyFill="1" applyBorder="1" applyAlignment="1">
      <alignment horizontal="center" vertical="center"/>
    </xf>
    <xf numFmtId="190" fontId="11" fillId="15" borderId="6" xfId="0" applyNumberFormat="1" applyFont="1" applyFill="1" applyBorder="1" applyAlignment="1">
      <alignment horizontal="center" vertical="center"/>
    </xf>
    <xf numFmtId="5" fontId="11" fillId="15" borderId="7" xfId="0" applyNumberFormat="1" applyFont="1" applyFill="1" applyBorder="1" applyAlignment="1">
      <alignment horizontal="center" vertical="center"/>
    </xf>
    <xf numFmtId="190" fontId="11" fillId="14" borderId="6" xfId="0" applyNumberFormat="1" applyFont="1" applyFill="1" applyBorder="1" applyAlignment="1">
      <alignment horizontal="center" vertical="center"/>
    </xf>
    <xf numFmtId="5" fontId="11" fillId="14" borderId="7" xfId="0" applyNumberFormat="1" applyFont="1" applyFill="1" applyBorder="1" applyAlignment="1">
      <alignment horizontal="center" vertical="center"/>
    </xf>
    <xf numFmtId="5" fontId="0" fillId="0" borderId="27" xfId="0" applyNumberFormat="1" applyBorder="1" applyAlignment="1">
      <alignment horizontal="center" vertical="center"/>
    </xf>
    <xf numFmtId="178" fontId="11" fillId="15" borderId="6" xfId="0" applyNumberFormat="1" applyFont="1" applyFill="1" applyBorder="1" applyAlignment="1">
      <alignment horizontal="center" vertical="center"/>
    </xf>
    <xf numFmtId="178" fontId="11" fillId="15" borderId="7" xfId="0" applyNumberFormat="1" applyFont="1" applyFill="1" applyBorder="1" applyAlignment="1">
      <alignment horizontal="center" vertical="center"/>
    </xf>
    <xf numFmtId="178" fontId="11" fillId="14" borderId="6" xfId="0" applyNumberFormat="1" applyFont="1" applyFill="1" applyBorder="1" applyAlignment="1">
      <alignment horizontal="center" vertical="center"/>
    </xf>
    <xf numFmtId="178" fontId="11" fillId="14" borderId="7" xfId="0" applyNumberFormat="1" applyFont="1" applyFill="1" applyBorder="1" applyAlignment="1">
      <alignment horizontal="center" vertical="center"/>
    </xf>
    <xf numFmtId="0" fontId="12" fillId="19" borderId="0" xfId="0" applyFont="1" applyFill="1" applyBorder="1" applyAlignment="1">
      <alignment horizontal="center" vertical="center"/>
    </xf>
    <xf numFmtId="191" fontId="11" fillId="15" borderId="12" xfId="0" applyNumberFormat="1" applyFont="1" applyFill="1" applyBorder="1" applyAlignment="1">
      <alignment horizontal="center" vertical="center"/>
    </xf>
    <xf numFmtId="7" fontId="11" fillId="15" borderId="27" xfId="0" applyNumberFormat="1" applyFont="1" applyFill="1" applyBorder="1" applyAlignment="1">
      <alignment horizontal="center" vertical="center"/>
    </xf>
    <xf numFmtId="191" fontId="11" fillId="14" borderId="12" xfId="0" applyNumberFormat="1" applyFont="1" applyFill="1" applyBorder="1" applyAlignment="1">
      <alignment horizontal="center" vertical="center"/>
    </xf>
    <xf numFmtId="7" fontId="11" fillId="14" borderId="27" xfId="0" applyNumberFormat="1" applyFont="1" applyFill="1" applyBorder="1" applyAlignment="1">
      <alignment horizontal="center" vertical="center"/>
    </xf>
    <xf numFmtId="191" fontId="12" fillId="15" borderId="12" xfId="0" applyNumberFormat="1" applyFont="1" applyFill="1" applyBorder="1" applyAlignment="1">
      <alignment horizontal="center" vertical="center"/>
    </xf>
    <xf numFmtId="7" fontId="12" fillId="15" borderId="27" xfId="0" applyNumberFormat="1" applyFont="1" applyFill="1" applyBorder="1" applyAlignment="1">
      <alignment horizontal="center" vertical="center"/>
    </xf>
    <xf numFmtId="191" fontId="12" fillId="14" borderId="12" xfId="0" applyNumberFormat="1" applyFont="1" applyFill="1" applyBorder="1" applyAlignment="1">
      <alignment horizontal="center" vertical="center"/>
    </xf>
    <xf numFmtId="7" fontId="12" fillId="14" borderId="27" xfId="0" applyNumberFormat="1" applyFont="1" applyFill="1" applyBorder="1" applyAlignment="1">
      <alignment horizontal="center" vertical="center"/>
    </xf>
    <xf numFmtId="164" fontId="12" fillId="14" borderId="12" xfId="1" applyNumberFormat="1" applyFont="1" applyFill="1" applyBorder="1" applyAlignment="1">
      <alignment horizontal="center" vertical="center"/>
    </xf>
    <xf numFmtId="164" fontId="12" fillId="14" borderId="27" xfId="1" applyNumberFormat="1" applyFont="1" applyFill="1" applyBorder="1" applyAlignment="1">
      <alignment horizontal="center" vertical="center"/>
    </xf>
    <xf numFmtId="192" fontId="11" fillId="15" borderId="12" xfId="0" applyNumberFormat="1" applyFont="1" applyFill="1" applyBorder="1" applyAlignment="1">
      <alignment horizontal="center" vertical="center"/>
    </xf>
    <xf numFmtId="172" fontId="11" fillId="15" borderId="27" xfId="0" applyNumberFormat="1" applyFont="1" applyFill="1" applyBorder="1" applyAlignment="1">
      <alignment horizontal="center" vertical="center"/>
    </xf>
    <xf numFmtId="192" fontId="11" fillId="14" borderId="12" xfId="0" applyNumberFormat="1" applyFont="1" applyFill="1" applyBorder="1" applyAlignment="1">
      <alignment horizontal="center" vertical="center"/>
    </xf>
    <xf numFmtId="172" fontId="11" fillId="14" borderId="27" xfId="0" applyNumberFormat="1" applyFont="1" applyFill="1" applyBorder="1" applyAlignment="1">
      <alignment horizontal="center" vertical="center"/>
    </xf>
    <xf numFmtId="164" fontId="11" fillId="14" borderId="12" xfId="1" applyNumberFormat="1" applyFont="1" applyFill="1" applyBorder="1" applyAlignment="1">
      <alignment horizontal="center" vertical="center"/>
    </xf>
    <xf numFmtId="164" fontId="11" fillId="14" borderId="27" xfId="1" applyNumberFormat="1" applyFont="1" applyFill="1" applyBorder="1" applyAlignment="1">
      <alignment horizontal="center" vertical="center"/>
    </xf>
    <xf numFmtId="0" fontId="14" fillId="15" borderId="12" xfId="0" applyFont="1" applyFill="1" applyBorder="1" applyAlignment="1">
      <alignment horizontal="center" vertical="center"/>
    </xf>
    <xf numFmtId="0" fontId="14" fillId="15" borderId="27" xfId="0" applyFont="1" applyFill="1" applyBorder="1" applyAlignment="1">
      <alignment horizontal="center" vertical="center"/>
    </xf>
    <xf numFmtId="0" fontId="14" fillId="14" borderId="12" xfId="0" applyFont="1" applyFill="1" applyBorder="1" applyAlignment="1">
      <alignment horizontal="center" vertical="center"/>
    </xf>
    <xf numFmtId="0" fontId="14" fillId="14" borderId="27" xfId="0" applyFont="1" applyFill="1" applyBorder="1" applyAlignment="1">
      <alignment horizontal="center" vertical="center"/>
    </xf>
    <xf numFmtId="166" fontId="12" fillId="14" borderId="12" xfId="0" applyNumberFormat="1" applyFont="1" applyFill="1" applyBorder="1" applyAlignment="1">
      <alignment horizontal="center" vertical="center"/>
    </xf>
    <xf numFmtId="166" fontId="12" fillId="14" borderId="27" xfId="0" applyNumberFormat="1" applyFont="1" applyFill="1" applyBorder="1" applyAlignment="1">
      <alignment horizontal="center" vertical="center"/>
    </xf>
    <xf numFmtId="0" fontId="12" fillId="19" borderId="28" xfId="0" applyFont="1" applyFill="1" applyBorder="1" applyAlignment="1">
      <alignment horizontal="center" vertical="center"/>
    </xf>
    <xf numFmtId="0" fontId="12" fillId="19" borderId="13" xfId="0" applyFont="1" applyFill="1" applyBorder="1" applyAlignment="1">
      <alignment horizontal="center" vertical="center"/>
    </xf>
    <xf numFmtId="0" fontId="12" fillId="19" borderId="26" xfId="0" applyFont="1" applyFill="1" applyBorder="1" applyAlignment="1">
      <alignment horizontal="center" vertical="center"/>
    </xf>
    <xf numFmtId="0" fontId="12" fillId="15" borderId="4" xfId="0" applyFont="1" applyFill="1" applyBorder="1" applyAlignment="1">
      <alignment horizontal="center" vertical="center"/>
    </xf>
    <xf numFmtId="0" fontId="12" fillId="15" borderId="5" xfId="0" applyFont="1" applyFill="1" applyBorder="1" applyAlignment="1">
      <alignment horizontal="center" vertical="center"/>
    </xf>
    <xf numFmtId="0" fontId="12" fillId="14" borderId="4" xfId="0" applyFont="1" applyFill="1" applyBorder="1" applyAlignment="1">
      <alignment horizontal="center" vertical="center"/>
    </xf>
    <xf numFmtId="0" fontId="12" fillId="14" borderId="5" xfId="0" applyFont="1" applyFill="1" applyBorder="1" applyAlignment="1">
      <alignment horizontal="center" vertical="center"/>
    </xf>
    <xf numFmtId="0" fontId="12" fillId="15" borderId="12" xfId="0" applyFont="1" applyFill="1" applyBorder="1" applyAlignment="1">
      <alignment horizontal="center" vertical="center"/>
    </xf>
    <xf numFmtId="0" fontId="12" fillId="15" borderId="27" xfId="0" applyFont="1" applyFill="1" applyBorder="1" applyAlignment="1">
      <alignment horizontal="center" vertical="center"/>
    </xf>
    <xf numFmtId="0" fontId="12" fillId="14" borderId="12" xfId="0" applyFont="1" applyFill="1" applyBorder="1" applyAlignment="1">
      <alignment horizontal="center" vertical="center"/>
    </xf>
    <xf numFmtId="0" fontId="12" fillId="14" borderId="27" xfId="0" applyFont="1" applyFill="1" applyBorder="1" applyAlignment="1">
      <alignment horizontal="center" vertical="center"/>
    </xf>
    <xf numFmtId="166" fontId="12" fillId="15" borderId="12" xfId="0" applyNumberFormat="1" applyFont="1" applyFill="1" applyBorder="1" applyAlignment="1">
      <alignment horizontal="center" vertical="center"/>
    </xf>
    <xf numFmtId="166" fontId="12" fillId="15" borderId="27" xfId="0" applyNumberFormat="1" applyFont="1" applyFill="1" applyBorder="1" applyAlignment="1">
      <alignment horizontal="center" vertical="center"/>
    </xf>
    <xf numFmtId="190" fontId="12" fillId="15" borderId="12" xfId="0" applyNumberFormat="1" applyFont="1" applyFill="1" applyBorder="1" applyAlignment="1">
      <alignment horizontal="center" vertical="center"/>
    </xf>
    <xf numFmtId="5" fontId="12" fillId="15" borderId="27" xfId="0" applyNumberFormat="1" applyFont="1" applyFill="1" applyBorder="1" applyAlignment="1">
      <alignment horizontal="center" vertical="center"/>
    </xf>
    <xf numFmtId="190" fontId="12" fillId="14" borderId="12" xfId="0" applyNumberFormat="1" applyFont="1" applyFill="1" applyBorder="1" applyAlignment="1">
      <alignment horizontal="center" vertical="center"/>
    </xf>
    <xf numFmtId="5" fontId="12" fillId="14" borderId="27" xfId="0" applyNumberFormat="1" applyFont="1" applyFill="1" applyBorder="1" applyAlignment="1">
      <alignment horizontal="center" vertical="center"/>
    </xf>
    <xf numFmtId="164" fontId="11" fillId="19" borderId="0" xfId="1" applyNumberFormat="1" applyFont="1" applyFill="1" applyBorder="1" applyAlignment="1">
      <alignment horizontal="center" vertical="center"/>
    </xf>
    <xf numFmtId="37" fontId="11" fillId="15" borderId="12" xfId="1" applyNumberFormat="1" applyFont="1" applyFill="1" applyBorder="1" applyAlignment="1">
      <alignment horizontal="center" vertical="center"/>
    </xf>
    <xf numFmtId="37" fontId="11" fillId="15" borderId="27" xfId="1" applyNumberFormat="1" applyFont="1" applyFill="1" applyBorder="1" applyAlignment="1">
      <alignment horizontal="center" vertical="center"/>
    </xf>
    <xf numFmtId="37" fontId="11" fillId="15" borderId="6" xfId="1" applyNumberFormat="1" applyFont="1" applyFill="1" applyBorder="1" applyAlignment="1">
      <alignment horizontal="center" vertical="center"/>
    </xf>
    <xf numFmtId="37" fontId="11" fillId="15" borderId="7" xfId="1" applyNumberFormat="1" applyFont="1" applyFill="1" applyBorder="1" applyAlignment="1">
      <alignment horizontal="center" vertical="center"/>
    </xf>
    <xf numFmtId="164" fontId="11" fillId="15" borderId="12" xfId="1" applyNumberFormat="1" applyFont="1" applyFill="1" applyBorder="1" applyAlignment="1">
      <alignment horizontal="center" vertical="center"/>
    </xf>
    <xf numFmtId="164" fontId="0" fillId="0" borderId="27" xfId="1" applyNumberFormat="1" applyFont="1" applyBorder="1" applyAlignment="1">
      <alignment horizontal="center" vertical="center"/>
    </xf>
    <xf numFmtId="192" fontId="11" fillId="15" borderId="12" xfId="1" applyNumberFormat="1" applyFont="1" applyFill="1" applyBorder="1" applyAlignment="1">
      <alignment horizontal="center" vertical="center"/>
    </xf>
    <xf numFmtId="172" fontId="0" fillId="0" borderId="27" xfId="0" applyNumberFormat="1" applyFont="1" applyBorder="1" applyAlignment="1">
      <alignment horizontal="center" vertical="center"/>
    </xf>
    <xf numFmtId="192" fontId="34" fillId="15" borderId="12" xfId="1" applyNumberFormat="1" applyFont="1" applyFill="1" applyBorder="1" applyAlignment="1">
      <alignment horizontal="center" vertical="center"/>
    </xf>
    <xf numFmtId="172" fontId="34" fillId="15" borderId="27" xfId="1" applyNumberFormat="1" applyFont="1" applyFill="1" applyBorder="1" applyAlignment="1">
      <alignment horizontal="center" vertical="center"/>
    </xf>
    <xf numFmtId="192" fontId="11" fillId="14" borderId="12" xfId="1" applyNumberFormat="1" applyFont="1" applyFill="1" applyBorder="1" applyAlignment="1">
      <alignment horizontal="center" vertical="center"/>
    </xf>
    <xf numFmtId="192" fontId="34" fillId="14" borderId="12" xfId="1" applyNumberFormat="1" applyFont="1" applyFill="1" applyBorder="1" applyAlignment="1">
      <alignment horizontal="center" vertical="center"/>
    </xf>
    <xf numFmtId="172" fontId="35" fillId="0" borderId="27" xfId="0" applyNumberFormat="1" applyFont="1" applyBorder="1" applyAlignment="1">
      <alignment horizontal="center" vertical="center"/>
    </xf>
    <xf numFmtId="192" fontId="12" fillId="15" borderId="12" xfId="1" applyNumberFormat="1" applyFont="1" applyFill="1" applyBorder="1" applyAlignment="1">
      <alignment horizontal="center" vertical="center"/>
    </xf>
    <xf numFmtId="172" fontId="0" fillId="0" borderId="27" xfId="0" applyNumberFormat="1" applyBorder="1" applyAlignment="1">
      <alignment horizontal="center" vertical="center"/>
    </xf>
    <xf numFmtId="37" fontId="11" fillId="14" borderId="12" xfId="1" applyNumberFormat="1" applyFont="1" applyFill="1" applyBorder="1" applyAlignment="1">
      <alignment horizontal="center" vertical="center"/>
    </xf>
    <xf numFmtId="37" fontId="11" fillId="14" borderId="27" xfId="1" applyNumberFormat="1" applyFont="1" applyFill="1" applyBorder="1" applyAlignment="1">
      <alignment horizontal="center" vertical="center"/>
    </xf>
    <xf numFmtId="37" fontId="11" fillId="14" borderId="6" xfId="1" applyNumberFormat="1" applyFont="1" applyFill="1" applyBorder="1" applyAlignment="1">
      <alignment horizontal="center" vertical="center"/>
    </xf>
    <xf numFmtId="37" fontId="11" fillId="14" borderId="7" xfId="1" applyNumberFormat="1" applyFont="1" applyFill="1" applyBorder="1" applyAlignment="1">
      <alignment horizontal="center" vertical="center"/>
    </xf>
    <xf numFmtId="0" fontId="11" fillId="19" borderId="0" xfId="0" applyFont="1" applyFill="1" applyBorder="1" applyAlignment="1">
      <alignment horizontal="center" vertical="center"/>
    </xf>
    <xf numFmtId="192" fontId="12" fillId="15" borderId="28" xfId="1" applyNumberFormat="1" applyFont="1" applyFill="1" applyBorder="1" applyAlignment="1">
      <alignment horizontal="center" vertical="center"/>
    </xf>
    <xf numFmtId="172" fontId="12" fillId="15" borderId="26" xfId="1" applyNumberFormat="1" applyFont="1" applyFill="1" applyBorder="1" applyAlignment="1">
      <alignment horizontal="center" vertical="center"/>
    </xf>
    <xf numFmtId="192" fontId="12" fillId="14" borderId="28" xfId="1" applyNumberFormat="1" applyFont="1" applyFill="1" applyBorder="1" applyAlignment="1">
      <alignment horizontal="center" vertical="center"/>
    </xf>
    <xf numFmtId="172" fontId="12" fillId="14" borderId="26" xfId="1" applyNumberFormat="1" applyFont="1" applyFill="1" applyBorder="1" applyAlignment="1">
      <alignment horizontal="center" vertical="center"/>
    </xf>
    <xf numFmtId="192" fontId="12" fillId="14" borderId="12" xfId="1" applyNumberFormat="1" applyFont="1" applyFill="1" applyBorder="1" applyAlignment="1">
      <alignment horizontal="center" vertical="center"/>
    </xf>
    <xf numFmtId="190" fontId="11" fillId="15" borderId="28" xfId="0" applyNumberFormat="1" applyFont="1" applyFill="1" applyBorder="1" applyAlignment="1">
      <alignment horizontal="center" vertical="center"/>
    </xf>
    <xf numFmtId="5" fontId="11" fillId="15" borderId="26" xfId="0" applyNumberFormat="1" applyFont="1" applyFill="1" applyBorder="1" applyAlignment="1">
      <alignment horizontal="center" vertical="center"/>
    </xf>
    <xf numFmtId="190" fontId="11" fillId="14" borderId="28" xfId="0" applyNumberFormat="1" applyFont="1" applyFill="1" applyBorder="1" applyAlignment="1">
      <alignment horizontal="center" vertical="center"/>
    </xf>
    <xf numFmtId="5" fontId="11" fillId="14" borderId="26" xfId="0" applyNumberFormat="1" applyFont="1" applyFill="1" applyBorder="1" applyAlignment="1">
      <alignment horizontal="center" vertical="center"/>
    </xf>
    <xf numFmtId="0" fontId="11" fillId="19" borderId="12" xfId="0" applyFont="1" applyFill="1" applyBorder="1" applyAlignment="1">
      <alignment horizontal="center" vertical="center"/>
    </xf>
    <xf numFmtId="0" fontId="11" fillId="19" borderId="27" xfId="0" applyFont="1" applyFill="1" applyBorder="1" applyAlignment="1">
      <alignment horizontal="center" vertical="center"/>
    </xf>
    <xf numFmtId="0" fontId="11" fillId="14" borderId="12" xfId="0" applyFont="1" applyFill="1" applyBorder="1" applyAlignment="1">
      <alignment horizontal="center" vertical="center"/>
    </xf>
    <xf numFmtId="0" fontId="11" fillId="14" borderId="27" xfId="0" applyFont="1" applyFill="1" applyBorder="1" applyAlignment="1">
      <alignment horizontal="center" vertical="center"/>
    </xf>
    <xf numFmtId="0" fontId="11" fillId="15" borderId="12" xfId="0" applyFont="1" applyFill="1" applyBorder="1" applyAlignment="1">
      <alignment horizontal="center" vertical="center"/>
    </xf>
    <xf numFmtId="0" fontId="11" fillId="15" borderId="27" xfId="0" applyFont="1" applyFill="1" applyBorder="1" applyAlignment="1">
      <alignment horizontal="center" vertical="center"/>
    </xf>
    <xf numFmtId="164" fontId="11" fillId="15" borderId="27" xfId="1" applyNumberFormat="1" applyFont="1" applyFill="1" applyBorder="1" applyAlignment="1">
      <alignment horizontal="center" vertical="center"/>
    </xf>
    <xf numFmtId="0" fontId="12" fillId="19" borderId="6" xfId="0" applyFont="1" applyFill="1" applyBorder="1" applyAlignment="1">
      <alignment horizontal="center" vertical="center"/>
    </xf>
    <xf numFmtId="0" fontId="0" fillId="19" borderId="1" xfId="0" applyFill="1" applyBorder="1" applyAlignment="1">
      <alignment horizontal="center" vertical="center"/>
    </xf>
    <xf numFmtId="0" fontId="0" fillId="19" borderId="7" xfId="0" applyFill="1" applyBorder="1" applyAlignment="1">
      <alignment horizontal="center" vertical="center"/>
    </xf>
    <xf numFmtId="37" fontId="11"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9" fontId="11" fillId="0" borderId="0" xfId="0" applyNumberFormat="1" applyFont="1" applyFill="1" applyBorder="1" applyAlignment="1">
      <alignment horizontal="center" vertical="center"/>
    </xf>
    <xf numFmtId="9" fontId="13"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177" fontId="11" fillId="15" borderId="12" xfId="0" applyNumberFormat="1" applyFont="1" applyFill="1" applyBorder="1" applyAlignment="1">
      <alignment horizontal="center" vertical="center"/>
    </xf>
    <xf numFmtId="177" fontId="11" fillId="15" borderId="27" xfId="0" applyNumberFormat="1" applyFont="1" applyFill="1" applyBorder="1" applyAlignment="1">
      <alignment horizontal="center" vertical="center"/>
    </xf>
    <xf numFmtId="164" fontId="11" fillId="14" borderId="12" xfId="0" applyNumberFormat="1" applyFont="1" applyFill="1" applyBorder="1" applyAlignment="1">
      <alignment horizontal="center" vertical="center"/>
    </xf>
    <xf numFmtId="164" fontId="11" fillId="14" borderId="27" xfId="0" applyNumberFormat="1" applyFont="1" applyFill="1" applyBorder="1" applyAlignment="1">
      <alignment horizontal="center" vertical="center"/>
    </xf>
    <xf numFmtId="164" fontId="11" fillId="19" borderId="12" xfId="0" applyNumberFormat="1" applyFont="1" applyFill="1" applyBorder="1" applyAlignment="1">
      <alignment horizontal="center" vertical="center"/>
    </xf>
    <xf numFmtId="164" fontId="11" fillId="19" borderId="0" xfId="0" applyNumberFormat="1" applyFont="1" applyFill="1" applyBorder="1" applyAlignment="1">
      <alignment horizontal="center" vertical="center"/>
    </xf>
    <xf numFmtId="164" fontId="11" fillId="19" borderId="27" xfId="0" applyNumberFormat="1" applyFont="1" applyFill="1" applyBorder="1" applyAlignment="1">
      <alignment horizontal="center" vertical="center"/>
    </xf>
    <xf numFmtId="164" fontId="11" fillId="19" borderId="6" xfId="0" applyNumberFormat="1" applyFont="1" applyFill="1" applyBorder="1" applyAlignment="1">
      <alignment horizontal="center" vertical="center"/>
    </xf>
    <xf numFmtId="164" fontId="11" fillId="19" borderId="1" xfId="0" applyNumberFormat="1" applyFont="1" applyFill="1" applyBorder="1" applyAlignment="1">
      <alignment horizontal="center" vertical="center"/>
    </xf>
    <xf numFmtId="164" fontId="11" fillId="19" borderId="7" xfId="0" applyNumberFormat="1" applyFont="1" applyFill="1" applyBorder="1" applyAlignment="1">
      <alignment horizontal="center" vertical="center"/>
    </xf>
    <xf numFmtId="37" fontId="11" fillId="19" borderId="28" xfId="0" applyNumberFormat="1" applyFont="1" applyFill="1" applyBorder="1" applyAlignment="1">
      <alignment horizontal="center" vertical="center"/>
    </xf>
    <xf numFmtId="37" fontId="11" fillId="19" borderId="13" xfId="0" applyNumberFormat="1" applyFont="1" applyFill="1" applyBorder="1" applyAlignment="1">
      <alignment horizontal="center" vertical="center"/>
    </xf>
    <xf numFmtId="37" fontId="11" fillId="19" borderId="26" xfId="0" applyNumberFormat="1" applyFont="1" applyFill="1" applyBorder="1" applyAlignment="1">
      <alignment horizontal="center" vertical="center"/>
    </xf>
    <xf numFmtId="37" fontId="11" fillId="19" borderId="12" xfId="0" applyNumberFormat="1" applyFont="1" applyFill="1" applyBorder="1" applyAlignment="1">
      <alignment horizontal="center" vertical="center"/>
    </xf>
    <xf numFmtId="37" fontId="11" fillId="19" borderId="0" xfId="0" applyNumberFormat="1" applyFont="1" applyFill="1" applyBorder="1" applyAlignment="1">
      <alignment horizontal="center" vertical="center"/>
    </xf>
    <xf numFmtId="37" fontId="11" fillId="19" borderId="27" xfId="0" applyNumberFormat="1" applyFont="1" applyFill="1" applyBorder="1" applyAlignment="1">
      <alignment horizontal="center" vertical="center"/>
    </xf>
    <xf numFmtId="37" fontId="11" fillId="19" borderId="12" xfId="2" applyNumberFormat="1" applyFont="1" applyFill="1" applyBorder="1" applyAlignment="1">
      <alignment horizontal="center" vertical="center"/>
    </xf>
    <xf numFmtId="37" fontId="11" fillId="19" borderId="0" xfId="2" applyNumberFormat="1" applyFont="1" applyFill="1" applyBorder="1" applyAlignment="1">
      <alignment horizontal="center" vertical="center"/>
    </xf>
    <xf numFmtId="37" fontId="11" fillId="19" borderId="27" xfId="2" applyNumberFormat="1" applyFont="1" applyFill="1" applyBorder="1" applyAlignment="1">
      <alignment horizontal="center" vertical="center"/>
    </xf>
    <xf numFmtId="190" fontId="11" fillId="19" borderId="12" xfId="0" applyNumberFormat="1" applyFont="1" applyFill="1" applyBorder="1" applyAlignment="1">
      <alignment horizontal="center" vertical="center"/>
    </xf>
    <xf numFmtId="5" fontId="11" fillId="19" borderId="0" xfId="0" applyNumberFormat="1" applyFont="1" applyFill="1" applyBorder="1" applyAlignment="1">
      <alignment horizontal="center" vertical="center"/>
    </xf>
    <xf numFmtId="5" fontId="11" fillId="19" borderId="27" xfId="0" applyNumberFormat="1" applyFont="1" applyFill="1" applyBorder="1" applyAlignment="1">
      <alignment horizontal="center" vertical="center"/>
    </xf>
    <xf numFmtId="0" fontId="12" fillId="19" borderId="4" xfId="0" applyFont="1" applyFill="1" applyBorder="1" applyAlignment="1" applyProtection="1">
      <alignment horizontal="center" vertical="center"/>
    </xf>
    <xf numFmtId="0" fontId="12" fillId="19" borderId="2" xfId="0" applyFont="1" applyFill="1" applyBorder="1" applyAlignment="1" applyProtection="1">
      <alignment horizontal="center" vertical="center"/>
    </xf>
    <xf numFmtId="0" fontId="12" fillId="19" borderId="5" xfId="0" applyFont="1" applyFill="1" applyBorder="1" applyAlignment="1" applyProtection="1">
      <alignment horizontal="center" vertical="center"/>
    </xf>
    <xf numFmtId="0" fontId="12" fillId="15" borderId="4" xfId="0" applyFont="1" applyFill="1" applyBorder="1" applyAlignment="1" applyProtection="1">
      <alignment horizontal="center" vertical="center"/>
    </xf>
    <xf numFmtId="0" fontId="12" fillId="15" borderId="2" xfId="0" applyFont="1" applyFill="1" applyBorder="1" applyAlignment="1" applyProtection="1">
      <alignment horizontal="center" vertical="center"/>
    </xf>
    <xf numFmtId="0" fontId="12" fillId="15" borderId="5" xfId="0" applyFont="1" applyFill="1" applyBorder="1" applyAlignment="1" applyProtection="1">
      <alignment horizontal="center" vertical="center"/>
    </xf>
    <xf numFmtId="37" fontId="34" fillId="19" borderId="12" xfId="0" applyNumberFormat="1" applyFont="1" applyFill="1" applyBorder="1" applyAlignment="1" applyProtection="1">
      <alignment horizontal="center" vertical="center"/>
      <protection locked="0"/>
    </xf>
    <xf numFmtId="37" fontId="34" fillId="19" borderId="27" xfId="0" applyNumberFormat="1" applyFont="1" applyFill="1" applyBorder="1" applyAlignment="1" applyProtection="1">
      <alignment horizontal="center" vertical="center"/>
      <protection locked="0"/>
    </xf>
    <xf numFmtId="37" fontId="34" fillId="19" borderId="6" xfId="2" applyNumberFormat="1" applyFont="1" applyFill="1" applyBorder="1" applyAlignment="1" applyProtection="1">
      <alignment horizontal="center" vertical="center"/>
      <protection locked="0"/>
    </xf>
    <xf numFmtId="0" fontId="35" fillId="19" borderId="7" xfId="0" applyFont="1" applyFill="1" applyBorder="1" applyAlignment="1">
      <alignment horizontal="center" vertical="center"/>
    </xf>
    <xf numFmtId="190" fontId="34" fillId="19" borderId="12" xfId="0" applyNumberFormat="1" applyFont="1" applyFill="1" applyBorder="1" applyAlignment="1" applyProtection="1">
      <alignment horizontal="center" vertical="center"/>
      <protection locked="0"/>
    </xf>
    <xf numFmtId="5" fontId="34" fillId="19" borderId="27" xfId="0" applyNumberFormat="1" applyFont="1" applyFill="1" applyBorder="1" applyAlignment="1" applyProtection="1">
      <alignment horizontal="center" vertical="center"/>
      <protection locked="0"/>
    </xf>
    <xf numFmtId="190" fontId="34" fillId="19" borderId="28" xfId="0" applyNumberFormat="1" applyFont="1" applyFill="1" applyBorder="1" applyAlignment="1" applyProtection="1">
      <alignment horizontal="center" vertical="center"/>
      <protection locked="0"/>
    </xf>
    <xf numFmtId="5" fontId="34" fillId="19" borderId="26" xfId="0" applyNumberFormat="1" applyFont="1" applyFill="1" applyBorder="1" applyAlignment="1" applyProtection="1">
      <alignment horizontal="center" vertical="center"/>
      <protection locked="0"/>
    </xf>
    <xf numFmtId="37" fontId="34" fillId="19" borderId="12" xfId="2" applyNumberFormat="1" applyFont="1" applyFill="1" applyBorder="1" applyAlignment="1" applyProtection="1">
      <alignment horizontal="center" vertical="center"/>
      <protection locked="0"/>
    </xf>
    <xf numFmtId="37" fontId="34" fillId="19" borderId="27" xfId="2" applyNumberFormat="1" applyFont="1" applyFill="1" applyBorder="1" applyAlignment="1" applyProtection="1">
      <alignment horizontal="center" vertical="center"/>
      <protection locked="0"/>
    </xf>
    <xf numFmtId="0" fontId="11" fillId="19" borderId="4" xfId="0" applyFont="1" applyFill="1" applyBorder="1" applyAlignment="1" applyProtection="1">
      <alignment horizontal="left" vertical="center"/>
    </xf>
    <xf numFmtId="0" fontId="11" fillId="19" borderId="2" xfId="0" applyFont="1" applyFill="1" applyBorder="1" applyAlignment="1" applyProtection="1">
      <alignment horizontal="left" vertical="center"/>
    </xf>
    <xf numFmtId="0" fontId="11" fillId="19" borderId="2" xfId="0" applyFont="1" applyFill="1" applyBorder="1" applyAlignment="1" applyProtection="1">
      <alignment horizontal="left" vertical="center" wrapText="1"/>
    </xf>
    <xf numFmtId="0" fontId="11" fillId="19" borderId="5" xfId="0" applyFont="1" applyFill="1" applyBorder="1" applyAlignment="1" applyProtection="1">
      <alignment horizontal="left" vertical="center" wrapText="1"/>
    </xf>
    <xf numFmtId="37" fontId="18" fillId="15" borderId="28" xfId="0" applyNumberFormat="1" applyFont="1" applyFill="1" applyBorder="1" applyAlignment="1" applyProtection="1">
      <alignment horizontal="center" vertical="center"/>
    </xf>
    <xf numFmtId="37" fontId="18" fillId="15" borderId="13" xfId="0" applyNumberFormat="1" applyFont="1" applyFill="1" applyBorder="1" applyAlignment="1" applyProtection="1">
      <alignment horizontal="center" vertical="center"/>
    </xf>
    <xf numFmtId="37" fontId="18" fillId="15" borderId="26" xfId="0" applyNumberFormat="1" applyFont="1" applyFill="1" applyBorder="1" applyAlignment="1" applyProtection="1">
      <alignment horizontal="center" vertical="center"/>
    </xf>
    <xf numFmtId="164" fontId="34" fillId="15" borderId="12" xfId="0" applyNumberFormat="1" applyFont="1" applyFill="1" applyBorder="1" applyAlignment="1" applyProtection="1">
      <alignment horizontal="center" vertical="center"/>
      <protection locked="0"/>
    </xf>
    <xf numFmtId="164" fontId="34" fillId="15" borderId="0" xfId="0" applyNumberFormat="1" applyFont="1" applyFill="1" applyBorder="1" applyAlignment="1" applyProtection="1">
      <alignment horizontal="center" vertical="center"/>
      <protection locked="0"/>
    </xf>
    <xf numFmtId="164" fontId="34" fillId="15" borderId="27" xfId="0" applyNumberFormat="1" applyFont="1" applyFill="1" applyBorder="1" applyAlignment="1" applyProtection="1">
      <alignment horizontal="center" vertical="center"/>
      <protection locked="0"/>
    </xf>
    <xf numFmtId="37" fontId="34" fillId="15" borderId="12" xfId="0" applyNumberFormat="1" applyFont="1" applyFill="1" applyBorder="1" applyAlignment="1" applyProtection="1">
      <alignment horizontal="center" vertical="center"/>
      <protection locked="0"/>
    </xf>
    <xf numFmtId="37" fontId="34" fillId="15" borderId="0" xfId="0" applyNumberFormat="1" applyFont="1" applyFill="1" applyBorder="1" applyAlignment="1" applyProtection="1">
      <alignment horizontal="center" vertical="center"/>
      <protection locked="0"/>
    </xf>
    <xf numFmtId="37" fontId="34" fillId="15" borderId="27" xfId="0" applyNumberFormat="1" applyFont="1" applyFill="1" applyBorder="1" applyAlignment="1" applyProtection="1">
      <alignment horizontal="center" vertical="center"/>
      <protection locked="0"/>
    </xf>
    <xf numFmtId="9" fontId="34" fillId="14" borderId="12" xfId="0" applyNumberFormat="1" applyFont="1" applyFill="1" applyBorder="1" applyAlignment="1" applyProtection="1">
      <alignment horizontal="center" vertical="center"/>
      <protection locked="0"/>
    </xf>
    <xf numFmtId="9" fontId="34" fillId="14" borderId="0" xfId="0" applyNumberFormat="1" applyFont="1" applyFill="1" applyBorder="1" applyAlignment="1" applyProtection="1">
      <alignment horizontal="center" vertical="center"/>
      <protection locked="0"/>
    </xf>
    <xf numFmtId="9" fontId="34" fillId="14" borderId="27" xfId="0" applyNumberFormat="1" applyFont="1" applyFill="1" applyBorder="1" applyAlignment="1" applyProtection="1">
      <alignment horizontal="center" vertical="center"/>
      <protection locked="0"/>
    </xf>
    <xf numFmtId="9" fontId="5" fillId="14" borderId="6" xfId="0" applyNumberFormat="1" applyFont="1" applyFill="1" applyBorder="1" applyAlignment="1" applyProtection="1">
      <alignment horizontal="center" vertical="center"/>
      <protection locked="0"/>
    </xf>
    <xf numFmtId="9" fontId="5" fillId="14" borderId="1" xfId="0" applyNumberFormat="1" applyFont="1" applyFill="1" applyBorder="1" applyAlignment="1" applyProtection="1">
      <alignment horizontal="center" vertical="center"/>
      <protection locked="0"/>
    </xf>
    <xf numFmtId="9" fontId="5" fillId="14" borderId="7" xfId="0" applyNumberFormat="1" applyFont="1" applyFill="1" applyBorder="1" applyAlignment="1" applyProtection="1">
      <alignment horizontal="center" vertical="center"/>
      <protection locked="0"/>
    </xf>
    <xf numFmtId="0" fontId="19" fillId="19" borderId="13" xfId="0" applyFont="1" applyFill="1" applyBorder="1" applyAlignment="1" applyProtection="1">
      <alignment horizontal="center" vertical="center"/>
    </xf>
    <xf numFmtId="0" fontId="11" fillId="14" borderId="12" xfId="0" applyFont="1" applyFill="1" applyBorder="1" applyAlignment="1" applyProtection="1">
      <alignment horizontal="center" vertical="center"/>
    </xf>
    <xf numFmtId="0" fontId="11" fillId="14" borderId="0" xfId="0" applyFont="1" applyFill="1" applyBorder="1" applyAlignment="1" applyProtection="1">
      <alignment horizontal="center" vertical="center"/>
    </xf>
    <xf numFmtId="0" fontId="11" fillId="14" borderId="27" xfId="0" applyFont="1" applyFill="1" applyBorder="1" applyAlignment="1" applyProtection="1">
      <alignment horizontal="center" vertical="center"/>
    </xf>
    <xf numFmtId="0" fontId="12" fillId="15" borderId="4" xfId="0" applyFont="1" applyFill="1" applyBorder="1" applyAlignment="1" applyProtection="1">
      <alignment horizontal="center" vertical="center" wrapText="1"/>
    </xf>
    <xf numFmtId="0" fontId="12" fillId="15" borderId="2" xfId="0" applyFont="1" applyFill="1" applyBorder="1" applyAlignment="1" applyProtection="1">
      <alignment horizontal="center" vertical="center" wrapText="1"/>
    </xf>
    <xf numFmtId="0" fontId="12" fillId="15" borderId="5" xfId="0" applyFont="1" applyFill="1" applyBorder="1" applyAlignment="1" applyProtection="1">
      <alignment horizontal="center" vertical="center" wrapText="1"/>
    </xf>
    <xf numFmtId="0" fontId="11" fillId="15" borderId="28" xfId="0" applyFont="1" applyFill="1" applyBorder="1" applyAlignment="1" applyProtection="1">
      <alignment horizontal="center" vertical="center"/>
    </xf>
    <xf numFmtId="0" fontId="11" fillId="15" borderId="13" xfId="0" applyFont="1" applyFill="1" applyBorder="1" applyAlignment="1" applyProtection="1">
      <alignment horizontal="center" vertical="center"/>
    </xf>
    <xf numFmtId="0" fontId="11" fillId="15" borderId="26" xfId="0" applyFont="1" applyFill="1" applyBorder="1" applyAlignment="1" applyProtection="1">
      <alignment horizontal="center" vertical="center"/>
    </xf>
    <xf numFmtId="0" fontId="11" fillId="15" borderId="12" xfId="0" applyFont="1" applyFill="1" applyBorder="1" applyAlignment="1" applyProtection="1">
      <alignment horizontal="center" vertical="center"/>
    </xf>
    <xf numFmtId="0" fontId="11" fillId="15" borderId="0" xfId="0" applyFont="1" applyFill="1" applyBorder="1" applyAlignment="1" applyProtection="1">
      <alignment horizontal="center" vertical="center"/>
    </xf>
    <xf numFmtId="0" fontId="11" fillId="15" borderId="27" xfId="0" applyFont="1" applyFill="1" applyBorder="1" applyAlignment="1" applyProtection="1">
      <alignment horizontal="center" vertical="center"/>
    </xf>
    <xf numFmtId="0" fontId="12" fillId="14" borderId="4" xfId="0" applyFont="1" applyFill="1" applyBorder="1" applyAlignment="1" applyProtection="1">
      <alignment horizontal="center" vertical="center" wrapText="1"/>
    </xf>
    <xf numFmtId="0" fontId="12" fillId="14" borderId="2" xfId="0" applyFont="1" applyFill="1" applyBorder="1" applyAlignment="1" applyProtection="1">
      <alignment horizontal="center" vertical="center" wrapText="1"/>
    </xf>
    <xf numFmtId="0" fontId="12" fillId="14" borderId="5" xfId="0" applyFont="1" applyFill="1" applyBorder="1" applyAlignment="1" applyProtection="1">
      <alignment horizontal="center" vertical="center" wrapText="1"/>
    </xf>
    <xf numFmtId="190" fontId="34" fillId="14" borderId="12" xfId="0" applyNumberFormat="1" applyFont="1" applyFill="1" applyBorder="1" applyAlignment="1" applyProtection="1">
      <alignment horizontal="center" vertical="center"/>
      <protection locked="0"/>
    </xf>
    <xf numFmtId="5" fontId="34" fillId="14" borderId="0" xfId="0" applyNumberFormat="1" applyFont="1" applyFill="1" applyBorder="1" applyAlignment="1" applyProtection="1">
      <alignment horizontal="center" vertical="center"/>
      <protection locked="0"/>
    </xf>
    <xf numFmtId="5" fontId="34" fillId="14" borderId="27" xfId="0" applyNumberFormat="1" applyFont="1" applyFill="1" applyBorder="1" applyAlignment="1" applyProtection="1">
      <alignment horizontal="center" vertical="center"/>
      <protection locked="0"/>
    </xf>
    <xf numFmtId="0" fontId="11" fillId="19" borderId="28" xfId="0" applyFont="1" applyFill="1" applyBorder="1" applyAlignment="1" applyProtection="1">
      <alignment vertical="center"/>
    </xf>
    <xf numFmtId="0" fontId="0" fillId="19" borderId="13" xfId="0" applyFill="1" applyBorder="1" applyAlignment="1">
      <alignment vertical="center"/>
    </xf>
    <xf numFmtId="0" fontId="0" fillId="19" borderId="6" xfId="0" applyFill="1" applyBorder="1" applyAlignment="1">
      <alignment vertical="center"/>
    </xf>
    <xf numFmtId="0" fontId="0" fillId="19" borderId="1" xfId="0" applyFill="1" applyBorder="1" applyAlignment="1">
      <alignment vertical="center"/>
    </xf>
    <xf numFmtId="0" fontId="35" fillId="19" borderId="27" xfId="0" applyFont="1" applyFill="1" applyBorder="1" applyAlignment="1">
      <alignment horizontal="center" vertical="center"/>
    </xf>
    <xf numFmtId="0" fontId="37" fillId="15" borderId="4" xfId="0" applyFont="1" applyFill="1" applyBorder="1" applyAlignment="1" applyProtection="1">
      <alignment horizontal="center" vertical="center"/>
      <protection locked="0"/>
    </xf>
    <xf numFmtId="0" fontId="37" fillId="15" borderId="2" xfId="0" applyFont="1" applyFill="1" applyBorder="1" applyAlignment="1" applyProtection="1">
      <alignment horizontal="center" vertical="center"/>
      <protection locked="0"/>
    </xf>
    <xf numFmtId="0" fontId="37" fillId="15" borderId="5" xfId="0" applyFont="1" applyFill="1" applyBorder="1" applyAlignment="1" applyProtection="1">
      <alignment horizontal="center" vertical="center"/>
      <protection locked="0"/>
    </xf>
    <xf numFmtId="0" fontId="12" fillId="14" borderId="4" xfId="0" applyFont="1" applyFill="1" applyBorder="1" applyAlignment="1" applyProtection="1">
      <alignment horizontal="center" vertical="center"/>
    </xf>
    <xf numFmtId="0" fontId="12" fillId="14" borderId="2" xfId="0" applyFont="1" applyFill="1" applyBorder="1" applyAlignment="1" applyProtection="1">
      <alignment horizontal="center" vertical="center"/>
    </xf>
    <xf numFmtId="0" fontId="12" fillId="14" borderId="5" xfId="0" applyFont="1" applyFill="1" applyBorder="1" applyAlignment="1" applyProtection="1">
      <alignment horizontal="center" vertical="center"/>
    </xf>
    <xf numFmtId="0" fontId="11" fillId="19" borderId="28" xfId="0" applyFont="1" applyFill="1" applyBorder="1" applyAlignment="1" applyProtection="1">
      <alignment horizontal="left" vertical="center" wrapText="1"/>
    </xf>
    <xf numFmtId="0" fontId="11" fillId="19" borderId="13" xfId="0" applyFont="1" applyFill="1" applyBorder="1" applyAlignment="1" applyProtection="1">
      <alignment horizontal="left" vertical="center" wrapText="1"/>
    </xf>
    <xf numFmtId="0" fontId="0" fillId="19" borderId="6" xfId="0" applyFill="1" applyBorder="1" applyAlignment="1">
      <alignment vertical="center" wrapText="1"/>
    </xf>
    <xf numFmtId="0" fontId="0" fillId="19" borderId="1" xfId="0" applyFill="1" applyBorder="1" applyAlignment="1">
      <alignment vertical="center" wrapText="1"/>
    </xf>
    <xf numFmtId="0" fontId="12" fillId="19" borderId="2" xfId="0" applyFont="1" applyFill="1" applyBorder="1" applyAlignment="1" applyProtection="1">
      <alignment horizontal="left" vertical="center"/>
    </xf>
    <xf numFmtId="0" fontId="11" fillId="19" borderId="1" xfId="0" applyFont="1" applyFill="1" applyBorder="1" applyAlignment="1" applyProtection="1">
      <alignment horizontal="left" vertical="center" wrapText="1"/>
    </xf>
    <xf numFmtId="0" fontId="0" fillId="19" borderId="12" xfId="0" applyFill="1" applyBorder="1" applyAlignment="1">
      <alignment vertical="center"/>
    </xf>
    <xf numFmtId="0" fontId="0" fillId="19" borderId="0" xfId="0" applyFill="1" applyAlignment="1">
      <alignment vertical="center"/>
    </xf>
    <xf numFmtId="164" fontId="5" fillId="14" borderId="12" xfId="0" applyNumberFormat="1" applyFont="1" applyFill="1" applyBorder="1" applyAlignment="1" applyProtection="1">
      <alignment horizontal="center" vertical="center"/>
    </xf>
    <xf numFmtId="164" fontId="5" fillId="14" borderId="0" xfId="0" applyNumberFormat="1" applyFont="1" applyFill="1" applyBorder="1" applyAlignment="1" applyProtection="1">
      <alignment horizontal="center" vertical="center"/>
    </xf>
    <xf numFmtId="164" fontId="5" fillId="14" borderId="27" xfId="0" applyNumberFormat="1" applyFont="1" applyFill="1" applyBorder="1" applyAlignment="1" applyProtection="1">
      <alignment horizontal="center" vertical="center"/>
    </xf>
    <xf numFmtId="37" fontId="34" fillId="14" borderId="6" xfId="0" applyNumberFormat="1" applyFont="1" applyFill="1" applyBorder="1" applyAlignment="1" applyProtection="1">
      <alignment horizontal="center" vertical="center"/>
      <protection locked="0"/>
    </xf>
    <xf numFmtId="37" fontId="34" fillId="14" borderId="1" xfId="0" applyNumberFormat="1" applyFont="1" applyFill="1" applyBorder="1" applyAlignment="1" applyProtection="1">
      <alignment horizontal="center" vertical="center"/>
      <protection locked="0"/>
    </xf>
    <xf numFmtId="37" fontId="34" fillId="14" borderId="7" xfId="0" applyNumberFormat="1" applyFont="1" applyFill="1" applyBorder="1" applyAlignment="1" applyProtection="1">
      <alignment horizontal="center" vertical="center"/>
      <protection locked="0"/>
    </xf>
    <xf numFmtId="37" fontId="18" fillId="14" borderId="28" xfId="0" applyNumberFormat="1" applyFont="1" applyFill="1" applyBorder="1" applyAlignment="1" applyProtection="1">
      <alignment horizontal="center" vertical="center"/>
    </xf>
    <xf numFmtId="37" fontId="18" fillId="14" borderId="13" xfId="0" applyNumberFormat="1" applyFont="1" applyFill="1" applyBorder="1" applyAlignment="1" applyProtection="1">
      <alignment horizontal="center" vertical="center"/>
    </xf>
    <xf numFmtId="37" fontId="18" fillId="14" borderId="26" xfId="0" applyNumberFormat="1" applyFont="1" applyFill="1" applyBorder="1" applyAlignment="1" applyProtection="1">
      <alignment horizontal="center" vertical="center"/>
    </xf>
    <xf numFmtId="37" fontId="5" fillId="15" borderId="12" xfId="0" applyNumberFormat="1" applyFont="1" applyFill="1" applyBorder="1" applyAlignment="1" applyProtection="1">
      <alignment horizontal="center" vertical="center"/>
    </xf>
    <xf numFmtId="37" fontId="5" fillId="15" borderId="0" xfId="0" applyNumberFormat="1" applyFont="1" applyFill="1" applyBorder="1" applyAlignment="1" applyProtection="1">
      <alignment horizontal="center" vertical="center"/>
    </xf>
    <xf numFmtId="37" fontId="5" fillId="15" borderId="27" xfId="0" applyNumberFormat="1" applyFont="1" applyFill="1" applyBorder="1" applyAlignment="1" applyProtection="1">
      <alignment horizontal="center" vertical="center"/>
    </xf>
    <xf numFmtId="37" fontId="34" fillId="14" borderId="28" xfId="0" applyNumberFormat="1" applyFont="1" applyFill="1" applyBorder="1" applyAlignment="1" applyProtection="1">
      <alignment horizontal="center" vertical="center"/>
    </xf>
    <xf numFmtId="37" fontId="34" fillId="14" borderId="13" xfId="0" applyNumberFormat="1" applyFont="1" applyFill="1" applyBorder="1" applyAlignment="1" applyProtection="1">
      <alignment horizontal="center" vertical="center"/>
    </xf>
    <xf numFmtId="37" fontId="34" fillId="14" borderId="26" xfId="0" applyNumberFormat="1" applyFont="1" applyFill="1" applyBorder="1" applyAlignment="1" applyProtection="1">
      <alignment horizontal="center" vertical="center"/>
    </xf>
    <xf numFmtId="166" fontId="34" fillId="19" borderId="6" xfId="0" applyNumberFormat="1" applyFont="1" applyFill="1" applyBorder="1" applyAlignment="1" applyProtection="1">
      <alignment horizontal="center" vertical="center"/>
      <protection locked="0"/>
    </xf>
    <xf numFmtId="166" fontId="34" fillId="19" borderId="7" xfId="0" applyNumberFormat="1" applyFont="1" applyFill="1" applyBorder="1" applyAlignment="1" applyProtection="1">
      <alignment horizontal="center" vertical="center"/>
      <protection locked="0"/>
    </xf>
    <xf numFmtId="9" fontId="34" fillId="19" borderId="6" xfId="0" applyNumberFormat="1" applyFont="1" applyFill="1" applyBorder="1" applyAlignment="1" applyProtection="1">
      <alignment horizontal="center" vertical="center"/>
      <protection locked="0"/>
    </xf>
    <xf numFmtId="9" fontId="34" fillId="19" borderId="7" xfId="0" applyNumberFormat="1" applyFont="1" applyFill="1" applyBorder="1" applyAlignment="1" applyProtection="1">
      <alignment horizontal="center" vertical="center"/>
      <protection locked="0"/>
    </xf>
    <xf numFmtId="0" fontId="34" fillId="14" borderId="6" xfId="0" applyFont="1" applyFill="1" applyBorder="1" applyAlignment="1" applyProtection="1">
      <alignment horizontal="center" vertical="center"/>
      <protection locked="0"/>
    </xf>
    <xf numFmtId="0" fontId="34" fillId="14" borderId="1" xfId="0" applyFont="1" applyFill="1" applyBorder="1" applyAlignment="1" applyProtection="1">
      <alignment horizontal="center" vertical="center"/>
      <protection locked="0"/>
    </xf>
    <xf numFmtId="0" fontId="34" fillId="14" borderId="7" xfId="0" applyFont="1" applyFill="1" applyBorder="1" applyAlignment="1" applyProtection="1">
      <alignment horizontal="center" vertical="center"/>
      <protection locked="0"/>
    </xf>
    <xf numFmtId="37" fontId="34" fillId="14" borderId="12" xfId="0" applyNumberFormat="1" applyFont="1" applyFill="1" applyBorder="1" applyAlignment="1" applyProtection="1">
      <alignment horizontal="center" vertical="center"/>
      <protection locked="0"/>
    </xf>
    <xf numFmtId="37" fontId="34" fillId="14" borderId="0" xfId="0" applyNumberFormat="1" applyFont="1" applyFill="1" applyBorder="1" applyAlignment="1" applyProtection="1">
      <alignment horizontal="center" vertical="center"/>
      <protection locked="0"/>
    </xf>
    <xf numFmtId="37" fontId="34" fillId="14" borderId="27" xfId="0" applyNumberFormat="1" applyFont="1" applyFill="1" applyBorder="1" applyAlignment="1" applyProtection="1">
      <alignment horizontal="center" vertical="center"/>
      <protection locked="0"/>
    </xf>
    <xf numFmtId="0" fontId="34" fillId="14" borderId="12" xfId="0" applyFont="1" applyFill="1" applyBorder="1" applyAlignment="1" applyProtection="1">
      <alignment horizontal="center" vertical="center"/>
      <protection locked="0"/>
    </xf>
    <xf numFmtId="0" fontId="34" fillId="14" borderId="0" xfId="0" applyFont="1" applyFill="1" applyBorder="1" applyAlignment="1" applyProtection="1">
      <alignment horizontal="center" vertical="center"/>
      <protection locked="0"/>
    </xf>
    <xf numFmtId="0" fontId="34" fillId="14" borderId="27" xfId="0" applyFont="1" applyFill="1" applyBorder="1" applyAlignment="1" applyProtection="1">
      <alignment horizontal="center" vertical="center"/>
      <protection locked="0"/>
    </xf>
    <xf numFmtId="0" fontId="34" fillId="15" borderId="12" xfId="0" applyFont="1" applyFill="1" applyBorder="1" applyAlignment="1" applyProtection="1">
      <alignment horizontal="center" vertical="center"/>
      <protection locked="0"/>
    </xf>
    <xf numFmtId="0" fontId="34" fillId="15" borderId="0" xfId="0" applyFont="1" applyFill="1" applyBorder="1" applyAlignment="1" applyProtection="1">
      <alignment horizontal="center" vertical="center"/>
      <protection locked="0"/>
    </xf>
    <xf numFmtId="0" fontId="34" fillId="15" borderId="27" xfId="0" applyFont="1" applyFill="1" applyBorder="1" applyAlignment="1" applyProtection="1">
      <alignment horizontal="center" vertical="center"/>
      <protection locked="0"/>
    </xf>
    <xf numFmtId="37" fontId="34" fillId="15" borderId="28" xfId="0" applyNumberFormat="1" applyFont="1" applyFill="1" applyBorder="1" applyAlignment="1" applyProtection="1">
      <alignment horizontal="center" vertical="center"/>
    </xf>
    <xf numFmtId="37" fontId="34" fillId="15" borderId="13" xfId="0" applyNumberFormat="1" applyFont="1" applyFill="1" applyBorder="1" applyAlignment="1" applyProtection="1">
      <alignment horizontal="center" vertical="center"/>
    </xf>
    <xf numFmtId="37" fontId="34" fillId="15" borderId="26" xfId="0" applyNumberFormat="1" applyFont="1" applyFill="1" applyBorder="1" applyAlignment="1" applyProtection="1">
      <alignment horizontal="center" vertical="center"/>
    </xf>
    <xf numFmtId="0" fontId="12" fillId="19" borderId="4" xfId="0" applyFont="1" applyFill="1" applyBorder="1" applyAlignment="1" applyProtection="1">
      <alignment horizontal="left" vertical="center"/>
    </xf>
    <xf numFmtId="0" fontId="11" fillId="19" borderId="5" xfId="0" applyFont="1" applyFill="1" applyBorder="1" applyAlignment="1" applyProtection="1">
      <alignment horizontal="left" vertical="center"/>
    </xf>
    <xf numFmtId="9" fontId="34" fillId="15" borderId="12" xfId="0" applyNumberFormat="1" applyFont="1" applyFill="1" applyBorder="1" applyAlignment="1" applyProtection="1">
      <alignment horizontal="center" vertical="center"/>
      <protection locked="0"/>
    </xf>
    <xf numFmtId="9" fontId="34" fillId="15" borderId="0" xfId="0" applyNumberFormat="1" applyFont="1" applyFill="1" applyBorder="1" applyAlignment="1" applyProtection="1">
      <alignment horizontal="center" vertical="center"/>
      <protection locked="0"/>
    </xf>
    <xf numFmtId="9" fontId="34" fillId="15" borderId="27" xfId="0" applyNumberFormat="1" applyFont="1" applyFill="1" applyBorder="1" applyAlignment="1" applyProtection="1">
      <alignment horizontal="center" vertical="center"/>
      <protection locked="0"/>
    </xf>
    <xf numFmtId="9" fontId="5" fillId="15" borderId="6" xfId="0" applyNumberFormat="1" applyFont="1" applyFill="1" applyBorder="1" applyAlignment="1" applyProtection="1">
      <alignment horizontal="center" vertical="center"/>
      <protection locked="0"/>
    </xf>
    <xf numFmtId="9" fontId="5" fillId="15" borderId="1" xfId="0" applyNumberFormat="1" applyFont="1" applyFill="1" applyBorder="1" applyAlignment="1" applyProtection="1">
      <alignment horizontal="center" vertical="center"/>
      <protection locked="0"/>
    </xf>
    <xf numFmtId="9" fontId="5" fillId="15" borderId="7" xfId="0" applyNumberFormat="1" applyFont="1" applyFill="1" applyBorder="1" applyAlignment="1" applyProtection="1">
      <alignment horizontal="center" vertical="center"/>
      <protection locked="0"/>
    </xf>
    <xf numFmtId="164" fontId="34" fillId="14" borderId="12" xfId="1" applyNumberFormat="1" applyFont="1" applyFill="1" applyBorder="1" applyAlignment="1" applyProtection="1">
      <alignment horizontal="center" vertical="center"/>
      <protection locked="0"/>
    </xf>
    <xf numFmtId="164" fontId="34" fillId="14" borderId="0" xfId="1" applyNumberFormat="1" applyFont="1" applyFill="1" applyBorder="1" applyAlignment="1" applyProtection="1">
      <alignment horizontal="center" vertical="center"/>
      <protection locked="0"/>
    </xf>
    <xf numFmtId="164" fontId="34" fillId="14" borderId="27" xfId="1" applyNumberFormat="1" applyFont="1" applyFill="1" applyBorder="1" applyAlignment="1" applyProtection="1">
      <alignment horizontal="center" vertical="center"/>
      <protection locked="0"/>
    </xf>
    <xf numFmtId="190" fontId="34" fillId="15" borderId="12" xfId="0" applyNumberFormat="1" applyFont="1" applyFill="1" applyBorder="1" applyAlignment="1" applyProtection="1">
      <alignment horizontal="center" vertical="center"/>
      <protection locked="0"/>
    </xf>
    <xf numFmtId="5" fontId="34" fillId="15" borderId="0" xfId="0" applyNumberFormat="1" applyFont="1" applyFill="1" applyBorder="1" applyAlignment="1" applyProtection="1">
      <alignment horizontal="center" vertical="center"/>
      <protection locked="0"/>
    </xf>
    <xf numFmtId="5" fontId="34" fillId="15" borderId="27" xfId="0" applyNumberFormat="1" applyFont="1" applyFill="1" applyBorder="1" applyAlignment="1" applyProtection="1">
      <alignment horizontal="center" vertical="center"/>
      <protection locked="0"/>
    </xf>
    <xf numFmtId="164" fontId="34" fillId="15" borderId="12" xfId="1" applyNumberFormat="1" applyFont="1" applyFill="1" applyBorder="1" applyAlignment="1" applyProtection="1">
      <alignment horizontal="center" vertical="center"/>
      <protection locked="0"/>
    </xf>
    <xf numFmtId="164" fontId="34" fillId="15" borderId="0" xfId="1" applyNumberFormat="1" applyFont="1" applyFill="1" applyBorder="1" applyAlignment="1" applyProtection="1">
      <alignment horizontal="center" vertical="center"/>
      <protection locked="0"/>
    </xf>
    <xf numFmtId="164" fontId="34" fillId="15" borderId="27" xfId="1" applyNumberFormat="1" applyFont="1" applyFill="1" applyBorder="1" applyAlignment="1" applyProtection="1">
      <alignment horizontal="center" vertical="center"/>
      <protection locked="0"/>
    </xf>
    <xf numFmtId="37" fontId="34" fillId="19" borderId="28" xfId="2" applyNumberFormat="1" applyFont="1" applyFill="1" applyBorder="1" applyAlignment="1" applyProtection="1">
      <alignment horizontal="center" vertical="center"/>
      <protection locked="0"/>
    </xf>
    <xf numFmtId="37" fontId="34" fillId="19" borderId="26" xfId="2" applyNumberFormat="1" applyFont="1" applyFill="1" applyBorder="1" applyAlignment="1" applyProtection="1">
      <alignment horizontal="center" vertical="center"/>
      <protection locked="0"/>
    </xf>
    <xf numFmtId="164" fontId="11" fillId="19" borderId="12" xfId="1" applyNumberFormat="1" applyFont="1" applyFill="1" applyBorder="1" applyAlignment="1" applyProtection="1">
      <alignment horizontal="center" vertical="center"/>
    </xf>
    <xf numFmtId="164" fontId="11" fillId="19" borderId="27" xfId="1" applyNumberFormat="1" applyFont="1" applyFill="1" applyBorder="1" applyAlignment="1" applyProtection="1">
      <alignment horizontal="center" vertical="center"/>
    </xf>
    <xf numFmtId="164" fontId="34" fillId="19" borderId="6" xfId="0" applyNumberFormat="1" applyFont="1" applyFill="1" applyBorder="1" applyAlignment="1" applyProtection="1">
      <alignment horizontal="center" vertical="center"/>
      <protection locked="0"/>
    </xf>
    <xf numFmtId="164" fontId="34" fillId="19" borderId="7" xfId="0" applyNumberFormat="1" applyFont="1" applyFill="1" applyBorder="1" applyAlignment="1" applyProtection="1">
      <alignment horizontal="center" vertical="center"/>
      <protection locked="0"/>
    </xf>
    <xf numFmtId="0" fontId="34" fillId="19" borderId="12" xfId="0" applyFont="1" applyFill="1" applyBorder="1" applyAlignment="1" applyProtection="1">
      <alignment horizontal="center" vertical="center"/>
      <protection locked="0"/>
    </xf>
    <xf numFmtId="0" fontId="34" fillId="19" borderId="27" xfId="0" applyFont="1" applyFill="1" applyBorder="1" applyAlignment="1" applyProtection="1">
      <alignment horizontal="center" vertical="center"/>
      <protection locked="0"/>
    </xf>
    <xf numFmtId="0" fontId="34" fillId="15" borderId="6" xfId="0" applyFont="1" applyFill="1" applyBorder="1" applyAlignment="1" applyProtection="1">
      <alignment horizontal="center" vertical="center"/>
      <protection locked="0"/>
    </xf>
    <xf numFmtId="0" fontId="34" fillId="15" borderId="1" xfId="0" applyFont="1" applyFill="1" applyBorder="1" applyAlignment="1" applyProtection="1">
      <alignment horizontal="center" vertical="center"/>
      <protection locked="0"/>
    </xf>
    <xf numFmtId="0" fontId="34" fillId="15" borderId="7" xfId="0" applyFont="1" applyFill="1" applyBorder="1" applyAlignment="1" applyProtection="1">
      <alignment horizontal="center" vertical="center"/>
      <protection locked="0"/>
    </xf>
    <xf numFmtId="0" fontId="24" fillId="14" borderId="6" xfId="0" applyFont="1" applyFill="1" applyBorder="1" applyAlignment="1" applyProtection="1">
      <alignment horizontal="center" vertical="center"/>
    </xf>
    <xf numFmtId="0" fontId="24" fillId="14" borderId="1" xfId="0" applyFont="1" applyFill="1" applyBorder="1" applyAlignment="1" applyProtection="1">
      <alignment horizontal="center" vertical="center"/>
    </xf>
    <xf numFmtId="0" fontId="24" fillId="14" borderId="7" xfId="0" applyFont="1" applyFill="1" applyBorder="1" applyAlignment="1" applyProtection="1">
      <alignment horizontal="center" vertical="center"/>
    </xf>
    <xf numFmtId="0" fontId="12" fillId="0" borderId="4" xfId="0" applyFont="1" applyBorder="1" applyAlignment="1" applyProtection="1">
      <alignment horizontal="center" vertical="center"/>
    </xf>
    <xf numFmtId="0" fontId="12" fillId="0" borderId="2" xfId="0" applyFont="1" applyBorder="1" applyAlignment="1" applyProtection="1">
      <alignment horizontal="center" vertical="center"/>
    </xf>
    <xf numFmtId="0" fontId="12" fillId="0" borderId="5" xfId="0" applyFont="1" applyBorder="1" applyAlignment="1" applyProtection="1">
      <alignment horizontal="center" vertical="center"/>
    </xf>
    <xf numFmtId="0" fontId="11" fillId="19" borderId="4" xfId="0" applyFont="1" applyFill="1" applyBorder="1" applyAlignment="1" applyProtection="1">
      <alignment horizontal="left" vertical="center" wrapText="1"/>
    </xf>
    <xf numFmtId="164" fontId="11" fillId="14" borderId="12" xfId="0" applyNumberFormat="1" applyFont="1" applyFill="1" applyBorder="1" applyAlignment="1" applyProtection="1">
      <alignment horizontal="center" vertical="center"/>
    </xf>
    <xf numFmtId="164" fontId="11" fillId="14" borderId="0" xfId="0" applyNumberFormat="1" applyFont="1" applyFill="1" applyBorder="1" applyAlignment="1" applyProtection="1">
      <alignment horizontal="center" vertical="center"/>
    </xf>
    <xf numFmtId="164" fontId="11" fillId="14" borderId="27" xfId="0" applyNumberFormat="1" applyFont="1" applyFill="1" applyBorder="1" applyAlignment="1" applyProtection="1">
      <alignment horizontal="center" vertical="center"/>
    </xf>
    <xf numFmtId="0" fontId="21" fillId="15" borderId="12" xfId="0" applyFont="1" applyFill="1" applyBorder="1" applyAlignment="1" applyProtection="1">
      <alignment horizontal="center" vertical="center"/>
    </xf>
    <xf numFmtId="0" fontId="21" fillId="15" borderId="0" xfId="0" applyFont="1" applyFill="1" applyBorder="1" applyAlignment="1" applyProtection="1">
      <alignment horizontal="center" vertical="center"/>
    </xf>
    <xf numFmtId="0" fontId="21" fillId="15" borderId="27" xfId="0" applyFont="1" applyFill="1" applyBorder="1" applyAlignment="1" applyProtection="1">
      <alignment horizontal="center" vertical="center"/>
    </xf>
    <xf numFmtId="9" fontId="5" fillId="14" borderId="12" xfId="0" applyNumberFormat="1" applyFont="1" applyFill="1" applyBorder="1" applyAlignment="1" applyProtection="1">
      <alignment horizontal="center" vertical="center"/>
    </xf>
    <xf numFmtId="9" fontId="5" fillId="14" borderId="0" xfId="0" applyNumberFormat="1" applyFont="1" applyFill="1" applyBorder="1" applyAlignment="1" applyProtection="1">
      <alignment horizontal="center" vertical="center"/>
    </xf>
    <xf numFmtId="9" fontId="5" fillId="14" borderId="27" xfId="0" applyNumberFormat="1" applyFont="1" applyFill="1" applyBorder="1" applyAlignment="1" applyProtection="1">
      <alignment horizontal="center" vertical="center"/>
    </xf>
    <xf numFmtId="0" fontId="12" fillId="19" borderId="28" xfId="0" applyFont="1" applyFill="1" applyBorder="1" applyAlignment="1" applyProtection="1">
      <alignment horizontal="center" vertical="center"/>
    </xf>
    <xf numFmtId="0" fontId="12" fillId="19" borderId="26" xfId="0" applyFont="1" applyFill="1" applyBorder="1" applyAlignment="1" applyProtection="1">
      <alignment horizontal="center" vertical="center"/>
    </xf>
    <xf numFmtId="37" fontId="34" fillId="19" borderId="28" xfId="0" applyNumberFormat="1" applyFont="1" applyFill="1" applyBorder="1" applyAlignment="1" applyProtection="1">
      <alignment horizontal="center" vertical="center"/>
      <protection locked="0"/>
    </xf>
    <xf numFmtId="37" fontId="34" fillId="19" borderId="26" xfId="0" applyNumberFormat="1" applyFont="1" applyFill="1" applyBorder="1" applyAlignment="1" applyProtection="1">
      <alignment horizontal="center" vertical="center"/>
      <protection locked="0"/>
    </xf>
    <xf numFmtId="164" fontId="34" fillId="19" borderId="12" xfId="1" applyNumberFormat="1" applyFont="1" applyFill="1" applyBorder="1" applyAlignment="1" applyProtection="1">
      <alignment horizontal="center" vertical="center"/>
      <protection locked="0"/>
    </xf>
    <xf numFmtId="164" fontId="34" fillId="19" borderId="27" xfId="1" applyNumberFormat="1" applyFont="1" applyFill="1" applyBorder="1" applyAlignment="1" applyProtection="1">
      <alignment horizontal="center" vertical="center"/>
      <protection locked="0"/>
    </xf>
    <xf numFmtId="37" fontId="34" fillId="15" borderId="6" xfId="0" applyNumberFormat="1" applyFont="1" applyFill="1" applyBorder="1" applyAlignment="1" applyProtection="1">
      <alignment horizontal="center" vertical="center"/>
      <protection locked="0"/>
    </xf>
    <xf numFmtId="37" fontId="34" fillId="15" borderId="1" xfId="0" applyNumberFormat="1" applyFont="1" applyFill="1" applyBorder="1" applyAlignment="1" applyProtection="1">
      <alignment horizontal="center" vertical="center"/>
      <protection locked="0"/>
    </xf>
    <xf numFmtId="37" fontId="34" fillId="15" borderId="7" xfId="0" applyNumberFormat="1" applyFont="1" applyFill="1" applyBorder="1" applyAlignment="1" applyProtection="1">
      <alignment horizontal="center" vertical="center"/>
      <protection locked="0"/>
    </xf>
    <xf numFmtId="164" fontId="21" fillId="15" borderId="12" xfId="0" applyNumberFormat="1" applyFont="1" applyFill="1" applyBorder="1" applyAlignment="1" applyProtection="1">
      <alignment horizontal="center" vertical="center"/>
    </xf>
    <xf numFmtId="164" fontId="21" fillId="15" borderId="0" xfId="0" applyNumberFormat="1" applyFont="1" applyFill="1" applyBorder="1" applyAlignment="1" applyProtection="1">
      <alignment horizontal="center" vertical="center"/>
    </xf>
    <xf numFmtId="164" fontId="21" fillId="15" borderId="27" xfId="0" applyNumberFormat="1" applyFont="1" applyFill="1" applyBorder="1" applyAlignment="1" applyProtection="1">
      <alignment horizontal="center" vertical="center"/>
    </xf>
    <xf numFmtId="164" fontId="21" fillId="14" borderId="12" xfId="0" applyNumberFormat="1" applyFont="1" applyFill="1" applyBorder="1" applyAlignment="1" applyProtection="1">
      <alignment horizontal="center" vertical="center"/>
    </xf>
    <xf numFmtId="164" fontId="21" fillId="14" borderId="0" xfId="0" applyNumberFormat="1" applyFont="1" applyFill="1" applyBorder="1" applyAlignment="1" applyProtection="1">
      <alignment horizontal="center" vertical="center"/>
    </xf>
    <xf numFmtId="164" fontId="21" fillId="14" borderId="27" xfId="0" applyNumberFormat="1" applyFont="1" applyFill="1" applyBorder="1" applyAlignment="1" applyProtection="1">
      <alignment horizontal="center" vertical="center"/>
    </xf>
    <xf numFmtId="164" fontId="5" fillId="15" borderId="12" xfId="0" applyNumberFormat="1" applyFont="1" applyFill="1" applyBorder="1" applyAlignment="1" applyProtection="1">
      <alignment horizontal="center" vertical="center"/>
    </xf>
    <xf numFmtId="164" fontId="5" fillId="15" borderId="0" xfId="0" applyNumberFormat="1" applyFont="1" applyFill="1" applyBorder="1" applyAlignment="1" applyProtection="1">
      <alignment horizontal="center" vertical="center"/>
    </xf>
    <xf numFmtId="164" fontId="5" fillId="15" borderId="27" xfId="0" applyNumberFormat="1" applyFont="1" applyFill="1" applyBorder="1" applyAlignment="1" applyProtection="1">
      <alignment horizontal="center" vertical="center"/>
    </xf>
    <xf numFmtId="0" fontId="37" fillId="14" borderId="4" xfId="0" applyFont="1" applyFill="1" applyBorder="1" applyAlignment="1" applyProtection="1">
      <alignment horizontal="center" vertical="center"/>
      <protection locked="0"/>
    </xf>
    <xf numFmtId="0" fontId="37" fillId="14" borderId="2" xfId="0" applyFont="1" applyFill="1" applyBorder="1" applyAlignment="1" applyProtection="1">
      <alignment horizontal="center" vertical="center"/>
      <protection locked="0"/>
    </xf>
    <xf numFmtId="0" fontId="37" fillId="14" borderId="5" xfId="0" applyFont="1" applyFill="1" applyBorder="1" applyAlignment="1" applyProtection="1">
      <alignment horizontal="center" vertical="center"/>
      <protection locked="0"/>
    </xf>
    <xf numFmtId="164" fontId="18" fillId="14" borderId="12" xfId="0" applyNumberFormat="1" applyFont="1" applyFill="1" applyBorder="1" applyAlignment="1" applyProtection="1">
      <alignment horizontal="center" vertical="center"/>
    </xf>
    <xf numFmtId="164" fontId="18" fillId="14" borderId="0" xfId="0" applyNumberFormat="1" applyFont="1" applyFill="1" applyBorder="1" applyAlignment="1" applyProtection="1">
      <alignment horizontal="center" vertical="center"/>
    </xf>
    <xf numFmtId="164" fontId="18" fillId="14" borderId="27" xfId="0" applyNumberFormat="1" applyFont="1" applyFill="1" applyBorder="1" applyAlignment="1" applyProtection="1">
      <alignment horizontal="center" vertical="center"/>
    </xf>
    <xf numFmtId="164" fontId="34" fillId="14" borderId="12" xfId="0" applyNumberFormat="1" applyFont="1" applyFill="1" applyBorder="1" applyAlignment="1" applyProtection="1">
      <alignment horizontal="center" vertical="center"/>
      <protection locked="0"/>
    </xf>
    <xf numFmtId="164" fontId="34" fillId="14" borderId="0" xfId="0" applyNumberFormat="1" applyFont="1" applyFill="1" applyBorder="1" applyAlignment="1" applyProtection="1">
      <alignment horizontal="center" vertical="center"/>
      <protection locked="0"/>
    </xf>
    <xf numFmtId="164" fontId="34" fillId="14" borderId="27" xfId="0" applyNumberFormat="1" applyFont="1" applyFill="1" applyBorder="1" applyAlignment="1" applyProtection="1">
      <alignment horizontal="center" vertical="center"/>
      <protection locked="0"/>
    </xf>
    <xf numFmtId="0" fontId="24" fillId="15" borderId="6" xfId="0" applyFont="1" applyFill="1" applyBorder="1" applyAlignment="1" applyProtection="1">
      <alignment horizontal="center" vertical="center"/>
    </xf>
    <xf numFmtId="0" fontId="24" fillId="15" borderId="1" xfId="0" applyFont="1" applyFill="1" applyBorder="1" applyAlignment="1" applyProtection="1">
      <alignment horizontal="center" vertical="center"/>
    </xf>
    <xf numFmtId="0" fontId="24" fillId="15" borderId="7" xfId="0" applyFont="1" applyFill="1" applyBorder="1" applyAlignment="1" applyProtection="1">
      <alignment horizontal="center" vertical="center"/>
    </xf>
    <xf numFmtId="190" fontId="5" fillId="19" borderId="12" xfId="0" applyNumberFormat="1" applyFont="1" applyFill="1" applyBorder="1" applyAlignment="1" applyProtection="1">
      <alignment horizontal="center" vertical="center"/>
      <protection locked="0"/>
    </xf>
    <xf numFmtId="5" fontId="5" fillId="19" borderId="27" xfId="0" applyNumberFormat="1" applyFont="1" applyFill="1" applyBorder="1" applyAlignment="1" applyProtection="1">
      <alignment horizontal="center" vertical="center"/>
      <protection locked="0"/>
    </xf>
    <xf numFmtId="190" fontId="5" fillId="19" borderId="6" xfId="0" applyNumberFormat="1" applyFont="1" applyFill="1" applyBorder="1" applyAlignment="1" applyProtection="1">
      <alignment horizontal="center" vertical="center"/>
      <protection locked="0"/>
    </xf>
    <xf numFmtId="5" fontId="5" fillId="19" borderId="7" xfId="0" applyNumberFormat="1" applyFont="1" applyFill="1" applyBorder="1" applyAlignment="1" applyProtection="1">
      <alignment horizontal="center" vertical="center"/>
      <protection locked="0"/>
    </xf>
    <xf numFmtId="39" fontId="34" fillId="19" borderId="12" xfId="0" applyNumberFormat="1" applyFont="1" applyFill="1" applyBorder="1" applyAlignment="1" applyProtection="1">
      <alignment horizontal="center" vertical="center"/>
      <protection locked="0"/>
    </xf>
    <xf numFmtId="39" fontId="34" fillId="19" borderId="27" xfId="0" applyNumberFormat="1" applyFont="1" applyFill="1" applyBorder="1" applyAlignment="1" applyProtection="1">
      <alignment horizontal="center" vertical="center"/>
      <protection locked="0"/>
    </xf>
    <xf numFmtId="190" fontId="5" fillId="19" borderId="28" xfId="0" applyNumberFormat="1" applyFont="1" applyFill="1" applyBorder="1" applyAlignment="1" applyProtection="1">
      <alignment horizontal="center" vertical="center"/>
      <protection locked="0"/>
    </xf>
    <xf numFmtId="5" fontId="5" fillId="19" borderId="26" xfId="0" applyNumberFormat="1" applyFont="1" applyFill="1" applyBorder="1" applyAlignment="1" applyProtection="1">
      <alignment horizontal="center" vertical="center"/>
      <protection locked="0"/>
    </xf>
    <xf numFmtId="164" fontId="5" fillId="14" borderId="12" xfId="0" applyNumberFormat="1" applyFont="1" applyFill="1" applyBorder="1" applyAlignment="1" applyProtection="1">
      <alignment horizontal="center" vertical="center"/>
      <protection locked="0"/>
    </xf>
    <xf numFmtId="164" fontId="5" fillId="14" borderId="0" xfId="0" applyNumberFormat="1" applyFont="1" applyFill="1" applyBorder="1" applyAlignment="1" applyProtection="1">
      <alignment horizontal="center" vertical="center"/>
      <protection locked="0"/>
    </xf>
    <xf numFmtId="164" fontId="5" fillId="14" borderId="27" xfId="0" applyNumberFormat="1" applyFont="1" applyFill="1" applyBorder="1" applyAlignment="1" applyProtection="1">
      <alignment horizontal="center" vertical="center"/>
      <protection locked="0"/>
    </xf>
    <xf numFmtId="189" fontId="34" fillId="19" borderId="12" xfId="0" applyNumberFormat="1" applyFont="1" applyFill="1" applyBorder="1" applyAlignment="1" applyProtection="1">
      <alignment horizontal="center" vertical="center"/>
      <protection locked="0"/>
    </xf>
    <xf numFmtId="189" fontId="34" fillId="19" borderId="27" xfId="0" applyNumberFormat="1" applyFont="1" applyFill="1" applyBorder="1" applyAlignment="1" applyProtection="1">
      <alignment horizontal="center" vertical="center"/>
      <protection locked="0"/>
    </xf>
    <xf numFmtId="164" fontId="34" fillId="19" borderId="6" xfId="1" applyNumberFormat="1" applyFont="1" applyFill="1" applyBorder="1" applyAlignment="1" applyProtection="1">
      <alignment horizontal="center" vertical="center"/>
      <protection locked="0"/>
    </xf>
    <xf numFmtId="164" fontId="34" fillId="19" borderId="7" xfId="1" applyNumberFormat="1" applyFont="1" applyFill="1" applyBorder="1" applyAlignment="1" applyProtection="1">
      <alignment horizontal="center" vertical="center"/>
      <protection locked="0"/>
    </xf>
    <xf numFmtId="0" fontId="34" fillId="19" borderId="2" xfId="0" applyFont="1" applyFill="1" applyBorder="1" applyAlignment="1" applyProtection="1">
      <alignment horizontal="left" vertical="center" wrapText="1"/>
      <protection locked="0"/>
    </xf>
    <xf numFmtId="164" fontId="5" fillId="14" borderId="12" xfId="1" applyNumberFormat="1" applyFont="1" applyFill="1" applyBorder="1" applyAlignment="1" applyProtection="1">
      <alignment horizontal="center" vertical="center"/>
    </xf>
    <xf numFmtId="164" fontId="5" fillId="14" borderId="0" xfId="1" applyNumberFormat="1" applyFont="1" applyFill="1" applyBorder="1" applyAlignment="1" applyProtection="1">
      <alignment horizontal="center" vertical="center"/>
    </xf>
    <xf numFmtId="164" fontId="5" fillId="14" borderId="27" xfId="1" applyNumberFormat="1" applyFont="1" applyFill="1" applyBorder="1" applyAlignment="1" applyProtection="1">
      <alignment horizontal="center" vertical="center"/>
    </xf>
    <xf numFmtId="9" fontId="34" fillId="14" borderId="6" xfId="0" applyNumberFormat="1" applyFont="1" applyFill="1" applyBorder="1" applyAlignment="1" applyProtection="1">
      <alignment horizontal="center" vertical="center"/>
      <protection locked="0"/>
    </xf>
    <xf numFmtId="9" fontId="34" fillId="14" borderId="1" xfId="0" applyNumberFormat="1" applyFont="1" applyFill="1" applyBorder="1" applyAlignment="1" applyProtection="1">
      <alignment horizontal="center" vertical="center"/>
      <protection locked="0"/>
    </xf>
    <xf numFmtId="9" fontId="34" fillId="14" borderId="7" xfId="0" applyNumberFormat="1" applyFont="1" applyFill="1" applyBorder="1" applyAlignment="1" applyProtection="1">
      <alignment horizontal="center" vertical="center"/>
      <protection locked="0"/>
    </xf>
    <xf numFmtId="0" fontId="37" fillId="14" borderId="28" xfId="0" applyFont="1" applyFill="1" applyBorder="1" applyAlignment="1" applyProtection="1">
      <alignment horizontal="center" vertical="center"/>
      <protection locked="0"/>
    </xf>
    <xf numFmtId="0" fontId="37" fillId="14" borderId="13" xfId="0" applyFont="1" applyFill="1" applyBorder="1" applyAlignment="1" applyProtection="1">
      <alignment horizontal="center" vertical="center"/>
      <protection locked="0"/>
    </xf>
    <xf numFmtId="0" fontId="37" fillId="14" borderId="26" xfId="0" applyFont="1" applyFill="1" applyBorder="1" applyAlignment="1" applyProtection="1">
      <alignment horizontal="center" vertical="center"/>
      <protection locked="0"/>
    </xf>
    <xf numFmtId="0" fontId="12" fillId="19" borderId="4" xfId="0" applyFont="1" applyFill="1" applyBorder="1" applyAlignment="1" applyProtection="1">
      <alignment horizontal="center" vertical="center" wrapText="1"/>
    </xf>
    <xf numFmtId="0" fontId="12" fillId="19" borderId="2" xfId="0" applyFont="1" applyFill="1" applyBorder="1" applyAlignment="1" applyProtection="1">
      <alignment horizontal="center" vertical="center" wrapText="1"/>
    </xf>
    <xf numFmtId="0" fontId="12" fillId="19" borderId="5" xfId="0" applyFont="1" applyFill="1" applyBorder="1" applyAlignment="1" applyProtection="1">
      <alignment horizontal="center" vertical="center" wrapText="1"/>
    </xf>
    <xf numFmtId="9" fontId="34" fillId="15" borderId="6" xfId="0" applyNumberFormat="1" applyFont="1" applyFill="1" applyBorder="1" applyAlignment="1" applyProtection="1">
      <alignment horizontal="center" vertical="center"/>
      <protection locked="0"/>
    </xf>
    <xf numFmtId="9" fontId="34" fillId="15" borderId="1" xfId="0" applyNumberFormat="1" applyFont="1" applyFill="1" applyBorder="1" applyAlignment="1" applyProtection="1">
      <alignment horizontal="center" vertical="center"/>
      <protection locked="0"/>
    </xf>
    <xf numFmtId="9" fontId="34" fillId="15" borderId="7" xfId="0" applyNumberFormat="1" applyFont="1" applyFill="1" applyBorder="1" applyAlignment="1" applyProtection="1">
      <alignment horizontal="center" vertical="center"/>
      <protection locked="0"/>
    </xf>
    <xf numFmtId="0" fontId="37" fillId="15" borderId="28" xfId="0" applyFont="1" applyFill="1" applyBorder="1" applyAlignment="1" applyProtection="1">
      <alignment horizontal="center" vertical="center"/>
      <protection locked="0"/>
    </xf>
    <xf numFmtId="0" fontId="37" fillId="15" borderId="13" xfId="0" applyFont="1" applyFill="1" applyBorder="1" applyAlignment="1" applyProtection="1">
      <alignment horizontal="center" vertical="center"/>
      <protection locked="0"/>
    </xf>
    <xf numFmtId="0" fontId="37" fillId="15" borderId="26" xfId="0" applyFont="1" applyFill="1" applyBorder="1" applyAlignment="1" applyProtection="1">
      <alignment horizontal="center" vertical="center"/>
      <protection locked="0"/>
    </xf>
    <xf numFmtId="0" fontId="12" fillId="0" borderId="4"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164" fontId="5" fillId="15" borderId="12" xfId="0" applyNumberFormat="1" applyFont="1" applyFill="1" applyBorder="1" applyAlignment="1" applyProtection="1">
      <alignment horizontal="center" vertical="center"/>
      <protection locked="0"/>
    </xf>
    <xf numFmtId="164" fontId="5" fillId="15" borderId="0" xfId="0" applyNumberFormat="1" applyFont="1" applyFill="1" applyBorder="1" applyAlignment="1" applyProtection="1">
      <alignment horizontal="center" vertical="center"/>
      <protection locked="0"/>
    </xf>
    <xf numFmtId="164" fontId="5" fillId="15" borderId="27" xfId="0" applyNumberFormat="1" applyFont="1" applyFill="1" applyBorder="1" applyAlignment="1" applyProtection="1">
      <alignment horizontal="center" vertical="center"/>
      <protection locked="0"/>
    </xf>
    <xf numFmtId="164" fontId="34" fillId="14" borderId="6" xfId="0" applyNumberFormat="1" applyFont="1" applyFill="1" applyBorder="1" applyAlignment="1" applyProtection="1">
      <alignment horizontal="center" vertical="center"/>
      <protection locked="0"/>
    </xf>
    <xf numFmtId="164" fontId="34" fillId="14" borderId="1" xfId="0" applyNumberFormat="1" applyFont="1" applyFill="1" applyBorder="1" applyAlignment="1" applyProtection="1">
      <alignment horizontal="center" vertical="center"/>
      <protection locked="0"/>
    </xf>
    <xf numFmtId="164" fontId="34" fillId="14" borderId="7" xfId="0" applyNumberFormat="1" applyFont="1" applyFill="1" applyBorder="1" applyAlignment="1" applyProtection="1">
      <alignment horizontal="center" vertical="center"/>
      <protection locked="0"/>
    </xf>
    <xf numFmtId="37" fontId="11" fillId="14" borderId="12" xfId="0" applyNumberFormat="1" applyFont="1" applyFill="1" applyBorder="1" applyAlignment="1" applyProtection="1">
      <alignment horizontal="center" vertical="center"/>
    </xf>
    <xf numFmtId="37" fontId="11" fillId="14" borderId="0" xfId="0" applyNumberFormat="1" applyFont="1" applyFill="1" applyBorder="1" applyAlignment="1" applyProtection="1">
      <alignment horizontal="center" vertical="center"/>
    </xf>
    <xf numFmtId="37" fontId="11" fillId="14" borderId="27" xfId="0" applyNumberFormat="1" applyFont="1" applyFill="1" applyBorder="1" applyAlignment="1" applyProtection="1">
      <alignment horizontal="center" vertical="center"/>
    </xf>
    <xf numFmtId="37" fontId="5" fillId="14" borderId="12" xfId="0" applyNumberFormat="1" applyFont="1" applyFill="1" applyBorder="1" applyAlignment="1" applyProtection="1">
      <alignment horizontal="center" vertical="center"/>
    </xf>
    <xf numFmtId="37" fontId="5" fillId="14" borderId="0" xfId="0" applyNumberFormat="1" applyFont="1" applyFill="1" applyBorder="1" applyAlignment="1" applyProtection="1">
      <alignment horizontal="center" vertical="center"/>
    </xf>
    <xf numFmtId="37" fontId="5" fillId="14" borderId="27" xfId="0" applyNumberFormat="1" applyFont="1" applyFill="1" applyBorder="1" applyAlignment="1" applyProtection="1">
      <alignment horizontal="center" vertical="center"/>
    </xf>
    <xf numFmtId="0" fontId="25" fillId="14" borderId="28" xfId="0" applyFont="1" applyFill="1" applyBorder="1" applyAlignment="1" applyProtection="1">
      <alignment horizontal="center" vertical="center"/>
    </xf>
    <xf numFmtId="0" fontId="25" fillId="14" borderId="13" xfId="0" applyFont="1" applyFill="1" applyBorder="1" applyAlignment="1" applyProtection="1">
      <alignment horizontal="center" vertical="center"/>
    </xf>
    <xf numFmtId="0" fontId="25" fillId="14" borderId="26" xfId="0" applyFont="1" applyFill="1" applyBorder="1" applyAlignment="1" applyProtection="1">
      <alignment horizontal="center" vertical="center"/>
    </xf>
    <xf numFmtId="37" fontId="18" fillId="14" borderId="12" xfId="0" applyNumberFormat="1" applyFont="1" applyFill="1" applyBorder="1" applyAlignment="1" applyProtection="1">
      <alignment horizontal="center" vertical="center"/>
    </xf>
    <xf numFmtId="37" fontId="18" fillId="14" borderId="0" xfId="0" applyNumberFormat="1" applyFont="1" applyFill="1" applyBorder="1" applyAlignment="1" applyProtection="1">
      <alignment horizontal="center" vertical="center"/>
    </xf>
    <xf numFmtId="37" fontId="18" fillId="14" borderId="27" xfId="0" applyNumberFormat="1" applyFont="1" applyFill="1" applyBorder="1" applyAlignment="1" applyProtection="1">
      <alignment horizontal="center" vertical="center"/>
    </xf>
    <xf numFmtId="0" fontId="24" fillId="14" borderId="28" xfId="0" applyFont="1" applyFill="1" applyBorder="1" applyAlignment="1" applyProtection="1">
      <alignment horizontal="center" vertical="center"/>
    </xf>
    <xf numFmtId="0" fontId="24" fillId="14" borderId="13" xfId="0" applyFont="1" applyFill="1" applyBorder="1" applyAlignment="1" applyProtection="1">
      <alignment horizontal="center" vertical="center"/>
    </xf>
    <xf numFmtId="0" fontId="24" fillId="14" borderId="26" xfId="0" applyFont="1" applyFill="1" applyBorder="1" applyAlignment="1" applyProtection="1">
      <alignment horizontal="center" vertical="center"/>
    </xf>
    <xf numFmtId="0" fontId="24" fillId="15" borderId="28" xfId="0" applyFont="1" applyFill="1" applyBorder="1" applyAlignment="1" applyProtection="1">
      <alignment horizontal="center" vertical="center"/>
    </xf>
    <xf numFmtId="0" fontId="24" fillId="15" borderId="13" xfId="0" applyFont="1" applyFill="1" applyBorder="1" applyAlignment="1" applyProtection="1">
      <alignment horizontal="center" vertical="center"/>
    </xf>
    <xf numFmtId="0" fontId="24" fillId="15" borderId="26" xfId="0" applyFont="1" applyFill="1" applyBorder="1" applyAlignment="1" applyProtection="1">
      <alignment horizontal="center" vertical="center"/>
    </xf>
    <xf numFmtId="188" fontId="34" fillId="19" borderId="12" xfId="0" applyNumberFormat="1" applyFont="1" applyFill="1" applyBorder="1" applyAlignment="1" applyProtection="1">
      <alignment horizontal="center" vertical="center"/>
      <protection locked="0"/>
    </xf>
    <xf numFmtId="188" fontId="34" fillId="19" borderId="27" xfId="0" applyNumberFormat="1" applyFont="1" applyFill="1" applyBorder="1" applyAlignment="1" applyProtection="1">
      <alignment horizontal="center" vertical="center"/>
      <protection locked="0"/>
    </xf>
    <xf numFmtId="0" fontId="11" fillId="19" borderId="28" xfId="0" applyFont="1" applyFill="1" applyBorder="1" applyAlignment="1" applyProtection="1">
      <alignment horizontal="left" vertical="center"/>
    </xf>
    <xf numFmtId="0" fontId="11" fillId="19" borderId="13" xfId="0" applyFont="1" applyFill="1" applyBorder="1" applyAlignment="1" applyProtection="1">
      <alignment horizontal="left" vertical="center"/>
    </xf>
    <xf numFmtId="0" fontId="0" fillId="19" borderId="12" xfId="0" applyFill="1" applyBorder="1" applyAlignment="1">
      <alignment horizontal="left" vertical="center"/>
    </xf>
    <xf numFmtId="0" fontId="0" fillId="19" borderId="0" xfId="0" applyFill="1" applyAlignment="1">
      <alignment horizontal="left" vertical="center"/>
    </xf>
    <xf numFmtId="0" fontId="0" fillId="19" borderId="0" xfId="0" applyFill="1" applyBorder="1" applyAlignment="1">
      <alignment vertical="center"/>
    </xf>
    <xf numFmtId="0" fontId="21" fillId="14" borderId="12" xfId="0" applyFont="1" applyFill="1" applyBorder="1" applyAlignment="1" applyProtection="1">
      <alignment horizontal="center" vertical="center"/>
    </xf>
    <xf numFmtId="0" fontId="21" fillId="14" borderId="0" xfId="0" applyFont="1" applyFill="1" applyBorder="1" applyAlignment="1" applyProtection="1">
      <alignment horizontal="center" vertical="center"/>
    </xf>
    <xf numFmtId="0" fontId="21" fillId="14" borderId="27" xfId="0" applyFont="1" applyFill="1" applyBorder="1" applyAlignment="1" applyProtection="1">
      <alignment horizontal="center" vertical="center"/>
    </xf>
    <xf numFmtId="9" fontId="5" fillId="15" borderId="12" xfId="0" applyNumberFormat="1" applyFont="1" applyFill="1" applyBorder="1" applyAlignment="1" applyProtection="1">
      <alignment horizontal="center" vertical="center"/>
    </xf>
    <xf numFmtId="9" fontId="5" fillId="15" borderId="0" xfId="0" applyNumberFormat="1" applyFont="1" applyFill="1" applyBorder="1" applyAlignment="1" applyProtection="1">
      <alignment horizontal="center" vertical="center"/>
    </xf>
    <xf numFmtId="9" fontId="5" fillId="15" borderId="27" xfId="0" applyNumberFormat="1" applyFont="1" applyFill="1" applyBorder="1" applyAlignment="1" applyProtection="1">
      <alignment horizontal="center" vertical="center"/>
    </xf>
    <xf numFmtId="190" fontId="34" fillId="19" borderId="0" xfId="145" applyNumberFormat="1" applyFont="1" applyFill="1" applyAlignment="1">
      <alignment horizontal="right" vertical="center"/>
    </xf>
    <xf numFmtId="5" fontId="34" fillId="19" borderId="0" xfId="145" applyNumberFormat="1" applyFont="1" applyFill="1" applyAlignment="1">
      <alignment horizontal="right" vertical="center"/>
    </xf>
    <xf numFmtId="186" fontId="5" fillId="19" borderId="0" xfId="3" applyNumberFormat="1" applyFont="1" applyFill="1" applyAlignment="1">
      <alignment horizontal="center" vertical="center" wrapText="1"/>
    </xf>
    <xf numFmtId="0" fontId="11" fillId="19" borderId="8" xfId="0" applyFont="1" applyFill="1" applyBorder="1" applyAlignment="1">
      <alignment horizontal="center" vertical="center"/>
    </xf>
    <xf numFmtId="0" fontId="11" fillId="19" borderId="9" xfId="0" applyFont="1" applyFill="1" applyBorder="1" applyAlignment="1">
      <alignment horizontal="center" vertical="center"/>
    </xf>
    <xf numFmtId="0" fontId="11" fillId="19" borderId="10" xfId="0" applyFont="1" applyFill="1" applyBorder="1" applyAlignment="1">
      <alignment horizontal="center" vertical="center"/>
    </xf>
    <xf numFmtId="166" fontId="34" fillId="19" borderId="31" xfId="0" applyNumberFormat="1" applyFont="1" applyFill="1" applyBorder="1" applyAlignment="1">
      <alignment horizontal="center" vertical="center"/>
    </xf>
    <xf numFmtId="166" fontId="34" fillId="19" borderId="34" xfId="0" applyNumberFormat="1" applyFont="1" applyFill="1" applyBorder="1" applyAlignment="1">
      <alignment horizontal="center" vertical="center"/>
    </xf>
    <xf numFmtId="185" fontId="11" fillId="19" borderId="31" xfId="0" applyNumberFormat="1" applyFont="1" applyFill="1" applyBorder="1" applyAlignment="1">
      <alignment horizontal="center" vertical="center"/>
    </xf>
    <xf numFmtId="185" fontId="11" fillId="19" borderId="34" xfId="0" applyNumberFormat="1" applyFont="1" applyFill="1" applyBorder="1" applyAlignment="1">
      <alignment horizontal="center" vertical="center"/>
    </xf>
    <xf numFmtId="0" fontId="11" fillId="19" borderId="34" xfId="0" applyFont="1" applyFill="1" applyBorder="1" applyAlignment="1">
      <alignment horizontal="center" vertical="center"/>
    </xf>
    <xf numFmtId="185" fontId="11" fillId="26" borderId="31" xfId="0" applyNumberFormat="1" applyFont="1" applyFill="1" applyBorder="1" applyAlignment="1">
      <alignment horizontal="center" vertical="center" wrapText="1"/>
    </xf>
    <xf numFmtId="185" fontId="11" fillId="0" borderId="34" xfId="0" applyNumberFormat="1" applyFont="1" applyBorder="1" applyAlignment="1">
      <alignment horizontal="center" vertical="center" wrapText="1"/>
    </xf>
    <xf numFmtId="166" fontId="34" fillId="26" borderId="31" xfId="0" applyNumberFormat="1" applyFont="1" applyFill="1" applyBorder="1" applyAlignment="1">
      <alignment horizontal="center" vertical="center" wrapText="1"/>
    </xf>
    <xf numFmtId="166" fontId="34" fillId="0" borderId="34" xfId="0" applyNumberFormat="1" applyFont="1" applyBorder="1" applyAlignment="1">
      <alignment horizontal="center" vertical="center" wrapText="1"/>
    </xf>
    <xf numFmtId="190" fontId="34" fillId="26" borderId="32" xfId="0" applyNumberFormat="1" applyFont="1" applyFill="1" applyBorder="1" applyAlignment="1">
      <alignment horizontal="center" vertical="center" wrapText="1"/>
    </xf>
    <xf numFmtId="5" fontId="34" fillId="26" borderId="37" xfId="0" applyNumberFormat="1" applyFont="1" applyFill="1" applyBorder="1" applyAlignment="1">
      <alignment horizontal="center" vertical="center" wrapText="1"/>
    </xf>
    <xf numFmtId="5" fontId="34" fillId="0" borderId="35" xfId="0" applyNumberFormat="1" applyFont="1" applyBorder="1" applyAlignment="1">
      <alignment horizontal="center" vertical="center" wrapText="1"/>
    </xf>
    <xf numFmtId="190" fontId="34" fillId="19" borderId="32" xfId="0" applyNumberFormat="1" applyFont="1" applyFill="1" applyBorder="1" applyAlignment="1">
      <alignment horizontal="center" vertical="center"/>
    </xf>
    <xf numFmtId="5" fontId="34" fillId="19" borderId="37" xfId="0" applyNumberFormat="1" applyFont="1" applyFill="1" applyBorder="1" applyAlignment="1">
      <alignment horizontal="center" vertical="center"/>
    </xf>
    <xf numFmtId="5" fontId="34" fillId="19" borderId="35" xfId="0" applyNumberFormat="1" applyFont="1" applyFill="1" applyBorder="1" applyAlignment="1">
      <alignment horizontal="center" vertical="center"/>
    </xf>
    <xf numFmtId="190" fontId="11" fillId="0" borderId="32" xfId="3" applyNumberFormat="1" applyFont="1" applyBorder="1" applyAlignment="1">
      <alignment horizontal="center" vertical="center"/>
    </xf>
    <xf numFmtId="5" fontId="11" fillId="0" borderId="37" xfId="3" applyNumberFormat="1" applyFont="1" applyBorder="1" applyAlignment="1">
      <alignment horizontal="center" vertical="center"/>
    </xf>
    <xf numFmtId="5" fontId="11" fillId="0" borderId="35" xfId="3" applyNumberFormat="1" applyFont="1" applyBorder="1" applyAlignment="1">
      <alignment horizontal="center" vertical="center"/>
    </xf>
    <xf numFmtId="0" fontId="44" fillId="24" borderId="31" xfId="0" applyFont="1" applyFill="1" applyBorder="1" applyAlignment="1">
      <alignment horizontal="center" vertical="center" wrapText="1"/>
    </xf>
    <xf numFmtId="0" fontId="11" fillId="24" borderId="34" xfId="0" applyFont="1" applyFill="1" applyBorder="1" applyAlignment="1">
      <alignment horizontal="center" vertical="center" wrapText="1"/>
    </xf>
    <xf numFmtId="0" fontId="12" fillId="19" borderId="30" xfId="0" applyFont="1" applyFill="1" applyBorder="1" applyAlignment="1">
      <alignment horizontal="left" vertical="center" wrapText="1"/>
    </xf>
    <xf numFmtId="0" fontId="12" fillId="19" borderId="33" xfId="0" applyFont="1" applyFill="1" applyBorder="1" applyAlignment="1">
      <alignment horizontal="left" vertical="center" wrapText="1"/>
    </xf>
    <xf numFmtId="0" fontId="34" fillId="19" borderId="31" xfId="0" applyFont="1" applyFill="1" applyBorder="1" applyAlignment="1">
      <alignment horizontal="left" vertical="center" wrapText="1"/>
    </xf>
    <xf numFmtId="0" fontId="34" fillId="19" borderId="34" xfId="0" applyFont="1" applyFill="1" applyBorder="1" applyAlignment="1">
      <alignment horizontal="left" vertical="center" wrapText="1"/>
    </xf>
    <xf numFmtId="0" fontId="12" fillId="26" borderId="30" xfId="0" applyFont="1" applyFill="1" applyBorder="1" applyAlignment="1">
      <alignment horizontal="left" vertical="center" wrapText="1"/>
    </xf>
    <xf numFmtId="0" fontId="12" fillId="26" borderId="33" xfId="0" applyFont="1" applyFill="1" applyBorder="1" applyAlignment="1">
      <alignment horizontal="left" vertical="center" wrapText="1"/>
    </xf>
    <xf numFmtId="0" fontId="34" fillId="26" borderId="31" xfId="0" applyFont="1" applyFill="1" applyBorder="1" applyAlignment="1">
      <alignment horizontal="left" vertical="center" wrapText="1"/>
    </xf>
    <xf numFmtId="0" fontId="34" fillId="0" borderId="34" xfId="0" applyFont="1" applyBorder="1" applyAlignment="1">
      <alignment horizontal="left" vertical="center" wrapText="1"/>
    </xf>
    <xf numFmtId="0" fontId="12" fillId="19" borderId="30" xfId="0" applyFont="1" applyFill="1" applyBorder="1" applyAlignment="1">
      <alignment horizontal="justify" vertical="center" wrapText="1"/>
    </xf>
    <xf numFmtId="0" fontId="12" fillId="19" borderId="33" xfId="0" applyFont="1" applyFill="1" applyBorder="1" applyAlignment="1">
      <alignment horizontal="justify" vertical="center" wrapText="1"/>
    </xf>
    <xf numFmtId="0" fontId="44" fillId="25" borderId="30" xfId="0" applyFont="1" applyFill="1" applyBorder="1" applyAlignment="1">
      <alignment horizontal="center" vertical="center" wrapText="1"/>
    </xf>
    <xf numFmtId="0" fontId="11" fillId="0" borderId="33" xfId="0" applyFont="1" applyBorder="1" applyAlignment="1">
      <alignment vertical="center" wrapText="1"/>
    </xf>
    <xf numFmtId="0" fontId="44" fillId="25" borderId="31" xfId="0" applyFont="1" applyFill="1" applyBorder="1" applyAlignment="1">
      <alignment horizontal="center" vertical="center" wrapText="1"/>
    </xf>
    <xf numFmtId="0" fontId="11" fillId="0" borderId="34" xfId="0" applyFont="1" applyBorder="1" applyAlignment="1">
      <alignment horizontal="center" vertical="center" wrapText="1"/>
    </xf>
    <xf numFmtId="0" fontId="44" fillId="25" borderId="39" xfId="0" applyFont="1" applyFill="1" applyBorder="1" applyAlignment="1">
      <alignment horizontal="center" vertical="center" wrapText="1"/>
    </xf>
    <xf numFmtId="0" fontId="11" fillId="0" borderId="39" xfId="0" applyFont="1" applyBorder="1" applyAlignment="1">
      <alignment horizontal="center" vertical="center" wrapText="1"/>
    </xf>
    <xf numFmtId="0" fontId="44" fillId="25" borderId="32" xfId="0" applyFont="1" applyFill="1" applyBorder="1" applyAlignment="1">
      <alignment horizontal="center" vertical="center" wrapText="1"/>
    </xf>
    <xf numFmtId="0" fontId="11" fillId="0" borderId="35" xfId="0" applyFont="1" applyBorder="1" applyAlignment="1">
      <alignment horizontal="center" vertical="center" wrapText="1"/>
    </xf>
    <xf numFmtId="0" fontId="12" fillId="19" borderId="30" xfId="0" applyFont="1" applyFill="1" applyBorder="1" applyAlignment="1" applyProtection="1">
      <alignment horizontal="left" vertical="center" wrapText="1"/>
    </xf>
    <xf numFmtId="0" fontId="12" fillId="19" borderId="36" xfId="0" applyFont="1" applyFill="1" applyBorder="1" applyAlignment="1" applyProtection="1">
      <alignment horizontal="left" vertical="center" wrapText="1"/>
    </xf>
    <xf numFmtId="0" fontId="11" fillId="19" borderId="33" xfId="0" applyFont="1" applyFill="1" applyBorder="1" applyAlignment="1">
      <alignment horizontal="left" vertical="center" wrapText="1"/>
    </xf>
    <xf numFmtId="0" fontId="11" fillId="19" borderId="31" xfId="0" applyFont="1" applyFill="1" applyBorder="1" applyAlignment="1">
      <alignment horizontal="left" vertical="center"/>
    </xf>
    <xf numFmtId="0" fontId="11" fillId="19" borderId="34" xfId="0" applyFont="1" applyFill="1" applyBorder="1" applyAlignment="1">
      <alignment horizontal="left" vertical="center"/>
    </xf>
    <xf numFmtId="164" fontId="34" fillId="19" borderId="31" xfId="0" applyNumberFormat="1" applyFont="1" applyFill="1" applyBorder="1" applyAlignment="1">
      <alignment horizontal="center" vertical="center"/>
    </xf>
    <xf numFmtId="164" fontId="34" fillId="19" borderId="0" xfId="0" applyNumberFormat="1" applyFont="1" applyFill="1" applyBorder="1" applyAlignment="1">
      <alignment horizontal="center" vertical="center"/>
    </xf>
    <xf numFmtId="164" fontId="34" fillId="19" borderId="34" xfId="0" applyNumberFormat="1" applyFont="1" applyFill="1" applyBorder="1" applyAlignment="1">
      <alignment horizontal="center" vertical="center"/>
    </xf>
    <xf numFmtId="191" fontId="34" fillId="19" borderId="31" xfId="3" applyNumberFormat="1" applyFont="1" applyFill="1" applyBorder="1" applyAlignment="1">
      <alignment horizontal="center" vertical="center"/>
    </xf>
    <xf numFmtId="7" fontId="34" fillId="19" borderId="0" xfId="3" applyNumberFormat="1" applyFont="1" applyFill="1" applyBorder="1" applyAlignment="1">
      <alignment horizontal="center" vertical="center"/>
    </xf>
    <xf numFmtId="7" fontId="34" fillId="19" borderId="34" xfId="3" applyNumberFormat="1" applyFont="1" applyFill="1" applyBorder="1" applyAlignment="1">
      <alignment horizontal="center" vertical="center"/>
    </xf>
    <xf numFmtId="0" fontId="12" fillId="26" borderId="36" xfId="0" applyFont="1" applyFill="1" applyBorder="1" applyAlignment="1">
      <alignment horizontal="left" vertical="center" wrapText="1"/>
    </xf>
    <xf numFmtId="0" fontId="11" fillId="0" borderId="33" xfId="0" applyFont="1" applyBorder="1" applyAlignment="1">
      <alignment horizontal="left" vertical="center" wrapText="1"/>
    </xf>
    <xf numFmtId="10" fontId="11" fillId="26" borderId="31" xfId="0" applyNumberFormat="1" applyFont="1" applyFill="1" applyBorder="1" applyAlignment="1">
      <alignment horizontal="left" vertical="center" wrapText="1"/>
    </xf>
    <xf numFmtId="0" fontId="11" fillId="0" borderId="0" xfId="0" applyFont="1" applyAlignment="1">
      <alignment horizontal="left" vertical="center" wrapText="1"/>
    </xf>
    <xf numFmtId="0" fontId="11" fillId="0" borderId="34" xfId="0" applyFont="1" applyBorder="1" applyAlignment="1">
      <alignment horizontal="left" vertical="center" wrapText="1"/>
    </xf>
    <xf numFmtId="164" fontId="34" fillId="26" borderId="31" xfId="0" applyNumberFormat="1" applyFont="1" applyFill="1" applyBorder="1" applyAlignment="1">
      <alignment horizontal="center" vertical="center" wrapText="1"/>
    </xf>
    <xf numFmtId="164" fontId="34" fillId="0" borderId="0" xfId="0" applyNumberFormat="1" applyFont="1" applyAlignment="1">
      <alignment horizontal="center" vertical="center" wrapText="1"/>
    </xf>
    <xf numFmtId="164" fontId="34" fillId="0" borderId="34" xfId="0" applyNumberFormat="1" applyFont="1" applyBorder="1" applyAlignment="1">
      <alignment horizontal="center" vertical="center" wrapText="1"/>
    </xf>
    <xf numFmtId="191" fontId="34" fillId="26" borderId="31" xfId="0" applyNumberFormat="1" applyFont="1" applyFill="1" applyBorder="1" applyAlignment="1">
      <alignment horizontal="center" vertical="center" wrapText="1"/>
    </xf>
    <xf numFmtId="7" fontId="34" fillId="0" borderId="0" xfId="0" applyNumberFormat="1" applyFont="1" applyAlignment="1">
      <alignment horizontal="center" vertical="center" wrapText="1"/>
    </xf>
    <xf numFmtId="7" fontId="34" fillId="0" borderId="34" xfId="0" applyNumberFormat="1" applyFont="1" applyBorder="1" applyAlignment="1">
      <alignment horizontal="center" vertical="center" wrapText="1"/>
    </xf>
    <xf numFmtId="0" fontId="11" fillId="26" borderId="31" xfId="0" applyFont="1" applyFill="1" applyBorder="1" applyAlignment="1">
      <alignment horizontal="left" vertical="center" wrapText="1"/>
    </xf>
    <xf numFmtId="0" fontId="11" fillId="26" borderId="0" xfId="0" applyFont="1" applyFill="1" applyBorder="1" applyAlignment="1">
      <alignment horizontal="left" vertical="center" wrapText="1"/>
    </xf>
    <xf numFmtId="164" fontId="11" fillId="19" borderId="30" xfId="1" applyNumberFormat="1" applyFont="1" applyFill="1" applyBorder="1" applyAlignment="1">
      <alignment horizontal="center" vertical="center"/>
    </xf>
    <xf numFmtId="164" fontId="11" fillId="19" borderId="36" xfId="1" applyNumberFormat="1" applyFont="1" applyFill="1" applyBorder="1" applyAlignment="1">
      <alignment horizontal="center" vertical="center"/>
    </xf>
    <xf numFmtId="164" fontId="11" fillId="19" borderId="33" xfId="1" applyNumberFormat="1" applyFont="1" applyFill="1" applyBorder="1" applyAlignment="1">
      <alignment horizontal="center" vertical="center"/>
    </xf>
    <xf numFmtId="164" fontId="11" fillId="19" borderId="31" xfId="1" applyNumberFormat="1" applyFont="1" applyFill="1" applyBorder="1" applyAlignment="1">
      <alignment horizontal="center" vertical="center"/>
    </xf>
    <xf numFmtId="164" fontId="11" fillId="19" borderId="34" xfId="1" applyNumberFormat="1" applyFont="1" applyFill="1" applyBorder="1" applyAlignment="1">
      <alignment horizontal="center" vertical="center"/>
    </xf>
    <xf numFmtId="191" fontId="11" fillId="0" borderId="31" xfId="3" applyNumberFormat="1" applyFont="1" applyBorder="1" applyAlignment="1">
      <alignment horizontal="center" vertical="center"/>
    </xf>
    <xf numFmtId="7" fontId="11" fillId="0" borderId="0" xfId="3" applyNumberFormat="1" applyFont="1" applyBorder="1" applyAlignment="1">
      <alignment horizontal="center" vertical="center"/>
    </xf>
    <xf numFmtId="7" fontId="11" fillId="0" borderId="34" xfId="3" applyNumberFormat="1" applyFont="1" applyBorder="1" applyAlignment="1">
      <alignment horizontal="center" vertical="center"/>
    </xf>
    <xf numFmtId="0" fontId="12" fillId="19" borderId="30" xfId="0" applyFont="1" applyFill="1" applyBorder="1" applyAlignment="1" applyProtection="1">
      <alignment vertical="center" wrapText="1"/>
    </xf>
    <xf numFmtId="0" fontId="11" fillId="19" borderId="33" xfId="0" applyFont="1" applyFill="1" applyBorder="1" applyAlignment="1">
      <alignment vertical="center" wrapText="1"/>
    </xf>
    <xf numFmtId="0" fontId="12" fillId="19" borderId="36" xfId="0" applyFont="1" applyFill="1" applyBorder="1" applyAlignment="1" applyProtection="1">
      <alignment vertical="center" wrapText="1"/>
    </xf>
    <xf numFmtId="0" fontId="44" fillId="24" borderId="38" xfId="0" applyFont="1" applyFill="1" applyBorder="1" applyAlignment="1">
      <alignment horizontal="center" vertical="center" wrapText="1"/>
    </xf>
    <xf numFmtId="0" fontId="44" fillId="24" borderId="39" xfId="0" applyFont="1" applyFill="1" applyBorder="1" applyAlignment="1">
      <alignment horizontal="center" vertical="center" wrapText="1"/>
    </xf>
    <xf numFmtId="4" fontId="34" fillId="26" borderId="32" xfId="0" applyNumberFormat="1" applyFont="1" applyFill="1" applyBorder="1" applyAlignment="1">
      <alignment horizontal="center" vertical="center" wrapText="1"/>
    </xf>
    <xf numFmtId="4" fontId="34" fillId="26" borderId="35" xfId="0" applyNumberFormat="1" applyFont="1" applyFill="1" applyBorder="1" applyAlignment="1">
      <alignment horizontal="center" vertical="center" wrapText="1"/>
    </xf>
    <xf numFmtId="4" fontId="34" fillId="26" borderId="31" xfId="0" applyNumberFormat="1" applyFont="1" applyFill="1" applyBorder="1" applyAlignment="1">
      <alignment horizontal="center" vertical="center" wrapText="1"/>
    </xf>
    <xf numFmtId="4" fontId="34" fillId="26" borderId="34" xfId="0" applyNumberFormat="1" applyFont="1" applyFill="1" applyBorder="1" applyAlignment="1">
      <alignment horizontal="center" vertical="center" wrapText="1"/>
    </xf>
    <xf numFmtId="10" fontId="11" fillId="19" borderId="0" xfId="0" applyNumberFormat="1" applyFont="1" applyFill="1" applyAlignment="1">
      <alignment horizontal="right" vertical="center"/>
    </xf>
    <xf numFmtId="0" fontId="11" fillId="24" borderId="31" xfId="0" applyFont="1" applyFill="1" applyBorder="1" applyAlignment="1">
      <alignment horizontal="center" vertical="center" wrapText="1"/>
    </xf>
    <xf numFmtId="0" fontId="44" fillId="24" borderId="32" xfId="0" applyFont="1" applyFill="1" applyBorder="1" applyAlignment="1">
      <alignment horizontal="center" vertical="center" wrapText="1"/>
    </xf>
    <xf numFmtId="0" fontId="11" fillId="24" borderId="35" xfId="0" applyFont="1" applyFill="1" applyBorder="1" applyAlignment="1">
      <alignment horizontal="center" vertical="center" wrapText="1"/>
    </xf>
    <xf numFmtId="0" fontId="11" fillId="0" borderId="31" xfId="0" applyFont="1" applyBorder="1" applyAlignment="1">
      <alignment horizontal="center" vertical="center" wrapText="1"/>
    </xf>
    <xf numFmtId="0" fontId="11" fillId="19" borderId="4" xfId="0" applyFont="1" applyFill="1" applyBorder="1" applyAlignment="1">
      <alignment horizontal="center"/>
    </xf>
    <xf numFmtId="0" fontId="11" fillId="19" borderId="5" xfId="0" applyFont="1" applyFill="1" applyBorder="1" applyAlignment="1">
      <alignment horizontal="center"/>
    </xf>
    <xf numFmtId="0" fontId="11" fillId="19" borderId="2" xfId="0" applyFont="1" applyFill="1" applyBorder="1" applyAlignment="1">
      <alignment horizontal="center"/>
    </xf>
    <xf numFmtId="0" fontId="11" fillId="19" borderId="28" xfId="0" applyFont="1" applyFill="1" applyBorder="1" applyAlignment="1">
      <alignment horizontal="center"/>
    </xf>
    <xf numFmtId="0" fontId="11" fillId="19" borderId="13" xfId="0" applyFont="1" applyFill="1" applyBorder="1" applyAlignment="1">
      <alignment horizontal="center"/>
    </xf>
    <xf numFmtId="0" fontId="11" fillId="19" borderId="26" xfId="0" applyFont="1" applyFill="1" applyBorder="1" applyAlignment="1">
      <alignment horizontal="center"/>
    </xf>
    <xf numFmtId="9" fontId="11" fillId="21" borderId="0" xfId="0" applyNumberFormat="1" applyFont="1" applyFill="1" applyBorder="1" applyAlignment="1">
      <alignment horizontal="center"/>
    </xf>
    <xf numFmtId="0" fontId="11" fillId="21" borderId="0" xfId="0" applyFont="1" applyFill="1" applyBorder="1" applyAlignment="1">
      <alignment horizontal="center"/>
    </xf>
    <xf numFmtId="9" fontId="5" fillId="21" borderId="0" xfId="0" applyNumberFormat="1" applyFont="1" applyFill="1" applyBorder="1" applyAlignment="1">
      <alignment horizontal="center"/>
    </xf>
    <xf numFmtId="0" fontId="5" fillId="21" borderId="0" xfId="0" applyFont="1" applyFill="1" applyBorder="1" applyAlignment="1">
      <alignment horizontal="center"/>
    </xf>
    <xf numFmtId="37" fontId="11" fillId="21" borderId="0" xfId="0" applyNumberFormat="1" applyFont="1" applyFill="1" applyBorder="1" applyAlignment="1">
      <alignment horizontal="center"/>
    </xf>
    <xf numFmtId="164" fontId="11" fillId="21" borderId="0" xfId="0" applyNumberFormat="1" applyFont="1" applyFill="1" applyBorder="1" applyAlignment="1">
      <alignment horizontal="center"/>
    </xf>
    <xf numFmtId="165" fontId="11" fillId="21" borderId="0" xfId="0" applyNumberFormat="1" applyFont="1" applyFill="1" applyBorder="1" applyAlignment="1">
      <alignment horizontal="center"/>
    </xf>
  </cellXfs>
  <cellStyles count="254">
    <cellStyle name="Calc_general3" xfId="253"/>
    <cellStyle name="Check Cell 2" xfId="66"/>
    <cellStyle name="Comma" xfId="2" builtinId="3"/>
    <cellStyle name="Currency" xfId="3" builtinId="4"/>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49"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48" builtinId="9" hidden="1"/>
    <cellStyle name="Followed Hyperlink" xfId="46"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65" builtinId="9" hidden="1"/>
    <cellStyle name="Followed Hyperlink" xfId="82"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97"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4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5" builtinId="8" hidden="1"/>
    <cellStyle name="Hyperlink" xfId="64" builtinId="8" hidden="1"/>
    <cellStyle name="Hyperlink" xfId="83" builtinId="8" hidden="1"/>
    <cellStyle name="Hyperlink" xfId="87" builtinId="8" hidden="1"/>
    <cellStyle name="Hyperlink" xfId="89" builtinId="8" hidden="1"/>
    <cellStyle name="Hyperlink" xfId="91" builtinId="8" hidden="1"/>
    <cellStyle name="Hyperlink" xfId="93" builtinId="8" hidden="1"/>
    <cellStyle name="Hyperlink" xfId="98" builtinId="8" hidden="1"/>
    <cellStyle name="Hyperlink" xfId="84" builtinId="8" hidden="1"/>
    <cellStyle name="Hyperlink" xfId="96" builtinId="8" hidden="1"/>
    <cellStyle name="Hyperlink" xfId="100" builtinId="8" hidden="1"/>
    <cellStyle name="Hyperlink" xfId="102" builtinId="8" hidden="1"/>
    <cellStyle name="Hyperlink" xfId="104" builtinId="8" hidden="1"/>
    <cellStyle name="Hyperlink" xfId="106" builtinId="8" hidden="1"/>
    <cellStyle name="Hyperlink" xfId="81" builtinId="8" hidden="1"/>
    <cellStyle name="Hyperlink" xfId="95"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4" builtinId="8"/>
    <cellStyle name="Normal" xfId="0" builtinId="0"/>
    <cellStyle name="Normal 2" xfId="68"/>
    <cellStyle name="Normal 2 2 2" xfId="5"/>
    <cellStyle name="Normal 2 5" xfId="4"/>
    <cellStyle name="Normal 3" xfId="67"/>
    <cellStyle name="Normal 4" xfId="143"/>
    <cellStyle name="Normal 4 2" xfId="145"/>
    <cellStyle name="Percent" xfId="1" builtinId="5"/>
  </cellStyles>
  <dxfs count="3">
    <dxf>
      <font>
        <color theme="0" tint="-4.9989318521683403E-2"/>
      </font>
    </dxf>
    <dxf>
      <font>
        <color theme="0" tint="-0.14996795556505021"/>
      </font>
    </dxf>
    <dxf>
      <font>
        <color theme="6" tint="0.39994506668294322"/>
      </font>
    </dxf>
  </dxfs>
  <tableStyles count="0" defaultTableStyle="TableStyleMedium2" defaultPivotStyle="PivotStyleLight16"/>
  <colors>
    <mruColors>
      <color rgb="FF006BB6"/>
      <color rgb="FF92B4C9"/>
      <color rgb="FF002C4F"/>
      <color rgb="FF4E91AF"/>
      <color rgb="FFCDC49F"/>
      <color rgb="FF60896E"/>
      <color rgb="FF005833"/>
      <color rgb="FFA7BC39"/>
      <color rgb="FF664012"/>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INVESTMENT LEVERAGE RATIO</a:t>
            </a:r>
          </a:p>
        </c:rich>
      </c:tx>
      <c:layout>
        <c:manualLayout>
          <c:xMode val="edge"/>
          <c:yMode val="edge"/>
          <c:x val="0.21049067533340776"/>
          <c:y val="1.8605094060103976E-2"/>
        </c:manualLayout>
      </c:layout>
      <c:overlay val="1"/>
    </c:title>
    <c:autoTitleDeleted val="0"/>
    <c:plotArea>
      <c:layout>
        <c:manualLayout>
          <c:layoutTarget val="inner"/>
          <c:xMode val="edge"/>
          <c:yMode val="edge"/>
          <c:x val="9.1832123629744661E-2"/>
          <c:y val="0.31180129507679588"/>
          <c:w val="0.85815178964923577"/>
          <c:h val="0.45302788319493587"/>
        </c:manualLayout>
      </c:layout>
      <c:barChart>
        <c:barDir val="col"/>
        <c:grouping val="stacked"/>
        <c:varyColors val="0"/>
        <c:ser>
          <c:idx val="3"/>
          <c:order val="0"/>
          <c:spPr>
            <a:solidFill>
              <a:srgbClr val="005833"/>
            </a:solidFill>
          </c:spPr>
          <c:invertIfNegative val="0"/>
          <c:dPt>
            <c:idx val="2"/>
            <c:invertIfNegative val="0"/>
            <c:bubble3D val="0"/>
            <c:extLst>
              <c:ext xmlns:c16="http://schemas.microsoft.com/office/drawing/2014/chart" uri="{C3380CC4-5D6E-409C-BE32-E72D297353CC}">
                <c16:uniqueId val="{00000000-B15C-4361-905A-622DC409C91F}"/>
              </c:ext>
            </c:extLst>
          </c:dPt>
          <c:dLbls>
            <c:dLbl>
              <c:idx val="0"/>
              <c:layout>
                <c:manualLayout>
                  <c:x val="0"/>
                  <c:y val="-0.18079830799853677"/>
                </c:manualLayout>
              </c:layout>
              <c:tx>
                <c:strRef>
                  <c:f>'IX. Charts'!$N$41</c:f>
                  <c:strCache>
                    <c:ptCount val="1"/>
                    <c:pt idx="0">
                      <c:v>206</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{12C6CE86-87EA-4157-A545-53279BD05B53}</c15:txfldGUID>
                      <c15:f>'IX. Charts'!$N$41</c15:f>
                      <c15:dlblFieldTableCache>
                        <c:ptCount val="1"/>
                        <c:pt idx="0">
                          <c:v>206</c:v>
                        </c:pt>
                      </c15:dlblFieldTableCache>
                    </c15:dlblFTEntry>
                  </c15:dlblFieldTable>
                  <c15:showDataLabelsRange val="0"/>
                </c:ext>
                <c:ext xmlns:c16="http://schemas.microsoft.com/office/drawing/2014/chart" uri="{C3380CC4-5D6E-409C-BE32-E72D297353CC}">
                  <c16:uniqueId val="{00000001-D389-437F-8489-826CD7430D23}"/>
                </c:ext>
              </c:extLst>
            </c:dLbl>
            <c:dLbl>
              <c:idx val="1"/>
              <c:layout>
                <c:manualLayout>
                  <c:x val="0"/>
                  <c:y val="-0.15655264147670589"/>
                </c:manualLayout>
              </c:layout>
              <c:tx>
                <c:strRef>
                  <c:f>'IX. Charts'!$O$41</c:f>
                  <c:strCache>
                    <c:ptCount val="1"/>
                    <c:pt idx="0">
                      <c:v>105</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{4DB66641-F294-4735-84A2-ABE1FAB87AE5}</c15:txfldGUID>
                      <c15:f>'IX. Charts'!$O$41</c15:f>
                      <c15:dlblFieldTableCache>
                        <c:ptCount val="1"/>
                        <c:pt idx="0">
                          <c:v>105</c:v>
                        </c:pt>
                      </c15:dlblFieldTableCache>
                    </c15:dlblFTEntry>
                  </c15:dlblFieldTable>
                  <c15:showDataLabelsRange val="0"/>
                </c:ext>
                <c:ext xmlns:c16="http://schemas.microsoft.com/office/drawing/2014/chart" uri="{C3380CC4-5D6E-409C-BE32-E72D297353CC}">
                  <c16:uniqueId val="{00000002-D389-437F-8489-826CD7430D23}"/>
                </c:ext>
              </c:extLst>
            </c:dLbl>
            <c:dLbl>
              <c:idx val="2"/>
              <c:spPr/>
              <c:txPr>
                <a:bodyPr/>
                <a:lstStyle/>
                <a:p>
                  <a:pPr>
                    <a:defRPr>
                      <a:solidFill>
                        <a:schemeClr val="bg1"/>
                      </a:solidFill>
                    </a:defRPr>
                  </a:pPr>
                  <a:endParaRPr lang="en-US"/>
                </a:p>
              </c:txPr>
              <c:showLegendKey val="0"/>
              <c:showVal val="1"/>
              <c:showCatName val="0"/>
              <c:showSerName val="0"/>
              <c:showPercent val="0"/>
              <c:showBubbleSize val="0"/>
              <c:extLst>
                <c:ext xmlns:c16="http://schemas.microsoft.com/office/drawing/2014/chart" uri="{C3380CC4-5D6E-409C-BE32-E72D297353CC}">
                  <c16:uniqueId val="{00000000-B15C-4361-905A-622DC409C91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'IX. Charts'!$N$39:$P$39</c:f>
              <c:strCache>
                <c:ptCount val="3"/>
                <c:pt idx="0">
                  <c:v>Cost of BAU Instruments</c:v>
                </c:pt>
                <c:pt idx="1">
                  <c:v>Cost of
Post-Derisking
Instruments</c:v>
                </c:pt>
                <c:pt idx="2">
                  <c:v>Solar PV Energy
Investments</c:v>
                </c:pt>
              </c:strCache>
            </c:strRef>
          </c:cat>
          <c:val>
            <c:numRef>
              <c:f>'IX. Charts'!$N$45:$P$45</c:f>
              <c:numCache>
                <c:formatCode>#,##0</c:formatCode>
                <c:ptCount val="3"/>
                <c:pt idx="0">
                  <c:v>0</c:v>
                </c:pt>
                <c:pt idx="1">
                  <c:v>0</c:v>
                </c:pt>
                <c:pt idx="2">
                  <c:v>532</c:v>
                </c:pt>
              </c:numCache>
            </c:numRef>
          </c:val>
          <c:extLst>
            <c:ext xmlns:c16="http://schemas.microsoft.com/office/drawing/2014/chart" uri="{C3380CC4-5D6E-409C-BE32-E72D297353CC}">
              <c16:uniqueId val="{00000003-3786-4BF6-9F46-EB9500F99DF0}"/>
            </c:ext>
          </c:extLst>
        </c:ser>
        <c:ser>
          <c:idx val="0"/>
          <c:order val="1"/>
          <c:tx>
            <c:strRef>
              <c:f>'IX. Charts'!$D$44</c:f>
              <c:strCache>
                <c:ptCount val="1"/>
                <c:pt idx="0">
                  <c:v>Price premium (FIT, PPA)</c:v>
                </c:pt>
              </c:strCache>
            </c:strRef>
          </c:tx>
          <c:spPr>
            <a:solidFill>
              <a:srgbClr val="006BB6"/>
            </a:solidFill>
            <a:ln w="19050">
              <a:noFill/>
            </a:ln>
          </c:spPr>
          <c:invertIfNegative val="0"/>
          <c:dPt>
            <c:idx val="1"/>
            <c:invertIfNegative val="0"/>
            <c:bubble3D val="0"/>
            <c:extLst>
              <c:ext xmlns:c16="http://schemas.microsoft.com/office/drawing/2014/chart" uri="{C3380CC4-5D6E-409C-BE32-E72D297353CC}">
                <c16:uniqueId val="{00000005-3786-4BF6-9F46-EB9500F99DF0}"/>
              </c:ext>
            </c:extLst>
          </c:dPt>
          <c:dLbls>
            <c:dLbl>
              <c:idx val="0"/>
              <c:layout>
                <c:manualLayout>
                  <c:x val="0"/>
                  <c:y val="9.203096283098887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786-4BF6-9F46-EB9500F99DF0}"/>
                </c:ext>
              </c:extLst>
            </c:dLbl>
            <c:dLbl>
              <c:idx val="1"/>
              <c:layout>
                <c:manualLayout>
                  <c:x val="0"/>
                  <c:y val="-4.12154583309894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786-4BF6-9F46-EB9500F99DF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786-4BF6-9F46-EB9500F99DF0}"/>
                </c:ext>
              </c:extLst>
            </c:dLbl>
            <c:spPr>
              <a:noFill/>
              <a:ln>
                <a:noFill/>
              </a:ln>
              <a:effectLst/>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'IX. Charts'!$N$39:$P$39</c:f>
              <c:strCache>
                <c:ptCount val="3"/>
                <c:pt idx="0">
                  <c:v>Cost of BAU Instruments</c:v>
                </c:pt>
                <c:pt idx="1">
                  <c:v>Cost of
Post-Derisking
Instruments</c:v>
                </c:pt>
                <c:pt idx="2">
                  <c:v>Solar PV Energy
Investments</c:v>
                </c:pt>
              </c:strCache>
            </c:strRef>
          </c:cat>
          <c:val>
            <c:numRef>
              <c:f>'IX. Charts'!$N$44:$P$44</c:f>
              <c:numCache>
                <c:formatCode>#,##0</c:formatCode>
                <c:ptCount val="3"/>
                <c:pt idx="0">
                  <c:v>201</c:v>
                </c:pt>
                <c:pt idx="1">
                  <c:v>51</c:v>
                </c:pt>
              </c:numCache>
            </c:numRef>
          </c:val>
          <c:extLst>
            <c:ext xmlns:c16="http://schemas.microsoft.com/office/drawing/2014/chart" uri="{C3380CC4-5D6E-409C-BE32-E72D297353CC}">
              <c16:uniqueId val="{00000007-3786-4BF6-9F46-EB9500F99DF0}"/>
            </c:ext>
          </c:extLst>
        </c:ser>
        <c:ser>
          <c:idx val="1"/>
          <c:order val="2"/>
          <c:tx>
            <c:strRef>
              <c:f>'IX. Charts'!$D$43</c:f>
              <c:strCache>
                <c:ptCount val="1"/>
                <c:pt idx="0">
                  <c:v>Financial derisking instruments</c:v>
                </c:pt>
              </c:strCache>
            </c:strRef>
          </c:tx>
          <c:spPr>
            <a:solidFill>
              <a:srgbClr val="4E91AF"/>
            </a:solidFill>
            <a:ln w="19050">
              <a:noFill/>
            </a:ln>
          </c:spPr>
          <c:invertIfNegative val="0"/>
          <c:dLbls>
            <c:dLbl>
              <c:idx val="0"/>
              <c:layout>
                <c:manualLayout>
                  <c:x val="0"/>
                  <c:y val="-1.4094865473572683E-2"/>
                </c:manualLayout>
              </c:layout>
              <c:tx>
                <c:strRef>
                  <c:f>'IX. Charts'!$N$46</c:f>
                  <c:strCache>
                    <c:ptCount val="1"/>
                    <c:pt idx="0">
                      <c:v>5</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{185BFF77-CBE6-4E9B-B065-B881776B43B2}</c15:txfldGUID>
                      <c15:f>'IX. Charts'!$N$46</c15:f>
                      <c15:dlblFieldTableCache>
                        <c:ptCount val="1"/>
                        <c:pt idx="0">
                          <c:v>5</c:v>
                        </c:pt>
                      </c15:dlblFieldTableCache>
                    </c15:dlblFTEntry>
                  </c15:dlblFieldTable>
                  <c15:showDataLabelsRange val="0"/>
                </c:ext>
                <c:ext xmlns:c16="http://schemas.microsoft.com/office/drawing/2014/chart" uri="{C3380CC4-5D6E-409C-BE32-E72D297353CC}">
                  <c16:uniqueId val="{00000002-DB48-41F2-9D33-50F2F9617083}"/>
                </c:ext>
              </c:extLst>
            </c:dLbl>
            <c:dLbl>
              <c:idx val="1"/>
              <c:layout>
                <c:manualLayout>
                  <c:x val="5.143101562898189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389-437F-8489-826CD7430D2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'IX. Charts'!$N$39:$P$39</c:f>
              <c:strCache>
                <c:ptCount val="3"/>
                <c:pt idx="0">
                  <c:v>Cost of BAU Instruments</c:v>
                </c:pt>
                <c:pt idx="1">
                  <c:v>Cost of
Post-Derisking
Instruments</c:v>
                </c:pt>
                <c:pt idx="2">
                  <c:v>Solar PV Energy
Investments</c:v>
                </c:pt>
              </c:strCache>
            </c:strRef>
          </c:cat>
          <c:val>
            <c:numRef>
              <c:f>'IX. Charts'!$N$43:$P$43</c:f>
              <c:numCache>
                <c:formatCode>#,##0</c:formatCode>
                <c:ptCount val="3"/>
                <c:pt idx="0">
                  <c:v>0</c:v>
                </c:pt>
                <c:pt idx="1">
                  <c:v>45</c:v>
                </c:pt>
              </c:numCache>
            </c:numRef>
          </c:val>
          <c:extLst>
            <c:ext xmlns:c16="http://schemas.microsoft.com/office/drawing/2014/chart" uri="{C3380CC4-5D6E-409C-BE32-E72D297353CC}">
              <c16:uniqueId val="{0000000B-3786-4BF6-9F46-EB9500F99DF0}"/>
            </c:ext>
          </c:extLst>
        </c:ser>
        <c:ser>
          <c:idx val="2"/>
          <c:order val="3"/>
          <c:tx>
            <c:strRef>
              <c:f>'IX. Charts'!$D$42</c:f>
              <c:strCache>
                <c:ptCount val="1"/>
                <c:pt idx="0">
                  <c:v>Policy derisking instruments</c:v>
                </c:pt>
              </c:strCache>
            </c:strRef>
          </c:tx>
          <c:spPr>
            <a:solidFill>
              <a:srgbClr val="CDC49F"/>
            </a:solidFill>
            <a:ln w="1905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C-3786-4BF6-9F46-EB9500F99DF0}"/>
                </c:ext>
              </c:extLst>
            </c:dLbl>
            <c:dLbl>
              <c:idx val="1"/>
              <c:layout>
                <c:manualLayout>
                  <c:x val="-2.596991895911821E-2"/>
                  <c:y val="-1.2771588389558778E-2"/>
                </c:manualLayout>
              </c:layout>
              <c:tx>
                <c:strRef>
                  <c:f>'IX. Charts'!$O$46</c:f>
                  <c:strCache>
                    <c:ptCount val="1"/>
                    <c:pt idx="0">
                      <c:v>9</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{A6E99C7A-0231-4933-A495-791F4C134961}</c15:txfldGUID>
                      <c15:f>'IX. Charts'!$O$46</c15:f>
                      <c15:dlblFieldTableCache>
                        <c:ptCount val="1"/>
                        <c:pt idx="0">
                          <c:v>9</c:v>
                        </c:pt>
                      </c15:dlblFieldTableCache>
                    </c15:dlblFTEntry>
                  </c15:dlblFieldTable>
                  <c15:showDataLabelsRange val="0"/>
                </c:ext>
                <c:ext xmlns:c16="http://schemas.microsoft.com/office/drawing/2014/chart" uri="{C3380CC4-5D6E-409C-BE32-E72D297353CC}">
                  <c16:uniqueId val="{0000000D-3786-4BF6-9F46-EB9500F99DF0}"/>
                </c:ext>
              </c:extLst>
            </c:dLbl>
            <c:dLbl>
              <c:idx val="2"/>
              <c:delete val="1"/>
              <c:extLst>
                <c:ext xmlns:c15="http://schemas.microsoft.com/office/drawing/2012/chart" uri="{CE6537A1-D6FC-4f65-9D91-7224C49458BB}"/>
                <c:ext xmlns:c16="http://schemas.microsoft.com/office/drawing/2014/chart" uri="{C3380CC4-5D6E-409C-BE32-E72D297353CC}">
                  <c16:uniqueId val="{0000000E-3786-4BF6-9F46-EB9500F99DF0}"/>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'IX. Charts'!$N$39:$P$39</c:f>
              <c:strCache>
                <c:ptCount val="3"/>
                <c:pt idx="0">
                  <c:v>Cost of BAU Instruments</c:v>
                </c:pt>
                <c:pt idx="1">
                  <c:v>Cost of
Post-Derisking
Instruments</c:v>
                </c:pt>
                <c:pt idx="2">
                  <c:v>Solar PV Energy
Investments</c:v>
                </c:pt>
              </c:strCache>
            </c:strRef>
          </c:cat>
          <c:val>
            <c:numRef>
              <c:f>'IX. Charts'!$N$42:$P$42</c:f>
              <c:numCache>
                <c:formatCode>#,##0</c:formatCode>
                <c:ptCount val="3"/>
                <c:pt idx="0">
                  <c:v>35</c:v>
                </c:pt>
                <c:pt idx="1">
                  <c:v>39</c:v>
                </c:pt>
              </c:numCache>
            </c:numRef>
          </c:val>
          <c:extLst>
            <c:ext xmlns:c16="http://schemas.microsoft.com/office/drawing/2014/chart" uri="{C3380CC4-5D6E-409C-BE32-E72D297353CC}">
              <c16:uniqueId val="{0000000F-3786-4BF6-9F46-EB9500F99DF0}"/>
            </c:ext>
          </c:extLst>
        </c:ser>
        <c:dLbls>
          <c:showLegendKey val="0"/>
          <c:showVal val="0"/>
          <c:showCatName val="0"/>
          <c:showSerName val="0"/>
          <c:showPercent val="0"/>
          <c:showBubbleSize val="0"/>
        </c:dLbls>
        <c:gapWidth val="125"/>
        <c:overlap val="100"/>
        <c:axId val="104379136"/>
        <c:axId val="104380672"/>
      </c:barChart>
      <c:scatterChart>
        <c:scatterStyle val="smoothMarker"/>
        <c:varyColors val="0"/>
        <c:ser>
          <c:idx val="4"/>
          <c:order val="4"/>
          <c:tx>
            <c:strRef>
              <c:f>'IX. Charts'!$O$47:$O$48</c:f>
              <c:strCache>
                <c:ptCount val="1"/>
              </c:strCache>
            </c:strRef>
          </c:tx>
          <c:spPr>
            <a:ln w="9525">
              <a:solidFill>
                <a:srgbClr val="EAEAEA"/>
              </a:solidFill>
            </a:ln>
          </c:spPr>
          <c:marker>
            <c:symbol val="none"/>
          </c:marker>
          <c:yVal>
            <c:numRef>
              <c:f>'IX. Charts'!$O$47:$O$48</c:f>
              <c:numCache>
                <c:formatCode>General</c:formatCode>
                <c:ptCount val="2"/>
              </c:numCache>
            </c:numRef>
          </c:yVal>
          <c:smooth val="1"/>
          <c:extLst>
            <c:ext xmlns:c16="http://schemas.microsoft.com/office/drawing/2014/chart" uri="{C3380CC4-5D6E-409C-BE32-E72D297353CC}">
              <c16:uniqueId val="{00000010-3786-4BF6-9F46-EB9500F99DF0}"/>
            </c:ext>
          </c:extLst>
        </c:ser>
        <c:dLbls>
          <c:showLegendKey val="0"/>
          <c:showVal val="0"/>
          <c:showCatName val="0"/>
          <c:showSerName val="0"/>
          <c:showPercent val="0"/>
          <c:showBubbleSize val="0"/>
        </c:dLbls>
        <c:axId val="104379136"/>
        <c:axId val="104380672"/>
      </c:scatterChart>
      <c:catAx>
        <c:axId val="104379136"/>
        <c:scaling>
          <c:orientation val="minMax"/>
        </c:scaling>
        <c:delete val="0"/>
        <c:axPos val="b"/>
        <c:numFmt formatCode="General" sourceLinked="0"/>
        <c:majorTickMark val="none"/>
        <c:minorTickMark val="none"/>
        <c:tickLblPos val="nextTo"/>
        <c:spPr>
          <a:ln>
            <a:solidFill>
              <a:schemeClr val="tx1"/>
            </a:solidFill>
          </a:ln>
        </c:spPr>
        <c:txPr>
          <a:bodyPr/>
          <a:lstStyle/>
          <a:p>
            <a:pPr>
              <a:defRPr sz="800"/>
            </a:pPr>
            <a:endParaRPr lang="en-US"/>
          </a:p>
        </c:txPr>
        <c:crossAx val="104380672"/>
        <c:crosses val="autoZero"/>
        <c:auto val="1"/>
        <c:lblAlgn val="ctr"/>
        <c:lblOffset val="100"/>
        <c:noMultiLvlLbl val="0"/>
      </c:catAx>
      <c:valAx>
        <c:axId val="104380672"/>
        <c:scaling>
          <c:orientation val="minMax"/>
          <c:max val="1100"/>
          <c:min val="0"/>
        </c:scaling>
        <c:delete val="1"/>
        <c:axPos val="l"/>
        <c:title>
          <c:tx>
            <c:rich>
              <a:bodyPr rot="-5400000" vert="horz"/>
              <a:lstStyle/>
              <a:p>
                <a:pPr>
                  <a:defRPr/>
                </a:pPr>
                <a:r>
                  <a:rPr lang="en-US"/>
                  <a:t>Millions EUR</a:t>
                </a:r>
              </a:p>
            </c:rich>
          </c:tx>
          <c:overlay val="0"/>
        </c:title>
        <c:numFmt formatCode="#,##0" sourceLinked="1"/>
        <c:majorTickMark val="out"/>
        <c:minorTickMark val="none"/>
        <c:tickLblPos val="nextTo"/>
        <c:crossAx val="104379136"/>
        <c:crosses val="autoZero"/>
        <c:crossBetween val="between"/>
      </c:valAx>
      <c:spPr>
        <a:noFill/>
      </c:spPr>
    </c:plotArea>
    <c:legend>
      <c:legendPos val="r"/>
      <c:legendEntry>
        <c:idx val="0"/>
        <c:txPr>
          <a:bodyPr/>
          <a:lstStyle/>
          <a:p>
            <a:pPr>
              <a:defRPr sz="800"/>
            </a:pPr>
            <a:endParaRPr lang="en-US"/>
          </a:p>
        </c:txPr>
      </c:legendEntry>
      <c:layout>
        <c:manualLayout>
          <c:xMode val="edge"/>
          <c:yMode val="edge"/>
          <c:x val="0.22274332508580705"/>
          <c:y val="0.15450834757099144"/>
          <c:w val="0.60771591051118612"/>
          <c:h val="0.1439519134182301"/>
        </c:manualLayout>
      </c:layout>
      <c:overlay val="0"/>
      <c:txPr>
        <a:bodyPr/>
        <a:lstStyle/>
        <a:p>
          <a:pPr>
            <a:defRPr sz="800"/>
          </a:pPr>
          <a:endParaRPr lang="en-US"/>
        </a:p>
      </c:txPr>
    </c:legend>
    <c:plotVisOnly val="1"/>
    <c:dispBlanksAs val="gap"/>
    <c:showDLblsOverMax val="0"/>
  </c:chart>
  <c:spPr>
    <a:solidFill>
      <a:srgbClr val="EAEAEA"/>
    </a:solidFill>
    <a:ln>
      <a:noFill/>
    </a:ln>
  </c:spPr>
  <c:txPr>
    <a:bodyPr/>
    <a:lstStyle/>
    <a:p>
      <a:pPr>
        <a:defRPr sz="900" b="1">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SAVINGS RATIO</a:t>
            </a:r>
          </a:p>
        </c:rich>
      </c:tx>
      <c:layout>
        <c:manualLayout>
          <c:xMode val="edge"/>
          <c:yMode val="edge"/>
          <c:x val="0.34937031385888445"/>
          <c:y val="1.8605094060103976E-2"/>
        </c:manualLayout>
      </c:layout>
      <c:overlay val="1"/>
    </c:title>
    <c:autoTitleDeleted val="0"/>
    <c:plotArea>
      <c:layout>
        <c:manualLayout>
          <c:layoutTarget val="inner"/>
          <c:xMode val="edge"/>
          <c:yMode val="edge"/>
          <c:x val="8.7998617615259497E-2"/>
          <c:y val="0.31180118694869968"/>
          <c:w val="0.88276540839527351"/>
          <c:h val="0.45302788319493587"/>
        </c:manualLayout>
      </c:layout>
      <c:barChart>
        <c:barDir val="col"/>
        <c:grouping val="stacked"/>
        <c:varyColors val="0"/>
        <c:ser>
          <c:idx val="0"/>
          <c:order val="0"/>
          <c:spPr>
            <a:solidFill>
              <a:srgbClr val="002C4F"/>
            </a:solidFill>
            <a:ln>
              <a:noFill/>
            </a:ln>
          </c:spPr>
          <c:invertIfNegative val="0"/>
          <c:dPt>
            <c:idx val="1"/>
            <c:invertIfNegative val="0"/>
            <c:bubble3D val="0"/>
            <c:spPr>
              <a:solidFill>
                <a:srgbClr val="002C4F"/>
              </a:solidFill>
              <a:ln w="19050">
                <a:noFill/>
              </a:ln>
            </c:spPr>
            <c:extLst>
              <c:ext xmlns:c16="http://schemas.microsoft.com/office/drawing/2014/chart" uri="{C3380CC4-5D6E-409C-BE32-E72D297353CC}">
                <c16:uniqueId val="{00000003-CCF8-4AD1-8D2D-F5239A8BAE52}"/>
              </c:ext>
            </c:extLst>
          </c:dPt>
          <c:dPt>
            <c:idx val="2"/>
            <c:invertIfNegative val="0"/>
            <c:bubble3D val="0"/>
            <c:extLst>
              <c:ext xmlns:c16="http://schemas.microsoft.com/office/drawing/2014/chart" uri="{C3380CC4-5D6E-409C-BE32-E72D297353CC}">
                <c16:uniqueId val="{00000000-CCF8-4AD1-8D2D-F5239A8BAE52}"/>
              </c:ext>
            </c:extLst>
          </c:dPt>
          <c:dPt>
            <c:idx val="3"/>
            <c:invertIfNegative val="0"/>
            <c:bubble3D val="0"/>
            <c:spPr>
              <a:solidFill>
                <a:srgbClr val="002C4F"/>
              </a:solidFill>
              <a:ln w="19050">
                <a:noFill/>
              </a:ln>
            </c:spPr>
            <c:extLst>
              <c:ext xmlns:c16="http://schemas.microsoft.com/office/drawing/2014/chart" uri="{C3380CC4-5D6E-409C-BE32-E72D297353CC}">
                <c16:uniqueId val="{00000001-CCF8-4AD1-8D2D-F5239A8BAE52}"/>
              </c:ext>
            </c:extLst>
          </c:dPt>
          <c:dLbls>
            <c:dLbl>
              <c:idx val="0"/>
              <c:delete val="1"/>
              <c:extLst>
                <c:ext xmlns:c15="http://schemas.microsoft.com/office/drawing/2012/chart" uri="{CE6537A1-D6FC-4f65-9D91-7224C49458BB}"/>
                <c:ext xmlns:c16="http://schemas.microsoft.com/office/drawing/2014/chart" uri="{C3380CC4-5D6E-409C-BE32-E72D297353CC}">
                  <c16:uniqueId val="{00000002-CCF8-4AD1-8D2D-F5239A8BAE52}"/>
                </c:ext>
              </c:extLst>
            </c:dLbl>
            <c:dLbl>
              <c:idx val="1"/>
              <c:layout>
                <c:manualLayout>
                  <c:x val="0"/>
                  <c:y val="-3.7814621569416326E-2"/>
                </c:manualLayout>
              </c:layout>
              <c:spPr>
                <a:noFill/>
                <a:ln>
                  <a:noFill/>
                </a:ln>
                <a:effectLst/>
              </c:spPr>
              <c:txPr>
                <a:bodyPr/>
                <a:lstStyle/>
                <a:p>
                  <a:pPr>
                    <a:defRPr>
                      <a:solidFill>
                        <a:schemeClr val="bg1"/>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CF8-4AD1-8D2D-F5239A8BAE52}"/>
                </c:ext>
              </c:extLst>
            </c:dLbl>
            <c:dLbl>
              <c:idx val="2"/>
              <c:delete val="1"/>
              <c:extLst>
                <c:ext xmlns:c15="http://schemas.microsoft.com/office/drawing/2012/chart" uri="{CE6537A1-D6FC-4f65-9D91-7224C49458BB}"/>
                <c:ext xmlns:c16="http://schemas.microsoft.com/office/drawing/2014/chart" uri="{C3380CC4-5D6E-409C-BE32-E72D297353CC}">
                  <c16:uniqueId val="{00000000-CCF8-4AD1-8D2D-F5239A8BAE52}"/>
                </c:ext>
              </c:extLst>
            </c:dLbl>
            <c:dLbl>
              <c:idx val="3"/>
              <c:layout>
                <c:manualLayout>
                  <c:x val="0"/>
                  <c:y val="2.316229828304935E-3"/>
                </c:manualLayout>
              </c:layout>
              <c:spPr/>
              <c:txPr>
                <a:bodyPr/>
                <a:lstStyle/>
                <a:p>
                  <a:pPr>
                    <a:defRPr>
                      <a:solidFill>
                        <a:schemeClr val="bg1"/>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CF8-4AD1-8D2D-F5239A8BAE52}"/>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'IX. Charts'!$N$54:$Q$54</c:f>
              <c:strCache>
                <c:ptCount val="4"/>
                <c:pt idx="0">
                  <c:v>Cost of
Post-Derisking
Instruments</c:v>
                </c:pt>
                <c:pt idx="1">
                  <c:v>Incremental
Cost 
BAU</c:v>
                </c:pt>
                <c:pt idx="2">
                  <c:v>Savings</c:v>
                </c:pt>
                <c:pt idx="3">
                  <c:v>Incremental
Cost
Post-Derisking</c:v>
                </c:pt>
              </c:strCache>
            </c:strRef>
          </c:cat>
          <c:val>
            <c:numRef>
              <c:f>'IX. Charts'!$N$59:$Q$59</c:f>
              <c:numCache>
                <c:formatCode>#,##0</c:formatCode>
                <c:ptCount val="4"/>
                <c:pt idx="1">
                  <c:v>201</c:v>
                </c:pt>
                <c:pt idx="2">
                  <c:v>0</c:v>
                </c:pt>
                <c:pt idx="3">
                  <c:v>51</c:v>
                </c:pt>
              </c:numCache>
            </c:numRef>
          </c:val>
          <c:extLst>
            <c:ext xmlns:c16="http://schemas.microsoft.com/office/drawing/2014/chart" uri="{C3380CC4-5D6E-409C-BE32-E72D297353CC}">
              <c16:uniqueId val="{00000004-CCF8-4AD1-8D2D-F5239A8BAE52}"/>
            </c:ext>
          </c:extLst>
        </c:ser>
        <c:ser>
          <c:idx val="3"/>
          <c:order val="1"/>
          <c:spPr>
            <a:solidFill>
              <a:srgbClr val="EAEAEA"/>
            </a:solidFill>
          </c:spPr>
          <c:invertIfNegative val="0"/>
          <c:cat>
            <c:strRef>
              <c:f>'IX. Charts'!$N$54:$Q$54</c:f>
              <c:strCache>
                <c:ptCount val="4"/>
                <c:pt idx="0">
                  <c:v>Cost of
Post-Derisking
Instruments</c:v>
                </c:pt>
                <c:pt idx="1">
                  <c:v>Incremental
Cost 
BAU</c:v>
                </c:pt>
                <c:pt idx="2">
                  <c:v>Savings</c:v>
                </c:pt>
                <c:pt idx="3">
                  <c:v>Incremental
Cost
Post-Derisking</c:v>
                </c:pt>
              </c:strCache>
            </c:strRef>
          </c:cat>
          <c:val>
            <c:numRef>
              <c:f>'IX. Charts'!$N$61:$Q$61</c:f>
              <c:numCache>
                <c:formatCode>General</c:formatCode>
                <c:ptCount val="4"/>
                <c:pt idx="2" formatCode="#,##0">
                  <c:v>51</c:v>
                </c:pt>
              </c:numCache>
            </c:numRef>
          </c:val>
          <c:extLst>
            <c:ext xmlns:c16="http://schemas.microsoft.com/office/drawing/2014/chart" uri="{C3380CC4-5D6E-409C-BE32-E72D297353CC}">
              <c16:uniqueId val="{00000005-CCF8-4AD1-8D2D-F5239A8BAE52}"/>
            </c:ext>
          </c:extLst>
        </c:ser>
        <c:ser>
          <c:idx val="4"/>
          <c:order val="2"/>
          <c:spPr>
            <a:solidFill>
              <a:srgbClr val="002C4F"/>
            </a:solidFill>
          </c:spPr>
          <c:invertIfNegative val="0"/>
          <c:dPt>
            <c:idx val="2"/>
            <c:invertIfNegative val="0"/>
            <c:bubble3D val="0"/>
            <c:extLst>
              <c:ext xmlns:c16="http://schemas.microsoft.com/office/drawing/2014/chart" uri="{C3380CC4-5D6E-409C-BE32-E72D297353CC}">
                <c16:uniqueId val="{00000008-CCF8-4AD1-8D2D-F5239A8BAE52}"/>
              </c:ext>
            </c:extLst>
          </c:dPt>
          <c:dLbls>
            <c:dLbl>
              <c:idx val="0"/>
              <c:layout>
                <c:manualLayout>
                  <c:x val="-3.1246094240038984E-7"/>
                  <c:y val="-0.13368531479861323"/>
                </c:manualLayout>
              </c:layout>
              <c:tx>
                <c:strRef>
                  <c:f>'IX. Charts'!$N$56</c:f>
                  <c:strCache>
                    <c:ptCount val="1"/>
                    <c:pt idx="0">
                      <c:v>54</c:v>
                    </c:pt>
                  </c:strCache>
                </c:strRef>
              </c:tx>
              <c:spPr>
                <a:noFill/>
                <a:ln>
                  <a:noFill/>
                </a:ln>
                <a:effectLst/>
              </c:spPr>
              <c:txPr>
                <a:bodyPr/>
                <a:lstStyle/>
                <a:p>
                  <a:pPr>
                    <a:defRPr>
                      <a:solidFill>
                        <a:sysClr val="windowText" lastClr="000000"/>
                      </a:solidFill>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{7D28E074-9ACF-4357-B618-979B29215D83}</c15:txfldGUID>
                      <c15:f>'IX. Charts'!$N$56</c15:f>
                      <c15:dlblFieldTableCache>
                        <c:ptCount val="1"/>
                        <c:pt idx="0">
                          <c:v>54</c:v>
                        </c:pt>
                      </c15:dlblFieldTableCache>
                    </c15:dlblFTEntry>
                  </c15:dlblFieldTable>
                  <c15:showDataLabelsRange val="0"/>
                </c:ext>
                <c:ext xmlns:c16="http://schemas.microsoft.com/office/drawing/2014/chart" uri="{C3380CC4-5D6E-409C-BE32-E72D297353CC}">
                  <c16:uniqueId val="{00000006-CCF8-4AD1-8D2D-F5239A8BAE52}"/>
                </c:ext>
              </c:extLst>
            </c:dLbl>
            <c:dLbl>
              <c:idx val="1"/>
              <c:delete val="1"/>
              <c:extLst>
                <c:ext xmlns:c15="http://schemas.microsoft.com/office/drawing/2012/chart" uri="{CE6537A1-D6FC-4f65-9D91-7224C49458BB}"/>
                <c:ext xmlns:c16="http://schemas.microsoft.com/office/drawing/2014/chart" uri="{C3380CC4-5D6E-409C-BE32-E72D297353CC}">
                  <c16:uniqueId val="{00000007-CCF8-4AD1-8D2D-F5239A8BAE52}"/>
                </c:ext>
              </c:extLst>
            </c:dLbl>
            <c:dLbl>
              <c:idx val="2"/>
              <c:layout>
                <c:manualLayout>
                  <c:x val="7.5326954135503902E-17"/>
                  <c:y val="-3.6221334695753606E-4"/>
                </c:manualLayout>
              </c:layout>
              <c:tx>
                <c:strRef>
                  <c:f>'IX. Charts'!$P$60</c:f>
                  <c:strCache>
                    <c:ptCount val="1"/>
                    <c:pt idx="0">
                      <c:v>150</c:v>
                    </c:pt>
                  </c:strCache>
                </c:strRef>
              </c:tx>
              <c:spPr/>
              <c:txPr>
                <a:bodyPr/>
                <a:lstStyle/>
                <a:p>
                  <a:pPr>
                    <a:defRPr>
                      <a:solidFill>
                        <a:schemeClr val="bg1"/>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dlblFieldTable>
                    <c15:dlblFTEntry>
                      <c15:txfldGUID>{15AE5D48-8657-44D2-9CB4-B7D49B2B7988}</c15:txfldGUID>
                      <c15:f>'IX. Charts'!$P$60</c15:f>
                      <c15:dlblFieldTableCache>
                        <c:ptCount val="1"/>
                        <c:pt idx="0">
                          <c:v>150</c:v>
                        </c:pt>
                      </c15:dlblFieldTableCache>
                    </c15:dlblFTEntry>
                  </c15:dlblFieldTable>
                  <c15:showDataLabelsRange val="0"/>
                </c:ext>
                <c:ext xmlns:c16="http://schemas.microsoft.com/office/drawing/2014/chart" uri="{C3380CC4-5D6E-409C-BE32-E72D297353CC}">
                  <c16:uniqueId val="{00000008-CCF8-4AD1-8D2D-F5239A8BAE52}"/>
                </c:ext>
              </c:extLst>
            </c:dLbl>
            <c:dLbl>
              <c:idx val="3"/>
              <c:delete val="1"/>
              <c:extLst>
                <c:ext xmlns:c15="http://schemas.microsoft.com/office/drawing/2012/chart" uri="{CE6537A1-D6FC-4f65-9D91-7224C49458BB}"/>
                <c:ext xmlns:c16="http://schemas.microsoft.com/office/drawing/2014/chart" uri="{C3380CC4-5D6E-409C-BE32-E72D297353CC}">
                  <c16:uniqueId val="{00000009-CCF8-4AD1-8D2D-F5239A8BAE52}"/>
                </c:ext>
              </c:extLst>
            </c:dLbl>
            <c:spPr>
              <a:noFill/>
              <a:ln>
                <a:noFill/>
              </a:ln>
              <a:effectLst/>
            </c:spPr>
            <c:txPr>
              <a:bodyPr/>
              <a:lstStyle/>
              <a:p>
                <a:pPr>
                  <a:defRPr>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'IX. Charts'!$N$54:$Q$54</c:f>
              <c:strCache>
                <c:ptCount val="4"/>
                <c:pt idx="0">
                  <c:v>Cost of
Post-Derisking
Instruments</c:v>
                </c:pt>
                <c:pt idx="1">
                  <c:v>Incremental
Cost 
BAU</c:v>
                </c:pt>
                <c:pt idx="2">
                  <c:v>Savings</c:v>
                </c:pt>
                <c:pt idx="3">
                  <c:v>Incremental
Cost
Post-Derisking</c:v>
                </c:pt>
              </c:strCache>
            </c:strRef>
          </c:cat>
          <c:val>
            <c:numRef>
              <c:f>'IX. Charts'!$N$60:$Q$60</c:f>
              <c:numCache>
                <c:formatCode>#,##0</c:formatCode>
                <c:ptCount val="4"/>
                <c:pt idx="0">
                  <c:v>0</c:v>
                </c:pt>
                <c:pt idx="2">
                  <c:v>150</c:v>
                </c:pt>
              </c:numCache>
            </c:numRef>
          </c:val>
          <c:extLst>
            <c:ext xmlns:c16="http://schemas.microsoft.com/office/drawing/2014/chart" uri="{C3380CC4-5D6E-409C-BE32-E72D297353CC}">
              <c16:uniqueId val="{0000000A-CCF8-4AD1-8D2D-F5239A8BAE52}"/>
            </c:ext>
          </c:extLst>
        </c:ser>
        <c:ser>
          <c:idx val="1"/>
          <c:order val="3"/>
          <c:tx>
            <c:strRef>
              <c:f>'IX. Charts'!$D$58</c:f>
              <c:strCache>
                <c:ptCount val="1"/>
                <c:pt idx="0">
                  <c:v>Financial derisking instruments</c:v>
                </c:pt>
              </c:strCache>
            </c:strRef>
          </c:tx>
          <c:spPr>
            <a:solidFill>
              <a:srgbClr val="4E91AF"/>
            </a:solidFill>
            <a:ln w="19050">
              <a:noFill/>
            </a:ln>
          </c:spPr>
          <c:invertIfNegative val="0"/>
          <c:dLbls>
            <c:dLbl>
              <c:idx val="0"/>
              <c:layout>
                <c:manualLayout>
                  <c:x val="-3.2275066188091984E-7"/>
                  <c:y val="-4.651273515025994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CF8-4AD1-8D2D-F5239A8BAE52}"/>
                </c:ext>
              </c:extLst>
            </c:dLbl>
            <c:dLbl>
              <c:idx val="1"/>
              <c:delete val="1"/>
              <c:extLst>
                <c:ext xmlns:c15="http://schemas.microsoft.com/office/drawing/2012/chart" uri="{CE6537A1-D6FC-4f65-9D91-7224C49458BB}"/>
                <c:ext xmlns:c16="http://schemas.microsoft.com/office/drawing/2014/chart" uri="{C3380CC4-5D6E-409C-BE32-E72D297353CC}">
                  <c16:uniqueId val="{0000000C-CCF8-4AD1-8D2D-F5239A8BAE52}"/>
                </c:ext>
              </c:extLst>
            </c:dLbl>
            <c:dLbl>
              <c:idx val="2"/>
              <c:delete val="1"/>
              <c:extLst>
                <c:ext xmlns:c15="http://schemas.microsoft.com/office/drawing/2012/chart" uri="{CE6537A1-D6FC-4f65-9D91-7224C49458BB}"/>
                <c:ext xmlns:c16="http://schemas.microsoft.com/office/drawing/2014/chart" uri="{C3380CC4-5D6E-409C-BE32-E72D297353CC}">
                  <c16:uniqueId val="{0000000D-CCF8-4AD1-8D2D-F5239A8BAE52}"/>
                </c:ext>
              </c:extLst>
            </c:dLbl>
            <c:dLbl>
              <c:idx val="3"/>
              <c:delete val="1"/>
              <c:extLst>
                <c:ext xmlns:c15="http://schemas.microsoft.com/office/drawing/2012/chart" uri="{CE6537A1-D6FC-4f65-9D91-7224C49458BB}"/>
                <c:ext xmlns:c16="http://schemas.microsoft.com/office/drawing/2014/chart" uri="{C3380CC4-5D6E-409C-BE32-E72D297353CC}">
                  <c16:uniqueId val="{0000000E-CCF8-4AD1-8D2D-F5239A8BAE52}"/>
                </c:ext>
              </c:extLst>
            </c:dLbl>
            <c:spPr>
              <a:noFill/>
              <a:ln>
                <a:noFill/>
              </a:ln>
              <a:effectLst/>
            </c:spPr>
            <c:txPr>
              <a:bodyPr/>
              <a:lstStyle/>
              <a:p>
                <a:pPr>
                  <a:defRPr>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'IX. Charts'!$N$54:$Q$54</c:f>
              <c:strCache>
                <c:ptCount val="4"/>
                <c:pt idx="0">
                  <c:v>Cost of
Post-Derisking
Instruments</c:v>
                </c:pt>
                <c:pt idx="1">
                  <c:v>Incremental
Cost 
BAU</c:v>
                </c:pt>
                <c:pt idx="2">
                  <c:v>Savings</c:v>
                </c:pt>
                <c:pt idx="3">
                  <c:v>Incremental
Cost
Post-Derisking</c:v>
                </c:pt>
              </c:strCache>
            </c:strRef>
          </c:cat>
          <c:val>
            <c:numRef>
              <c:f>'IX. Charts'!$N$58:$Q$58</c:f>
              <c:numCache>
                <c:formatCode>#,##0</c:formatCode>
                <c:ptCount val="4"/>
                <c:pt idx="0">
                  <c:v>45</c:v>
                </c:pt>
              </c:numCache>
            </c:numRef>
          </c:val>
          <c:extLst>
            <c:ext xmlns:c16="http://schemas.microsoft.com/office/drawing/2014/chart" uri="{C3380CC4-5D6E-409C-BE32-E72D297353CC}">
              <c16:uniqueId val="{0000000F-CCF8-4AD1-8D2D-F5239A8BAE52}"/>
            </c:ext>
          </c:extLst>
        </c:ser>
        <c:ser>
          <c:idx val="2"/>
          <c:order val="4"/>
          <c:tx>
            <c:strRef>
              <c:f>'IX. Charts'!$D$57</c:f>
              <c:strCache>
                <c:ptCount val="1"/>
                <c:pt idx="0">
                  <c:v>Policy derisking instruments</c:v>
                </c:pt>
              </c:strCache>
            </c:strRef>
          </c:tx>
          <c:spPr>
            <a:solidFill>
              <a:srgbClr val="CDC49F"/>
            </a:solidFill>
            <a:ln w="19050">
              <a:noFill/>
            </a:ln>
          </c:spPr>
          <c:invertIfNegative val="0"/>
          <c:dLbls>
            <c:dLbl>
              <c:idx val="0"/>
              <c:layout>
                <c:manualLayout>
                  <c:x val="-3.7048657448841942E-3"/>
                  <c:y val="-1.2012124607940818E-2"/>
                </c:manualLayout>
              </c:layout>
              <c:tx>
                <c:strRef>
                  <c:f>'IX. Charts'!$N$62</c:f>
                  <c:strCache>
                    <c:ptCount val="1"/>
                    <c:pt idx="0">
                      <c:v>9</c:v>
                    </c:pt>
                  </c:strCache>
                </c:strRef>
              </c:tx>
              <c:spPr/>
              <c:txPr>
                <a:bodyPr lIns="38100" tIns="19050" rIns="38100" bIns="19050">
                  <a:noAutofit/>
                </a:bodyPr>
                <a:lstStyle/>
                <a:p>
                  <a:pPr>
                    <a:defRPr>
                      <a:solidFill>
                        <a:sysClr val="windowText" lastClr="000000"/>
                      </a:solidFill>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3353330833645795E-2"/>
                      <c:h val="7.3791354784355653E-2"/>
                    </c:manualLayout>
                  </c15:layout>
                  <c15:dlblFieldTable>
                    <c15:dlblFTEntry>
                      <c15:txfldGUID>{78AF1049-B08B-4F5B-938C-5A2C04A55851}</c15:txfldGUID>
                      <c15:f>'IX. Charts'!$N$62</c15:f>
                      <c15:dlblFieldTableCache>
                        <c:ptCount val="1"/>
                        <c:pt idx="0">
                          <c:v>9</c:v>
                        </c:pt>
                      </c15:dlblFieldTableCache>
                    </c15:dlblFTEntry>
                  </c15:dlblFieldTable>
                  <c15:showDataLabelsRange val="0"/>
                </c:ext>
                <c:ext xmlns:c16="http://schemas.microsoft.com/office/drawing/2014/chart" uri="{C3380CC4-5D6E-409C-BE32-E72D297353CC}">
                  <c16:uniqueId val="{00000010-CCF8-4AD1-8D2D-F5239A8BAE52}"/>
                </c:ext>
              </c:extLst>
            </c:dLbl>
            <c:dLbl>
              <c:idx val="1"/>
              <c:delete val="1"/>
              <c:extLst>
                <c:ext xmlns:c15="http://schemas.microsoft.com/office/drawing/2012/chart" uri="{CE6537A1-D6FC-4f65-9D91-7224C49458BB}"/>
                <c:ext xmlns:c16="http://schemas.microsoft.com/office/drawing/2014/chart" uri="{C3380CC4-5D6E-409C-BE32-E72D297353CC}">
                  <c16:uniqueId val="{00000011-CCF8-4AD1-8D2D-F5239A8BAE52}"/>
                </c:ext>
              </c:extLst>
            </c:dLbl>
            <c:dLbl>
              <c:idx val="2"/>
              <c:delete val="1"/>
              <c:extLst>
                <c:ext xmlns:c15="http://schemas.microsoft.com/office/drawing/2012/chart" uri="{CE6537A1-D6FC-4f65-9D91-7224C49458BB}"/>
                <c:ext xmlns:c16="http://schemas.microsoft.com/office/drawing/2014/chart" uri="{C3380CC4-5D6E-409C-BE32-E72D297353CC}">
                  <c16:uniqueId val="{00000012-CCF8-4AD1-8D2D-F5239A8BAE52}"/>
                </c:ext>
              </c:extLst>
            </c:dLbl>
            <c:dLbl>
              <c:idx val="3"/>
              <c:delete val="1"/>
              <c:extLst>
                <c:ext xmlns:c15="http://schemas.microsoft.com/office/drawing/2012/chart" uri="{CE6537A1-D6FC-4f65-9D91-7224C49458BB}"/>
                <c:ext xmlns:c16="http://schemas.microsoft.com/office/drawing/2014/chart" uri="{C3380CC4-5D6E-409C-BE32-E72D297353CC}">
                  <c16:uniqueId val="{00000013-CCF8-4AD1-8D2D-F5239A8BAE52}"/>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'IX. Charts'!$N$54:$Q$54</c:f>
              <c:strCache>
                <c:ptCount val="4"/>
                <c:pt idx="0">
                  <c:v>Cost of
Post-Derisking
Instruments</c:v>
                </c:pt>
                <c:pt idx="1">
                  <c:v>Incremental
Cost 
BAU</c:v>
                </c:pt>
                <c:pt idx="2">
                  <c:v>Savings</c:v>
                </c:pt>
                <c:pt idx="3">
                  <c:v>Incremental
Cost
Post-Derisking</c:v>
                </c:pt>
              </c:strCache>
            </c:strRef>
          </c:cat>
          <c:val>
            <c:numRef>
              <c:f>'IX. Charts'!$N$57:$Q$57</c:f>
              <c:numCache>
                <c:formatCode>#,##0</c:formatCode>
                <c:ptCount val="4"/>
                <c:pt idx="0">
                  <c:v>24</c:v>
                </c:pt>
              </c:numCache>
            </c:numRef>
          </c:val>
          <c:extLst>
            <c:ext xmlns:c16="http://schemas.microsoft.com/office/drawing/2014/chart" uri="{C3380CC4-5D6E-409C-BE32-E72D297353CC}">
              <c16:uniqueId val="{00000014-CCF8-4AD1-8D2D-F5239A8BAE52}"/>
            </c:ext>
          </c:extLst>
        </c:ser>
        <c:dLbls>
          <c:showLegendKey val="0"/>
          <c:showVal val="0"/>
          <c:showCatName val="0"/>
          <c:showSerName val="0"/>
          <c:showPercent val="0"/>
          <c:showBubbleSize val="0"/>
        </c:dLbls>
        <c:gapWidth val="70"/>
        <c:overlap val="100"/>
        <c:axId val="109390848"/>
        <c:axId val="109409024"/>
      </c:barChart>
      <c:scatterChart>
        <c:scatterStyle val="smoothMarker"/>
        <c:varyColors val="0"/>
        <c:ser>
          <c:idx val="5"/>
          <c:order val="5"/>
          <c:spPr>
            <a:ln w="9525">
              <a:solidFill>
                <a:schemeClr val="tx1"/>
              </a:solidFill>
              <a:prstDash val="dash"/>
            </a:ln>
          </c:spPr>
          <c:marker>
            <c:symbol val="none"/>
          </c:marker>
          <c:xVal>
            <c:numRef>
              <c:f>'IX. Charts'!$N$63:$N$64</c:f>
              <c:numCache>
                <c:formatCode>General</c:formatCode>
                <c:ptCount val="2"/>
                <c:pt idx="0">
                  <c:v>2.25</c:v>
                </c:pt>
                <c:pt idx="1">
                  <c:v>2.75</c:v>
                </c:pt>
              </c:numCache>
            </c:numRef>
          </c:xVal>
          <c:yVal>
            <c:numRef>
              <c:f>'IX. Charts'!$O$63:$O$64</c:f>
              <c:numCache>
                <c:formatCode>0.0</c:formatCode>
                <c:ptCount val="2"/>
                <c:pt idx="0">
                  <c:v>201</c:v>
                </c:pt>
                <c:pt idx="1">
                  <c:v>201</c:v>
                </c:pt>
              </c:numCache>
            </c:numRef>
          </c:yVal>
          <c:smooth val="1"/>
          <c:extLst>
            <c:ext xmlns:c16="http://schemas.microsoft.com/office/drawing/2014/chart" uri="{C3380CC4-5D6E-409C-BE32-E72D297353CC}">
              <c16:uniqueId val="{00000015-CCF8-4AD1-8D2D-F5239A8BAE52}"/>
            </c:ext>
          </c:extLst>
        </c:ser>
        <c:ser>
          <c:idx val="6"/>
          <c:order val="6"/>
          <c:spPr>
            <a:ln w="9525">
              <a:solidFill>
                <a:schemeClr val="tx1"/>
              </a:solidFill>
              <a:prstDash val="dash"/>
            </a:ln>
          </c:spPr>
          <c:marker>
            <c:symbol val="none"/>
          </c:marker>
          <c:xVal>
            <c:numRef>
              <c:f>'IX. Charts'!$P$63:$P$64</c:f>
              <c:numCache>
                <c:formatCode>General</c:formatCode>
                <c:ptCount val="2"/>
                <c:pt idx="0">
                  <c:v>3.25</c:v>
                </c:pt>
                <c:pt idx="1">
                  <c:v>3.75</c:v>
                </c:pt>
              </c:numCache>
            </c:numRef>
          </c:xVal>
          <c:yVal>
            <c:numRef>
              <c:f>'IX. Charts'!$Q$63:$Q$64</c:f>
              <c:numCache>
                <c:formatCode>General</c:formatCode>
                <c:ptCount val="2"/>
                <c:pt idx="0">
                  <c:v>54</c:v>
                </c:pt>
                <c:pt idx="1">
                  <c:v>54</c:v>
                </c:pt>
              </c:numCache>
            </c:numRef>
          </c:yVal>
          <c:smooth val="1"/>
          <c:extLst>
            <c:ext xmlns:c16="http://schemas.microsoft.com/office/drawing/2014/chart" uri="{C3380CC4-5D6E-409C-BE32-E72D297353CC}">
              <c16:uniqueId val="{00000016-CCF8-4AD1-8D2D-F5239A8BAE52}"/>
            </c:ext>
          </c:extLst>
        </c:ser>
        <c:dLbls>
          <c:showLegendKey val="0"/>
          <c:showVal val="0"/>
          <c:showCatName val="0"/>
          <c:showSerName val="0"/>
          <c:showPercent val="0"/>
          <c:showBubbleSize val="0"/>
        </c:dLbls>
        <c:axId val="109416832"/>
        <c:axId val="109410944"/>
      </c:scatterChart>
      <c:catAx>
        <c:axId val="109390848"/>
        <c:scaling>
          <c:orientation val="minMax"/>
        </c:scaling>
        <c:delete val="0"/>
        <c:axPos val="b"/>
        <c:numFmt formatCode="General" sourceLinked="0"/>
        <c:majorTickMark val="none"/>
        <c:minorTickMark val="none"/>
        <c:tickLblPos val="nextTo"/>
        <c:spPr>
          <a:ln>
            <a:solidFill>
              <a:schemeClr val="tx1"/>
            </a:solidFill>
          </a:ln>
        </c:spPr>
        <c:txPr>
          <a:bodyPr/>
          <a:lstStyle/>
          <a:p>
            <a:pPr>
              <a:defRPr sz="780"/>
            </a:pPr>
            <a:endParaRPr lang="en-US"/>
          </a:p>
        </c:txPr>
        <c:crossAx val="109409024"/>
        <c:crosses val="autoZero"/>
        <c:auto val="1"/>
        <c:lblAlgn val="ctr"/>
        <c:lblOffset val="100"/>
        <c:noMultiLvlLbl val="0"/>
      </c:catAx>
      <c:valAx>
        <c:axId val="109409024"/>
        <c:scaling>
          <c:orientation val="minMax"/>
          <c:max val="500"/>
          <c:min val="0"/>
        </c:scaling>
        <c:delete val="1"/>
        <c:axPos val="l"/>
        <c:title>
          <c:tx>
            <c:rich>
              <a:bodyPr rot="-5400000" vert="horz"/>
              <a:lstStyle/>
              <a:p>
                <a:pPr>
                  <a:defRPr/>
                </a:pPr>
                <a:r>
                  <a:rPr lang="en-GB"/>
                  <a:t>Millions EUR</a:t>
                </a:r>
              </a:p>
            </c:rich>
          </c:tx>
          <c:layout>
            <c:manualLayout>
              <c:xMode val="edge"/>
              <c:yMode val="edge"/>
              <c:x val="4.6263543113766209E-2"/>
              <c:y val="0.36914430200643261"/>
            </c:manualLayout>
          </c:layout>
          <c:overlay val="0"/>
        </c:title>
        <c:numFmt formatCode="#,##0" sourceLinked="1"/>
        <c:majorTickMark val="out"/>
        <c:minorTickMark val="none"/>
        <c:tickLblPos val="nextTo"/>
        <c:crossAx val="109390848"/>
        <c:crosses val="autoZero"/>
        <c:crossBetween val="between"/>
      </c:valAx>
      <c:valAx>
        <c:axId val="109410944"/>
        <c:scaling>
          <c:orientation val="minMax"/>
        </c:scaling>
        <c:delete val="1"/>
        <c:axPos val="r"/>
        <c:numFmt formatCode="0.0" sourceLinked="1"/>
        <c:majorTickMark val="out"/>
        <c:minorTickMark val="none"/>
        <c:tickLblPos val="nextTo"/>
        <c:crossAx val="109416832"/>
        <c:crosses val="max"/>
        <c:crossBetween val="midCat"/>
      </c:valAx>
      <c:valAx>
        <c:axId val="109416832"/>
        <c:scaling>
          <c:orientation val="minMax"/>
        </c:scaling>
        <c:delete val="1"/>
        <c:axPos val="b"/>
        <c:numFmt formatCode="General" sourceLinked="1"/>
        <c:majorTickMark val="out"/>
        <c:minorTickMark val="none"/>
        <c:tickLblPos val="nextTo"/>
        <c:crossAx val="109410944"/>
        <c:crosses val="autoZero"/>
        <c:crossBetween val="midCat"/>
      </c:valAx>
      <c:spPr>
        <a:noFill/>
      </c:spPr>
    </c:plotArea>
    <c:legend>
      <c:legendPos val="r"/>
      <c:layout>
        <c:manualLayout>
          <c:xMode val="edge"/>
          <c:yMode val="edge"/>
          <c:x val="0.17451099862517186"/>
          <c:y val="0.16381071579015585"/>
          <c:w val="0.67106517935258092"/>
          <c:h val="9.2968876575613243E-2"/>
        </c:manualLayout>
      </c:layout>
      <c:overlay val="0"/>
      <c:spPr>
        <a:noFill/>
      </c:spPr>
      <c:txPr>
        <a:bodyPr/>
        <a:lstStyle/>
        <a:p>
          <a:pPr>
            <a:defRPr sz="800"/>
          </a:pPr>
          <a:endParaRPr lang="en-US"/>
        </a:p>
      </c:txPr>
    </c:legend>
    <c:plotVisOnly val="1"/>
    <c:dispBlanksAs val="gap"/>
    <c:showDLblsOverMax val="0"/>
  </c:chart>
  <c:spPr>
    <a:solidFill>
      <a:srgbClr val="EAEAEA"/>
    </a:solidFill>
    <a:ln>
      <a:noFill/>
    </a:ln>
  </c:spPr>
  <c:txPr>
    <a:bodyPr/>
    <a:lstStyle/>
    <a:p>
      <a:pPr>
        <a:defRPr sz="900" b="1">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AFFORDABILITY</a:t>
            </a:r>
          </a:p>
        </c:rich>
      </c:tx>
      <c:layout>
        <c:manualLayout>
          <c:xMode val="edge"/>
          <c:yMode val="edge"/>
          <c:x val="0.36849716239288605"/>
          <c:y val="1.8604942525135466E-2"/>
        </c:manualLayout>
      </c:layout>
      <c:overlay val="1"/>
    </c:title>
    <c:autoTitleDeleted val="0"/>
    <c:plotArea>
      <c:layout>
        <c:manualLayout>
          <c:layoutTarget val="inner"/>
          <c:xMode val="edge"/>
          <c:yMode val="edge"/>
          <c:x val="0.17005499312585926"/>
          <c:y val="0.3529535659894365"/>
          <c:w val="0.78847658216573335"/>
          <c:h val="0.45302788319493587"/>
        </c:manualLayout>
      </c:layout>
      <c:barChart>
        <c:barDir val="col"/>
        <c:grouping val="stacked"/>
        <c:varyColors val="0"/>
        <c:ser>
          <c:idx val="3"/>
          <c:order val="1"/>
          <c:tx>
            <c:strRef>
              <c:f>'IX. Charts'!$D$78</c:f>
              <c:strCache>
                <c:ptCount val="1"/>
                <c:pt idx="0">
                  <c:v>Marginal baseline LCOE</c:v>
                </c:pt>
              </c:strCache>
            </c:strRef>
          </c:tx>
          <c:spPr>
            <a:solidFill>
              <a:srgbClr val="92B4C9"/>
            </a:solidFill>
          </c:spPr>
          <c:invertIfNegative val="0"/>
          <c:dPt>
            <c:idx val="0"/>
            <c:invertIfNegative val="0"/>
            <c:bubble3D val="0"/>
            <c:extLst>
              <c:ext xmlns:c16="http://schemas.microsoft.com/office/drawing/2014/chart" uri="{C3380CC4-5D6E-409C-BE32-E72D297353CC}">
                <c16:uniqueId val="{00000001-F183-4DAE-BC5C-18AE7CF16D88}"/>
              </c:ext>
            </c:extLst>
          </c:dPt>
          <c:dPt>
            <c:idx val="1"/>
            <c:invertIfNegative val="0"/>
            <c:bubble3D val="0"/>
            <c:extLst>
              <c:ext xmlns:c16="http://schemas.microsoft.com/office/drawing/2014/chart" uri="{C3380CC4-5D6E-409C-BE32-E72D297353CC}">
                <c16:uniqueId val="{00000003-F183-4DAE-BC5C-18AE7CF16D88}"/>
              </c:ext>
            </c:extLst>
          </c:dPt>
          <c:dLbls>
            <c:spPr>
              <a:noFill/>
              <a:ln>
                <a:noFill/>
              </a:ln>
              <a:effectLst/>
            </c:spPr>
            <c:txPr>
              <a:bodyPr/>
              <a:lstStyle/>
              <a:p>
                <a:pPr>
                  <a:defRPr>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'IX. Charts'!$N$74:$O$74</c:f>
              <c:strCache>
                <c:ptCount val="2"/>
                <c:pt idx="0">
                  <c:v>Solar PV Energy LCOE
BAU</c:v>
                </c:pt>
                <c:pt idx="1">
                  <c:v>Solar PV Energy LCOE
Post-Derisking</c:v>
                </c:pt>
              </c:strCache>
            </c:strRef>
          </c:cat>
          <c:val>
            <c:numRef>
              <c:f>'IX. Charts'!$N$78:$O$78</c:f>
              <c:numCache>
                <c:formatCode>0.0</c:formatCode>
                <c:ptCount val="2"/>
                <c:pt idx="0">
                  <c:v>5.1308059369047792</c:v>
                </c:pt>
                <c:pt idx="1">
                  <c:v>5.1308059369047792</c:v>
                </c:pt>
              </c:numCache>
            </c:numRef>
          </c:val>
          <c:extLst>
            <c:ext xmlns:c16="http://schemas.microsoft.com/office/drawing/2014/chart" uri="{C3380CC4-5D6E-409C-BE32-E72D297353CC}">
              <c16:uniqueId val="{00000004-F183-4DAE-BC5C-18AE7CF16D88}"/>
            </c:ext>
          </c:extLst>
        </c:ser>
        <c:ser>
          <c:idx val="0"/>
          <c:order val="2"/>
          <c:tx>
            <c:strRef>
              <c:f>'IX. Charts'!$D$59</c:f>
              <c:strCache>
                <c:ptCount val="1"/>
                <c:pt idx="0">
                  <c:v>Price premium (FIT, PPA)</c:v>
                </c:pt>
              </c:strCache>
            </c:strRef>
          </c:tx>
          <c:spPr>
            <a:solidFill>
              <a:srgbClr val="006BB6"/>
            </a:solidFill>
            <a:ln w="19050">
              <a:noFill/>
              <a:prstDash val="solid"/>
            </a:ln>
          </c:spPr>
          <c:invertIfNegative val="0"/>
          <c:dPt>
            <c:idx val="1"/>
            <c:invertIfNegative val="0"/>
            <c:bubble3D val="0"/>
            <c:extLst>
              <c:ext xmlns:c16="http://schemas.microsoft.com/office/drawing/2014/chart" uri="{C3380CC4-5D6E-409C-BE32-E72D297353CC}">
                <c16:uniqueId val="{00000005-F183-4DAE-BC5C-18AE7CF16D88}"/>
              </c:ext>
            </c:extLst>
          </c:dPt>
          <c:dLbls>
            <c:dLbl>
              <c:idx val="0"/>
              <c:layout>
                <c:manualLayout>
                  <c:x val="0"/>
                  <c:y val="2.236639949312105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183-4DAE-BC5C-18AE7CF16D88}"/>
                </c:ext>
              </c:extLst>
            </c:dLbl>
            <c:dLbl>
              <c:idx val="1"/>
              <c:layout>
                <c:manualLayout>
                  <c:x val="0"/>
                  <c:y val="5.430288352587339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183-4DAE-BC5C-18AE7CF16D88}"/>
                </c:ext>
              </c:extLst>
            </c:dLbl>
            <c:spPr>
              <a:noFill/>
              <a:ln>
                <a:noFill/>
              </a:ln>
              <a:effectLst/>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'IX. Charts'!$N$74:$O$74</c:f>
              <c:strCache>
                <c:ptCount val="2"/>
                <c:pt idx="0">
                  <c:v>Solar PV Energy LCOE
BAU</c:v>
                </c:pt>
                <c:pt idx="1">
                  <c:v>Solar PV Energy LCOE
Post-Derisking</c:v>
                </c:pt>
              </c:strCache>
            </c:strRef>
          </c:cat>
          <c:val>
            <c:numRef>
              <c:f>'IX. Charts'!$N$77:$O$77</c:f>
              <c:numCache>
                <c:formatCode>0.0</c:formatCode>
                <c:ptCount val="2"/>
                <c:pt idx="0">
                  <c:v>1.9396741980726508</c:v>
                </c:pt>
                <c:pt idx="1">
                  <c:v>0.48848620217207817</c:v>
                </c:pt>
              </c:numCache>
            </c:numRef>
          </c:val>
          <c:extLst>
            <c:ext xmlns:c16="http://schemas.microsoft.com/office/drawing/2014/chart" uri="{C3380CC4-5D6E-409C-BE32-E72D297353CC}">
              <c16:uniqueId val="{00000007-F183-4DAE-BC5C-18AE7CF16D88}"/>
            </c:ext>
          </c:extLst>
        </c:ser>
        <c:dLbls>
          <c:showLegendKey val="0"/>
          <c:showVal val="0"/>
          <c:showCatName val="0"/>
          <c:showSerName val="0"/>
          <c:showPercent val="0"/>
          <c:showBubbleSize val="0"/>
        </c:dLbls>
        <c:gapWidth val="150"/>
        <c:overlap val="100"/>
        <c:axId val="109478656"/>
        <c:axId val="109480192"/>
      </c:barChart>
      <c:scatterChart>
        <c:scatterStyle val="smoothMarker"/>
        <c:varyColors val="0"/>
        <c:ser>
          <c:idx val="4"/>
          <c:order val="0"/>
          <c:tx>
            <c:v>Marginal baseline LCOE</c:v>
          </c:tx>
          <c:spPr>
            <a:ln w="9525">
              <a:solidFill>
                <a:schemeClr val="tx1"/>
              </a:solidFill>
              <a:prstDash val="dash"/>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9-F183-4DAE-BC5C-18AE7CF16D88}"/>
                </c:ext>
              </c:extLst>
            </c:dLbl>
            <c:dLbl>
              <c:idx val="1"/>
              <c:layout>
                <c:manualLayout>
                  <c:x val="-1.63691540691848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183-4DAE-BC5C-18AE7CF16D8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'IX. Charts'!$N$79:$N$80</c:f>
              <c:numCache>
                <c:formatCode>General</c:formatCode>
                <c:ptCount val="2"/>
                <c:pt idx="0">
                  <c:v>0.6</c:v>
                </c:pt>
                <c:pt idx="1">
                  <c:v>2.2999999999999998</c:v>
                </c:pt>
              </c:numCache>
            </c:numRef>
          </c:xVal>
          <c:yVal>
            <c:numRef>
              <c:f>'IX. Charts'!$O$79:$O$80</c:f>
              <c:numCache>
                <c:formatCode>0.0</c:formatCode>
                <c:ptCount val="2"/>
                <c:pt idx="0">
                  <c:v>5.1308059369047792</c:v>
                </c:pt>
                <c:pt idx="1">
                  <c:v>5.1308059369047792</c:v>
                </c:pt>
              </c:numCache>
            </c:numRef>
          </c:yVal>
          <c:smooth val="1"/>
          <c:extLst>
            <c:ext xmlns:c16="http://schemas.microsoft.com/office/drawing/2014/chart" uri="{C3380CC4-5D6E-409C-BE32-E72D297353CC}">
              <c16:uniqueId val="{0000000B-F183-4DAE-BC5C-18AE7CF16D88}"/>
            </c:ext>
          </c:extLst>
        </c:ser>
        <c:ser>
          <c:idx val="1"/>
          <c:order val="3"/>
          <c:tx>
            <c:v>Labels total</c:v>
          </c:tx>
          <c:spPr>
            <a:ln>
              <a:noFill/>
            </a:ln>
          </c:spPr>
          <c:marker>
            <c:symbol val="none"/>
          </c:marker>
          <c:dLbls>
            <c:dLbl>
              <c:idx val="0"/>
              <c:layout>
                <c:manualLayout>
                  <c:x val="-5.6078747193228758E-2"/>
                  <c:y val="-4.63979542856964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13E-46EE-8C63-7E6F87BB01C5}"/>
                </c:ext>
              </c:extLst>
            </c:dLbl>
            <c:dLbl>
              <c:idx val="1"/>
              <c:layout>
                <c:manualLayout>
                  <c:x val="-5.4226532047330911E-2"/>
                  <c:y val="-4.13394835462156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13E-46EE-8C63-7E6F87BB01C5}"/>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yVal>
            <c:numRef>
              <c:f>'IX. Charts'!$N$76:$O$76</c:f>
              <c:numCache>
                <c:formatCode>0.0</c:formatCode>
                <c:ptCount val="2"/>
                <c:pt idx="0">
                  <c:v>7.07048013497743</c:v>
                </c:pt>
                <c:pt idx="1">
                  <c:v>5.6192921390768573</c:v>
                </c:pt>
              </c:numCache>
            </c:numRef>
          </c:yVal>
          <c:smooth val="1"/>
          <c:extLst>
            <c:ext xmlns:c16="http://schemas.microsoft.com/office/drawing/2014/chart" uri="{C3380CC4-5D6E-409C-BE32-E72D297353CC}">
              <c16:uniqueId val="{00000005-413E-46EE-8C63-7E6F87BB01C5}"/>
            </c:ext>
          </c:extLst>
        </c:ser>
        <c:dLbls>
          <c:showLegendKey val="0"/>
          <c:showVal val="0"/>
          <c:showCatName val="0"/>
          <c:showSerName val="0"/>
          <c:showPercent val="0"/>
          <c:showBubbleSize val="0"/>
        </c:dLbls>
        <c:axId val="109512576"/>
        <c:axId val="109511040"/>
      </c:scatterChart>
      <c:catAx>
        <c:axId val="109478656"/>
        <c:scaling>
          <c:orientation val="minMax"/>
        </c:scaling>
        <c:delete val="0"/>
        <c:axPos val="b"/>
        <c:numFmt formatCode="General" sourceLinked="0"/>
        <c:majorTickMark val="none"/>
        <c:minorTickMark val="none"/>
        <c:tickLblPos val="nextTo"/>
        <c:spPr>
          <a:ln>
            <a:solidFill>
              <a:schemeClr val="tx1"/>
            </a:solidFill>
          </a:ln>
        </c:spPr>
        <c:txPr>
          <a:bodyPr/>
          <a:lstStyle/>
          <a:p>
            <a:pPr>
              <a:defRPr sz="800"/>
            </a:pPr>
            <a:endParaRPr lang="en-US"/>
          </a:p>
        </c:txPr>
        <c:crossAx val="109480192"/>
        <c:crosses val="autoZero"/>
        <c:auto val="1"/>
        <c:lblAlgn val="ctr"/>
        <c:lblOffset val="100"/>
        <c:noMultiLvlLbl val="0"/>
      </c:catAx>
      <c:valAx>
        <c:axId val="109480192"/>
        <c:scaling>
          <c:orientation val="minMax"/>
          <c:max val="9"/>
          <c:min val="0"/>
        </c:scaling>
        <c:delete val="1"/>
        <c:axPos val="l"/>
        <c:title>
          <c:tx>
            <c:rich>
              <a:bodyPr rot="-5400000" vert="horz"/>
              <a:lstStyle/>
              <a:p>
                <a:pPr>
                  <a:defRPr/>
                </a:pPr>
                <a:r>
                  <a:rPr lang="en-GB"/>
                  <a:t>EUR cents/kWh</a:t>
                </a:r>
              </a:p>
            </c:rich>
          </c:tx>
          <c:layout>
            <c:manualLayout>
              <c:xMode val="edge"/>
              <c:yMode val="edge"/>
              <c:x val="2.9588558233177142E-2"/>
              <c:y val="0.36545056007559229"/>
            </c:manualLayout>
          </c:layout>
          <c:overlay val="0"/>
        </c:title>
        <c:numFmt formatCode="0" sourceLinked="0"/>
        <c:majorTickMark val="out"/>
        <c:minorTickMark val="none"/>
        <c:tickLblPos val="nextTo"/>
        <c:crossAx val="109478656"/>
        <c:crosses val="autoZero"/>
        <c:crossBetween val="between"/>
      </c:valAx>
      <c:valAx>
        <c:axId val="109511040"/>
        <c:scaling>
          <c:orientation val="minMax"/>
          <c:max val="15"/>
          <c:min val="0"/>
        </c:scaling>
        <c:delete val="1"/>
        <c:axPos val="r"/>
        <c:numFmt formatCode="0.0" sourceLinked="1"/>
        <c:majorTickMark val="out"/>
        <c:minorTickMark val="none"/>
        <c:tickLblPos val="nextTo"/>
        <c:crossAx val="109512576"/>
        <c:crosses val="max"/>
        <c:crossBetween val="midCat"/>
      </c:valAx>
      <c:valAx>
        <c:axId val="109512576"/>
        <c:scaling>
          <c:orientation val="minMax"/>
        </c:scaling>
        <c:delete val="1"/>
        <c:axPos val="b"/>
        <c:numFmt formatCode="General" sourceLinked="1"/>
        <c:majorTickMark val="out"/>
        <c:minorTickMark val="none"/>
        <c:tickLblPos val="nextTo"/>
        <c:crossAx val="109511040"/>
        <c:crosses val="autoZero"/>
        <c:crossBetween val="midCat"/>
      </c:valAx>
      <c:spPr>
        <a:noFill/>
      </c:spPr>
    </c:plotArea>
    <c:legend>
      <c:legendPos val="r"/>
      <c:layout>
        <c:manualLayout>
          <c:xMode val="edge"/>
          <c:yMode val="edge"/>
          <c:x val="0.23278308961379823"/>
          <c:y val="0.10186602832053401"/>
          <c:w val="0.65972155906090568"/>
          <c:h val="0.11833676597632771"/>
        </c:manualLayout>
      </c:layout>
      <c:overlay val="0"/>
    </c:legend>
    <c:plotVisOnly val="1"/>
    <c:dispBlanksAs val="gap"/>
    <c:showDLblsOverMax val="0"/>
  </c:chart>
  <c:spPr>
    <a:solidFill>
      <a:srgbClr val="EAEAEA"/>
    </a:solidFill>
    <a:ln>
      <a:noFill/>
    </a:ln>
  </c:spPr>
  <c:txPr>
    <a:bodyPr/>
    <a:lstStyle/>
    <a:p>
      <a:pPr>
        <a:defRPr sz="900" b="1">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CARBON ABATEMENT **</a:t>
            </a:r>
          </a:p>
        </c:rich>
      </c:tx>
      <c:layout>
        <c:manualLayout>
          <c:xMode val="edge"/>
          <c:yMode val="edge"/>
          <c:x val="0.29231877265341838"/>
          <c:y val="1.346116457665014E-2"/>
        </c:manualLayout>
      </c:layout>
      <c:overlay val="1"/>
    </c:title>
    <c:autoTitleDeleted val="0"/>
    <c:plotArea>
      <c:layout>
        <c:manualLayout>
          <c:layoutTarget val="inner"/>
          <c:xMode val="edge"/>
          <c:yMode val="edge"/>
          <c:x val="0.17005490107994931"/>
          <c:y val="0.31438154162958371"/>
          <c:w val="0.78847658216573335"/>
          <c:h val="0.45044786526266739"/>
        </c:manualLayout>
      </c:layout>
      <c:barChart>
        <c:barDir val="col"/>
        <c:grouping val="stacked"/>
        <c:varyColors val="0"/>
        <c:ser>
          <c:idx val="3"/>
          <c:order val="0"/>
          <c:tx>
            <c:strRef>
              <c:f>'IX. Charts'!$D$93</c:f>
              <c:strCache>
                <c:ptCount val="1"/>
                <c:pt idx="0">
                  <c:v>Abatement cost</c:v>
                </c:pt>
              </c:strCache>
            </c:strRef>
          </c:tx>
          <c:spPr>
            <a:solidFill>
              <a:srgbClr val="60896E"/>
            </a:solidFill>
          </c:spPr>
          <c:invertIfNegative val="0"/>
          <c:dPt>
            <c:idx val="0"/>
            <c:invertIfNegative val="0"/>
            <c:bubble3D val="0"/>
            <c:extLst>
              <c:ext xmlns:c16="http://schemas.microsoft.com/office/drawing/2014/chart" uri="{C3380CC4-5D6E-409C-BE32-E72D297353CC}">
                <c16:uniqueId val="{00000001-885C-4E59-814F-C740890919A2}"/>
              </c:ext>
            </c:extLst>
          </c:dPt>
          <c:dPt>
            <c:idx val="1"/>
            <c:invertIfNegative val="0"/>
            <c:bubble3D val="0"/>
            <c:extLst>
              <c:ext xmlns:c16="http://schemas.microsoft.com/office/drawing/2014/chart" uri="{C3380CC4-5D6E-409C-BE32-E72D297353CC}">
                <c16:uniqueId val="{00000003-885C-4E59-814F-C740890919A2}"/>
              </c:ext>
            </c:extLst>
          </c:dPt>
          <c:dLbls>
            <c:dLbl>
              <c:idx val="0"/>
              <c:layout>
                <c:manualLayout>
                  <c:x val="-3.637524116577141E-17"/>
                  <c:y val="4.4595120054437639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85C-4E59-814F-C740890919A2}"/>
                </c:ext>
              </c:extLst>
            </c:dLbl>
            <c:dLbl>
              <c:idx val="1"/>
              <c:layout>
                <c:manualLayout>
                  <c:x val="0"/>
                  <c:y val="3.032154217185173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85C-4E59-814F-C740890919A2}"/>
                </c:ext>
              </c:extLst>
            </c:dLbl>
            <c:spPr>
              <a:noFill/>
              <a:ln>
                <a:noFill/>
              </a:ln>
              <a:effectLst/>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'IX. Charts'!$N$91:$O$91</c:f>
              <c:strCache>
                <c:ptCount val="2"/>
                <c:pt idx="0">
                  <c:v>Solar PV Energy
Abatement Cost
BAU</c:v>
                </c:pt>
                <c:pt idx="1">
                  <c:v>Solar PV Energy
Abatement Cost
Post-Derisking</c:v>
                </c:pt>
              </c:strCache>
            </c:strRef>
          </c:cat>
          <c:val>
            <c:numRef>
              <c:f>'IX. Charts'!$N$93:$O$93</c:f>
              <c:numCache>
                <c:formatCode>0.0</c:formatCode>
                <c:ptCount val="2"/>
                <c:pt idx="0">
                  <c:v>19.367423741582634</c:v>
                </c:pt>
                <c:pt idx="1">
                  <c:v>9.9155182641366384</c:v>
                </c:pt>
              </c:numCache>
            </c:numRef>
          </c:val>
          <c:extLst>
            <c:ext xmlns:c16="http://schemas.microsoft.com/office/drawing/2014/chart" uri="{C3380CC4-5D6E-409C-BE32-E72D297353CC}">
              <c16:uniqueId val="{00000004-885C-4E59-814F-C740890919A2}"/>
            </c:ext>
          </c:extLst>
        </c:ser>
        <c:dLbls>
          <c:showLegendKey val="0"/>
          <c:showVal val="0"/>
          <c:showCatName val="0"/>
          <c:showSerName val="0"/>
          <c:showPercent val="0"/>
          <c:showBubbleSize val="0"/>
        </c:dLbls>
        <c:gapWidth val="150"/>
        <c:overlap val="100"/>
        <c:axId val="109709952"/>
        <c:axId val="109719936"/>
      </c:barChart>
      <c:catAx>
        <c:axId val="109709952"/>
        <c:scaling>
          <c:orientation val="minMax"/>
        </c:scaling>
        <c:delete val="0"/>
        <c:axPos val="b"/>
        <c:numFmt formatCode="General" sourceLinked="0"/>
        <c:majorTickMark val="none"/>
        <c:minorTickMark val="none"/>
        <c:tickLblPos val="nextTo"/>
        <c:spPr>
          <a:ln>
            <a:solidFill>
              <a:schemeClr val="tx1"/>
            </a:solidFill>
          </a:ln>
        </c:spPr>
        <c:txPr>
          <a:bodyPr/>
          <a:lstStyle/>
          <a:p>
            <a:pPr>
              <a:defRPr sz="800"/>
            </a:pPr>
            <a:endParaRPr lang="en-US"/>
          </a:p>
        </c:txPr>
        <c:crossAx val="109719936"/>
        <c:crosses val="autoZero"/>
        <c:auto val="1"/>
        <c:lblAlgn val="ctr"/>
        <c:lblOffset val="100"/>
        <c:noMultiLvlLbl val="0"/>
      </c:catAx>
      <c:valAx>
        <c:axId val="109719936"/>
        <c:scaling>
          <c:orientation val="minMax"/>
          <c:max val="22"/>
          <c:min val="0"/>
        </c:scaling>
        <c:delete val="1"/>
        <c:axPos val="l"/>
        <c:title>
          <c:tx>
            <c:rich>
              <a:bodyPr rot="-5400000" vert="horz"/>
              <a:lstStyle/>
              <a:p>
                <a:pPr>
                  <a:defRPr/>
                </a:pPr>
                <a:r>
                  <a:rPr lang="en-GB"/>
                  <a:t>EUR/tCO2e</a:t>
                </a:r>
              </a:p>
            </c:rich>
          </c:tx>
          <c:layout>
            <c:manualLayout>
              <c:xMode val="edge"/>
              <c:yMode val="edge"/>
              <c:x val="2.9106049243844523E-2"/>
              <c:y val="0.37181556009202554"/>
            </c:manualLayout>
          </c:layout>
          <c:overlay val="0"/>
        </c:title>
        <c:numFmt formatCode="0" sourceLinked="0"/>
        <c:majorTickMark val="out"/>
        <c:minorTickMark val="none"/>
        <c:tickLblPos val="nextTo"/>
        <c:crossAx val="109709952"/>
        <c:crosses val="autoZero"/>
        <c:crossBetween val="between"/>
      </c:valAx>
      <c:spPr>
        <a:noFill/>
      </c:spPr>
    </c:plotArea>
    <c:plotVisOnly val="1"/>
    <c:dispBlanksAs val="gap"/>
    <c:showDLblsOverMax val="0"/>
  </c:chart>
  <c:spPr>
    <a:solidFill>
      <a:srgbClr val="EAEAEA"/>
    </a:solidFill>
    <a:ln>
      <a:noFill/>
    </a:ln>
  </c:spPr>
  <c:txPr>
    <a:bodyPr/>
    <a:lstStyle/>
    <a:p>
      <a:pPr>
        <a:defRPr sz="900" b="1">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LEVELISED COST OF ELECTRICITY (LCOE)</a:t>
            </a:r>
          </a:p>
        </c:rich>
      </c:tx>
      <c:overlay val="1"/>
    </c:title>
    <c:autoTitleDeleted val="0"/>
    <c:plotArea>
      <c:layout>
        <c:manualLayout>
          <c:layoutTarget val="inner"/>
          <c:xMode val="edge"/>
          <c:yMode val="edge"/>
          <c:x val="0.14251559144913437"/>
          <c:y val="0.17470170292486781"/>
          <c:w val="0.79963118809341749"/>
          <c:h val="0.593929117301216"/>
        </c:manualLayout>
      </c:layout>
      <c:barChart>
        <c:barDir val="col"/>
        <c:grouping val="stacked"/>
        <c:varyColors val="0"/>
        <c:ser>
          <c:idx val="0"/>
          <c:order val="0"/>
          <c:spPr>
            <a:solidFill>
              <a:srgbClr val="663300"/>
            </a:solidFill>
            <a:ln>
              <a:noFill/>
            </a:ln>
          </c:spPr>
          <c:invertIfNegative val="0"/>
          <c:dPt>
            <c:idx val="0"/>
            <c:invertIfNegative val="0"/>
            <c:bubble3D val="0"/>
            <c:spPr>
              <a:solidFill>
                <a:srgbClr val="664012"/>
              </a:solidFill>
              <a:ln>
                <a:noFill/>
              </a:ln>
            </c:spPr>
            <c:extLst>
              <c:ext xmlns:c16="http://schemas.microsoft.com/office/drawing/2014/chart" uri="{C3380CC4-5D6E-409C-BE32-E72D297353CC}">
                <c16:uniqueId val="{00000004-A250-4264-945B-D6FDD80799A7}"/>
              </c:ext>
            </c:extLst>
          </c:dPt>
          <c:dPt>
            <c:idx val="1"/>
            <c:invertIfNegative val="0"/>
            <c:bubble3D val="0"/>
            <c:spPr>
              <a:solidFill>
                <a:srgbClr val="A7BC39"/>
              </a:solidFill>
              <a:ln>
                <a:noFill/>
              </a:ln>
            </c:spPr>
            <c:extLst>
              <c:ext xmlns:c16="http://schemas.microsoft.com/office/drawing/2014/chart" uri="{C3380CC4-5D6E-409C-BE32-E72D297353CC}">
                <c16:uniqueId val="{00000001-A250-4264-945B-D6FDD80799A7}"/>
              </c:ext>
            </c:extLst>
          </c:dPt>
          <c:dPt>
            <c:idx val="2"/>
            <c:invertIfNegative val="0"/>
            <c:bubble3D val="0"/>
            <c:spPr>
              <a:solidFill>
                <a:srgbClr val="A7BC39"/>
              </a:solidFill>
              <a:ln>
                <a:noFill/>
              </a:ln>
            </c:spPr>
            <c:extLst>
              <c:ext xmlns:c16="http://schemas.microsoft.com/office/drawing/2014/chart" uri="{C3380CC4-5D6E-409C-BE32-E72D297353CC}">
                <c16:uniqueId val="{00000003-A250-4264-945B-D6FDD80799A7}"/>
              </c:ext>
            </c:extLst>
          </c:dPt>
          <c:dLbls>
            <c:dLbl>
              <c:idx val="0"/>
              <c:tx>
                <c:strRef>
                  <c:f>'IX. Charts'!$N$25</c:f>
                  <c:strCache>
                    <c:ptCount val="1"/>
                    <c:pt idx="0">
                      <c:v>5.1</c:v>
                    </c:pt>
                  </c:strCache>
                </c:strRef>
              </c:tx>
              <c:dLblPos val="inBase"/>
              <c:showLegendKey val="0"/>
              <c:showVal val="0"/>
              <c:showCatName val="0"/>
              <c:showSerName val="1"/>
              <c:showPercent val="0"/>
              <c:showBubbleSize val="0"/>
              <c:extLst>
                <c:ext xmlns:c15="http://schemas.microsoft.com/office/drawing/2012/chart" uri="{CE6537A1-D6FC-4f65-9D91-7224C49458BB}">
                  <c15:dlblFieldTable>
                    <c15:dlblFTEntry>
                      <c15:txfldGUID>{924B017A-0DD8-42D6-A269-26CEB54BDAEA}</c15:txfldGUID>
                      <c15:f>'IX. Charts'!$N$25</c15:f>
                      <c15:dlblFieldTableCache>
                        <c:ptCount val="1"/>
                        <c:pt idx="0">
                          <c:v>5.1</c:v>
                        </c:pt>
                      </c15:dlblFieldTableCache>
                    </c15:dlblFTEntry>
                  </c15:dlblFieldTable>
                  <c15:showDataLabelsRange val="0"/>
                </c:ext>
                <c:ext xmlns:c16="http://schemas.microsoft.com/office/drawing/2014/chart" uri="{C3380CC4-5D6E-409C-BE32-E72D297353CC}">
                  <c16:uniqueId val="{00000004-A250-4264-945B-D6FDD80799A7}"/>
                </c:ext>
              </c:extLst>
            </c:dLbl>
            <c:dLbl>
              <c:idx val="1"/>
              <c:layout>
                <c:manualLayout>
                  <c:x val="7.4005550416281225E-3"/>
                  <c:y val="5.4610485805838591E-2"/>
                </c:manualLayout>
              </c:layout>
              <c:tx>
                <c:strRef>
                  <c:f>'IX. Charts'!$O$28</c:f>
                  <c:strCache>
                    <c:ptCount val="1"/>
                    <c:pt idx="0">
                      <c:v>7.1</c:v>
                    </c:pt>
                  </c:strCache>
                </c:strRef>
              </c:tx>
              <c:dLblPos val="ctr"/>
              <c:showLegendKey val="0"/>
              <c:showVal val="0"/>
              <c:showCatName val="0"/>
              <c:showSerName val="1"/>
              <c:showPercent val="0"/>
              <c:showBubbleSize val="0"/>
              <c:extLst>
                <c:ext xmlns:c15="http://schemas.microsoft.com/office/drawing/2012/chart" uri="{CE6537A1-D6FC-4f65-9D91-7224C49458BB}">
                  <c15:dlblFieldTable>
                    <c15:dlblFTEntry>
                      <c15:txfldGUID>{611DA95F-354B-4129-8C48-677AACCCE876}</c15:txfldGUID>
                      <c15:f>'IX. Charts'!$O$28</c15:f>
                      <c15:dlblFieldTableCache>
                        <c:ptCount val="1"/>
                        <c:pt idx="0">
                          <c:v>7.1</c:v>
                        </c:pt>
                      </c15:dlblFieldTableCache>
                    </c15:dlblFTEntry>
                  </c15:dlblFieldTable>
                  <c15:showDataLabelsRange val="0"/>
                </c:ext>
                <c:ext xmlns:c16="http://schemas.microsoft.com/office/drawing/2014/chart" uri="{C3380CC4-5D6E-409C-BE32-E72D297353CC}">
                  <c16:uniqueId val="{00000001-A250-4264-945B-D6FDD80799A7}"/>
                </c:ext>
              </c:extLst>
            </c:dLbl>
            <c:dLbl>
              <c:idx val="2"/>
              <c:layout>
                <c:manualLayout>
                  <c:x val="3.7002775208140612E-3"/>
                  <c:y val="5.1034571598795549E-2"/>
                </c:manualLayout>
              </c:layout>
              <c:tx>
                <c:strRef>
                  <c:f>'IX. Charts'!$P$28</c:f>
                  <c:strCache>
                    <c:ptCount val="1"/>
                    <c:pt idx="0">
                      <c:v>5.6</c:v>
                    </c:pt>
                  </c:strCache>
                </c:strRef>
              </c:tx>
              <c:dLblPos val="ctr"/>
              <c:showLegendKey val="0"/>
              <c:showVal val="0"/>
              <c:showCatName val="0"/>
              <c:showSerName val="1"/>
              <c:showPercent val="0"/>
              <c:showBubbleSize val="0"/>
              <c:extLst>
                <c:ext xmlns:c15="http://schemas.microsoft.com/office/drawing/2012/chart" uri="{CE6537A1-D6FC-4f65-9D91-7224C49458BB}">
                  <c15:dlblFieldTable>
                    <c15:dlblFTEntry>
                      <c15:txfldGUID>{3988C664-1836-448E-B2B4-B02EF8A02DCD}</c15:txfldGUID>
                      <c15:f>'IX. Charts'!$P$28</c15:f>
                      <c15:dlblFieldTableCache>
                        <c:ptCount val="1"/>
                        <c:pt idx="0">
                          <c:v>5.6</c:v>
                        </c:pt>
                      </c15:dlblFieldTableCache>
                    </c15:dlblFTEntry>
                  </c15:dlblFieldTable>
                  <c15:showDataLabelsRange val="0"/>
                </c:ext>
                <c:ext xmlns:c16="http://schemas.microsoft.com/office/drawing/2014/chart" uri="{C3380CC4-5D6E-409C-BE32-E72D297353CC}">
                  <c16:uniqueId val="{00000003-A250-4264-945B-D6FDD80799A7}"/>
                </c:ext>
              </c:extLst>
            </c:dLbl>
            <c:spPr>
              <a:noFill/>
              <a:ln>
                <a:noFill/>
              </a:ln>
              <a:effectLst/>
            </c:spPr>
            <c:txPr>
              <a:bodyPr/>
              <a:lstStyle/>
              <a:p>
                <a:pPr>
                  <a:defRPr b="1">
                    <a:solidFill>
                      <a:schemeClr val="bg1"/>
                    </a:solidFill>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'IX. Charts'!$N$24:$P$24</c:f>
              <c:strCache>
                <c:ptCount val="3"/>
                <c:pt idx="0">
                  <c:v>Baseline Investment</c:v>
                </c:pt>
                <c:pt idx="1">
                  <c:v>Solar PV Energy Investment
BAU</c:v>
                </c:pt>
                <c:pt idx="2">
                  <c:v>Solar PV Energy Investment
Post-Derisking</c:v>
                </c:pt>
              </c:strCache>
            </c:strRef>
          </c:cat>
          <c:val>
            <c:numRef>
              <c:f>'IX. Charts'!$N$27:$P$27</c:f>
              <c:numCache>
                <c:formatCode>0.0</c:formatCode>
                <c:ptCount val="3"/>
                <c:pt idx="0">
                  <c:v>5.1308059369047792</c:v>
                </c:pt>
                <c:pt idx="1">
                  <c:v>5.1308059369047792</c:v>
                </c:pt>
                <c:pt idx="2">
                  <c:v>5.1308059369047792</c:v>
                </c:pt>
              </c:numCache>
            </c:numRef>
          </c:val>
          <c:extLst>
            <c:ext xmlns:c16="http://schemas.microsoft.com/office/drawing/2014/chart" uri="{C3380CC4-5D6E-409C-BE32-E72D297353CC}">
              <c16:uniqueId val="{00000005-A250-4264-945B-D6FDD80799A7}"/>
            </c:ext>
          </c:extLst>
        </c:ser>
        <c:ser>
          <c:idx val="1"/>
          <c:order val="1"/>
          <c:spPr>
            <a:solidFill>
              <a:srgbClr val="A7BC39"/>
            </a:solidFill>
            <a:ln>
              <a:solidFill>
                <a:schemeClr val="tx1"/>
              </a:solidFill>
              <a:prstDash val="dash"/>
            </a:ln>
          </c:spPr>
          <c:invertIfNegative val="0"/>
          <c:dPt>
            <c:idx val="1"/>
            <c:invertIfNegative val="0"/>
            <c:bubble3D val="0"/>
            <c:extLst>
              <c:ext xmlns:c16="http://schemas.microsoft.com/office/drawing/2014/chart" uri="{C3380CC4-5D6E-409C-BE32-E72D297353CC}">
                <c16:uniqueId val="{00000007-A250-4264-945B-D6FDD80799A7}"/>
              </c:ext>
            </c:extLst>
          </c:dPt>
          <c:dPt>
            <c:idx val="2"/>
            <c:invertIfNegative val="0"/>
            <c:bubble3D val="0"/>
            <c:extLst>
              <c:ext xmlns:c16="http://schemas.microsoft.com/office/drawing/2014/chart" uri="{C3380CC4-5D6E-409C-BE32-E72D297353CC}">
                <c16:uniqueId val="{00000009-A250-4264-945B-D6FDD80799A7}"/>
              </c:ext>
            </c:extLst>
          </c:dPt>
          <c:cat>
            <c:strRef>
              <c:f>'IX. Charts'!$N$24:$P$24</c:f>
              <c:strCache>
                <c:ptCount val="3"/>
                <c:pt idx="0">
                  <c:v>Baseline Investment</c:v>
                </c:pt>
                <c:pt idx="1">
                  <c:v>Solar PV Energy Investment
BAU</c:v>
                </c:pt>
                <c:pt idx="2">
                  <c:v>Solar PV Energy Investment
Post-Derisking</c:v>
                </c:pt>
              </c:strCache>
            </c:strRef>
          </c:cat>
          <c:val>
            <c:numRef>
              <c:f>'IX. Charts'!$N$26:$P$26</c:f>
              <c:numCache>
                <c:formatCode>0.0</c:formatCode>
                <c:ptCount val="3"/>
                <c:pt idx="1">
                  <c:v>1.9396741980726508</c:v>
                </c:pt>
                <c:pt idx="2">
                  <c:v>0.48848620217207817</c:v>
                </c:pt>
              </c:numCache>
            </c:numRef>
          </c:val>
          <c:extLst>
            <c:ext xmlns:c16="http://schemas.microsoft.com/office/drawing/2014/chart" uri="{C3380CC4-5D6E-409C-BE32-E72D297353CC}">
              <c16:uniqueId val="{0000000A-A250-4264-945B-D6FDD80799A7}"/>
            </c:ext>
          </c:extLst>
        </c:ser>
        <c:dLbls>
          <c:showLegendKey val="0"/>
          <c:showVal val="0"/>
          <c:showCatName val="0"/>
          <c:showSerName val="0"/>
          <c:showPercent val="0"/>
          <c:showBubbleSize val="0"/>
        </c:dLbls>
        <c:gapWidth val="150"/>
        <c:overlap val="100"/>
        <c:axId val="109779968"/>
        <c:axId val="109794048"/>
      </c:barChart>
      <c:scatterChart>
        <c:scatterStyle val="smoothMarker"/>
        <c:varyColors val="0"/>
        <c:ser>
          <c:idx val="5"/>
          <c:order val="2"/>
          <c:spPr>
            <a:ln w="9525">
              <a:solidFill>
                <a:schemeClr val="tx1"/>
              </a:solidFill>
              <a:prstDash val="dash"/>
            </a:ln>
          </c:spPr>
          <c:marker>
            <c:symbol val="none"/>
          </c:marker>
          <c:xVal>
            <c:numRef>
              <c:f>'IX. Charts'!$N$29:$N$30</c:f>
              <c:numCache>
                <c:formatCode>General</c:formatCode>
                <c:ptCount val="2"/>
                <c:pt idx="0">
                  <c:v>0.6</c:v>
                </c:pt>
                <c:pt idx="1">
                  <c:v>3.4</c:v>
                </c:pt>
              </c:numCache>
            </c:numRef>
          </c:xVal>
          <c:yVal>
            <c:numRef>
              <c:f>'IX. Charts'!$O$29:$O$30</c:f>
              <c:numCache>
                <c:formatCode>0.0</c:formatCode>
                <c:ptCount val="2"/>
                <c:pt idx="0">
                  <c:v>5.1308059369047792</c:v>
                </c:pt>
                <c:pt idx="1">
                  <c:v>5.1308059369047792</c:v>
                </c:pt>
              </c:numCache>
            </c:numRef>
          </c:yVal>
          <c:smooth val="1"/>
          <c:extLst>
            <c:ext xmlns:c16="http://schemas.microsoft.com/office/drawing/2014/chart" uri="{C3380CC4-5D6E-409C-BE32-E72D297353CC}">
              <c16:uniqueId val="{0000000B-A250-4264-945B-D6FDD80799A7}"/>
            </c:ext>
          </c:extLst>
        </c:ser>
        <c:dLbls>
          <c:showLegendKey val="0"/>
          <c:showVal val="0"/>
          <c:showCatName val="0"/>
          <c:showSerName val="0"/>
          <c:showPercent val="0"/>
          <c:showBubbleSize val="0"/>
        </c:dLbls>
        <c:axId val="109805952"/>
        <c:axId val="109795968"/>
      </c:scatterChart>
      <c:catAx>
        <c:axId val="109779968"/>
        <c:scaling>
          <c:orientation val="minMax"/>
        </c:scaling>
        <c:delete val="0"/>
        <c:axPos val="b"/>
        <c:numFmt formatCode="General" sourceLinked="0"/>
        <c:majorTickMark val="none"/>
        <c:minorTickMark val="none"/>
        <c:tickLblPos val="nextTo"/>
        <c:spPr>
          <a:ln>
            <a:solidFill>
              <a:schemeClr val="tx1"/>
            </a:solidFill>
          </a:ln>
        </c:spPr>
        <c:txPr>
          <a:bodyPr/>
          <a:lstStyle/>
          <a:p>
            <a:pPr>
              <a:defRPr sz="800" b="1"/>
            </a:pPr>
            <a:endParaRPr lang="en-US"/>
          </a:p>
        </c:txPr>
        <c:crossAx val="109794048"/>
        <c:crosses val="autoZero"/>
        <c:auto val="1"/>
        <c:lblAlgn val="ctr"/>
        <c:lblOffset val="100"/>
        <c:noMultiLvlLbl val="0"/>
      </c:catAx>
      <c:valAx>
        <c:axId val="109794048"/>
        <c:scaling>
          <c:orientation val="minMax"/>
          <c:max val="9"/>
          <c:min val="0"/>
        </c:scaling>
        <c:delete val="1"/>
        <c:axPos val="l"/>
        <c:majorGridlines>
          <c:spPr>
            <a:ln>
              <a:noFill/>
            </a:ln>
          </c:spPr>
        </c:majorGridlines>
        <c:title>
          <c:tx>
            <c:rich>
              <a:bodyPr rot="-5400000" vert="horz"/>
              <a:lstStyle/>
              <a:p>
                <a:pPr>
                  <a:defRPr/>
                </a:pPr>
                <a:r>
                  <a:rPr lang="en-US"/>
                  <a:t>LCOE</a:t>
                </a:r>
              </a:p>
              <a:p>
                <a:pPr>
                  <a:defRPr/>
                </a:pPr>
                <a:r>
                  <a:rPr lang="en-US"/>
                  <a:t>(EUR cents/kWh)</a:t>
                </a:r>
              </a:p>
            </c:rich>
          </c:tx>
          <c:layout>
            <c:manualLayout>
              <c:xMode val="edge"/>
              <c:yMode val="edge"/>
              <c:x val="2.4339702831232848E-2"/>
              <c:y val="0.27163047567902648"/>
            </c:manualLayout>
          </c:layout>
          <c:overlay val="0"/>
        </c:title>
        <c:numFmt formatCode="0.0" sourceLinked="1"/>
        <c:majorTickMark val="out"/>
        <c:minorTickMark val="none"/>
        <c:tickLblPos val="nextTo"/>
        <c:crossAx val="109779968"/>
        <c:crosses val="autoZero"/>
        <c:crossBetween val="between"/>
      </c:valAx>
      <c:valAx>
        <c:axId val="109795968"/>
        <c:scaling>
          <c:orientation val="minMax"/>
          <c:max val="16"/>
          <c:min val="0"/>
        </c:scaling>
        <c:delete val="1"/>
        <c:axPos val="r"/>
        <c:numFmt formatCode="0.0" sourceLinked="1"/>
        <c:majorTickMark val="out"/>
        <c:minorTickMark val="none"/>
        <c:tickLblPos val="nextTo"/>
        <c:crossAx val="109805952"/>
        <c:crosses val="max"/>
        <c:crossBetween val="midCat"/>
      </c:valAx>
      <c:valAx>
        <c:axId val="109805952"/>
        <c:scaling>
          <c:orientation val="minMax"/>
        </c:scaling>
        <c:delete val="1"/>
        <c:axPos val="b"/>
        <c:numFmt formatCode="General" sourceLinked="1"/>
        <c:majorTickMark val="out"/>
        <c:minorTickMark val="none"/>
        <c:tickLblPos val="nextTo"/>
        <c:crossAx val="109795968"/>
        <c:crosses val="autoZero"/>
        <c:crossBetween val="midCat"/>
      </c:valAx>
      <c:spPr>
        <a:noFill/>
      </c:spPr>
    </c:plotArea>
    <c:plotVisOnly val="1"/>
    <c:dispBlanksAs val="gap"/>
    <c:showDLblsOverMax val="0"/>
  </c:chart>
  <c:spPr>
    <a:solidFill>
      <a:srgbClr val="EAEAEA"/>
    </a:solidFill>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16</xdr:col>
      <xdr:colOff>104775</xdr:colOff>
      <xdr:row>2</xdr:row>
      <xdr:rowOff>38100</xdr:rowOff>
    </xdr:from>
    <xdr:to>
      <xdr:col>16</xdr:col>
      <xdr:colOff>771525</xdr:colOff>
      <xdr:row>8</xdr:row>
      <xdr:rowOff>17930</xdr:rowOff>
    </xdr:to>
    <xdr:pic>
      <xdr:nvPicPr>
        <xdr:cNvPr id="2" name="Picture 10" descr="undplogo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876304" y="378759"/>
          <a:ext cx="666750" cy="145900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19050</xdr:colOff>
      <xdr:row>34</xdr:row>
      <xdr:rowOff>16510</xdr:rowOff>
    </xdr:from>
    <xdr:to>
      <xdr:col>21</xdr:col>
      <xdr:colOff>445770</xdr:colOff>
      <xdr:row>46</xdr:row>
      <xdr:rowOff>98551</xdr:rowOff>
    </xdr:to>
    <xdr:graphicFrame macro="">
      <xdr:nvGraphicFramePr>
        <xdr:cNvPr id="2" name="Chart 1">
          <a:extLst>
            <a:ext uri="{FF2B5EF4-FFF2-40B4-BE49-F238E27FC236}">
              <a16:creationId xmlns:a16="http://schemas.microsoft.com/office/drawing/2014/main" id="{3F10076D-3434-4421-A3DF-88B95448D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9243</xdr:colOff>
      <xdr:row>53</xdr:row>
      <xdr:rowOff>0</xdr:rowOff>
    </xdr:from>
    <xdr:to>
      <xdr:col>21</xdr:col>
      <xdr:colOff>435963</xdr:colOff>
      <xdr:row>64</xdr:row>
      <xdr:rowOff>71120</xdr:rowOff>
    </xdr:to>
    <xdr:graphicFrame macro="">
      <xdr:nvGraphicFramePr>
        <xdr:cNvPr id="3" name="Chart 2">
          <a:extLst>
            <a:ext uri="{FF2B5EF4-FFF2-40B4-BE49-F238E27FC236}">
              <a16:creationId xmlns:a16="http://schemas.microsoft.com/office/drawing/2014/main" id="{D552CC36-34DA-4812-8551-2AE3F948A5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0</xdr:colOff>
      <xdr:row>70</xdr:row>
      <xdr:rowOff>725</xdr:rowOff>
    </xdr:from>
    <xdr:to>
      <xdr:col>21</xdr:col>
      <xdr:colOff>426720</xdr:colOff>
      <xdr:row>82</xdr:row>
      <xdr:rowOff>82766</xdr:rowOff>
    </xdr:to>
    <xdr:graphicFrame macro="">
      <xdr:nvGraphicFramePr>
        <xdr:cNvPr id="4" name="Chart 3">
          <a:extLst>
            <a:ext uri="{FF2B5EF4-FFF2-40B4-BE49-F238E27FC236}">
              <a16:creationId xmlns:a16="http://schemas.microsoft.com/office/drawing/2014/main" id="{7B669C9F-0B55-46F5-87CC-A6A314AE6A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1037</xdr:colOff>
      <xdr:row>88</xdr:row>
      <xdr:rowOff>6404</xdr:rowOff>
    </xdr:from>
    <xdr:to>
      <xdr:col>21</xdr:col>
      <xdr:colOff>427849</xdr:colOff>
      <xdr:row>98</xdr:row>
      <xdr:rowOff>77239</xdr:rowOff>
    </xdr:to>
    <xdr:graphicFrame macro="">
      <xdr:nvGraphicFramePr>
        <xdr:cNvPr id="5" name="Chart 4">
          <a:extLst>
            <a:ext uri="{FF2B5EF4-FFF2-40B4-BE49-F238E27FC236}">
              <a16:creationId xmlns:a16="http://schemas.microsoft.com/office/drawing/2014/main" id="{BA67DAED-CD81-461D-A6FA-F59E0070B8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2198</xdr:colOff>
      <xdr:row>17</xdr:row>
      <xdr:rowOff>25400</xdr:rowOff>
    </xdr:from>
    <xdr:to>
      <xdr:col>21</xdr:col>
      <xdr:colOff>381000</xdr:colOff>
      <xdr:row>29</xdr:row>
      <xdr:rowOff>117231</xdr:rowOff>
    </xdr:to>
    <xdr:graphicFrame macro="">
      <xdr:nvGraphicFramePr>
        <xdr:cNvPr id="6" name="Chart 5">
          <a:extLst>
            <a:ext uri="{FF2B5EF4-FFF2-40B4-BE49-F238E27FC236}">
              <a16:creationId xmlns:a16="http://schemas.microsoft.com/office/drawing/2014/main" id="{5D2BE1F5-39AE-44D8-8DEC-3AA80A8F4B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0.19048</cdr:x>
      <cdr:y>0.09485</cdr:y>
    </cdr:from>
    <cdr:to>
      <cdr:x>0.91111</cdr:x>
      <cdr:y>0.2963</cdr:y>
    </cdr:to>
    <cdr:sp macro="" textlink="">
      <cdr:nvSpPr>
        <cdr:cNvPr id="2" name="TextBox 1"/>
        <cdr:cNvSpPr txBox="1"/>
      </cdr:nvSpPr>
      <cdr:spPr>
        <a:xfrm xmlns:a="http://schemas.openxmlformats.org/drawingml/2006/main">
          <a:off x="609600" y="234172"/>
          <a:ext cx="2306320" cy="497347"/>
        </a:xfrm>
        <a:prstGeom xmlns:a="http://schemas.openxmlformats.org/drawingml/2006/main" prst="rect">
          <a:avLst/>
        </a:prstGeom>
        <a:ln xmlns:a="http://schemas.openxmlformats.org/drawingml/2006/main" w="6350">
          <a:solidFill>
            <a:schemeClr val="tx1"/>
          </a:solidFill>
        </a:ln>
      </cdr:spPr>
      <cdr:txBody>
        <a:bodyPr xmlns:a="http://schemas.openxmlformats.org/drawingml/2006/main" vertOverflow="clip" wrap="none" rtlCol="0"/>
        <a:lstStyle xmlns:a="http://schemas.openxmlformats.org/drawingml/2006/main"/>
        <a:p xmlns:a="http://schemas.openxmlformats.org/drawingml/2006/main">
          <a:r>
            <a:rPr lang="en-US" sz="800" b="1">
              <a:latin typeface="Arial" panose="020B0604020202020204" pitchFamily="34" charset="0"/>
              <a:cs typeface="Arial" panose="020B0604020202020204" pitchFamily="34" charset="0"/>
            </a:rPr>
            <a:t>Present value</a:t>
          </a:r>
          <a:r>
            <a:rPr lang="en-US" sz="800" b="1" baseline="0">
              <a:latin typeface="Arial" panose="020B0604020202020204" pitchFamily="34" charset="0"/>
              <a:cs typeface="Arial" panose="020B0604020202020204" pitchFamily="34" charset="0"/>
            </a:rPr>
            <a:t> of costs</a:t>
          </a:r>
          <a:endParaRPr lang="en-US" sz="8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0.2293</cdr:x>
      <cdr:y>0.45691</cdr:y>
    </cdr:from>
    <cdr:to>
      <cdr:x>0.80067</cdr:x>
      <cdr:y>0.57301</cdr:y>
    </cdr:to>
    <cdr:grpSp>
      <cdr:nvGrpSpPr>
        <cdr:cNvPr id="4" name="Group 3">
          <a:extLst xmlns:a="http://schemas.openxmlformats.org/drawingml/2006/main">
            <a:ext uri="{FF2B5EF4-FFF2-40B4-BE49-F238E27FC236}">
              <a16:creationId xmlns:a16="http://schemas.microsoft.com/office/drawing/2014/main" id="{50B4874B-799F-4A96-A769-7AB1429D85DE}"/>
            </a:ext>
          </a:extLst>
        </cdr:cNvPr>
        <cdr:cNvGrpSpPr/>
      </cdr:nvGrpSpPr>
      <cdr:grpSpPr>
        <a:xfrm xmlns:a="http://schemas.openxmlformats.org/drawingml/2006/main">
          <a:off x="840435" y="1090686"/>
          <a:ext cx="2094197" cy="277142"/>
          <a:chOff x="0" y="0"/>
          <a:chExt cx="1791063" cy="874769"/>
        </a:xfrm>
      </cdr:grpSpPr>
      <cdr:cxnSp macro="">
        <cdr:nvCxnSpPr>
          <cdr:cNvPr id="5" name="Straight Connector 4">
            <a:extLst xmlns:a="http://schemas.openxmlformats.org/drawingml/2006/main">
              <a:ext uri="{FF2B5EF4-FFF2-40B4-BE49-F238E27FC236}">
                <a16:creationId xmlns:a16="http://schemas.microsoft.com/office/drawing/2014/main" id="{4F9FFD1F-45AB-4C41-8475-9D3850AFCF9D}"/>
              </a:ext>
            </a:extLst>
          </cdr:cNvPr>
          <cdr:cNvCxnSpPr/>
        </cdr:nvCxnSpPr>
        <cdr:spPr bwMode="auto">
          <a:xfrm xmlns:a="http://schemas.openxmlformats.org/drawingml/2006/main">
            <a:off x="0" y="224150"/>
            <a:ext cx="0" cy="512091"/>
          </a:xfrm>
          <a:prstGeom xmlns:a="http://schemas.openxmlformats.org/drawingml/2006/main" prst="line">
            <a:avLst/>
          </a:prstGeom>
          <a:solidFill xmlns:a="http://schemas.openxmlformats.org/drawingml/2006/main">
            <a:schemeClr val="accent1"/>
          </a:solidFill>
          <a:ln xmlns:a="http://schemas.openxmlformats.org/drawingml/2006/main" w="6350" cap="flat" cmpd="sng" algn="ctr">
            <a:solidFill>
              <a:schemeClr val="tx1"/>
            </a:solidFill>
            <a:prstDash val="solid"/>
            <a:round/>
            <a:headEnd type="none" w="med" len="med"/>
            <a:tailEnd type="none" w="med" len="med"/>
          </a:ln>
          <a:effectLst xmlns:a="http://schemas.openxmlformats.org/drawingml/2006/main"/>
        </cdr:spPr>
      </cdr:cxnSp>
      <cdr:cxnSp macro="">
        <cdr:nvCxnSpPr>
          <cdr:cNvPr id="6" name="Straight Connector 5">
            <a:extLst xmlns:a="http://schemas.openxmlformats.org/drawingml/2006/main">
              <a:ext uri="{FF2B5EF4-FFF2-40B4-BE49-F238E27FC236}">
                <a16:creationId xmlns:a16="http://schemas.microsoft.com/office/drawing/2014/main" id="{4F8668AB-B4AB-467C-AB73-8D2691E49D4C}"/>
              </a:ext>
            </a:extLst>
          </cdr:cNvPr>
          <cdr:cNvCxnSpPr/>
        </cdr:nvCxnSpPr>
        <cdr:spPr bwMode="auto">
          <a:xfrm xmlns:a="http://schemas.openxmlformats.org/drawingml/2006/main">
            <a:off x="896485" y="224150"/>
            <a:ext cx="0" cy="650619"/>
          </a:xfrm>
          <a:prstGeom xmlns:a="http://schemas.openxmlformats.org/drawingml/2006/main" prst="line">
            <a:avLst/>
          </a:prstGeom>
          <a:solidFill xmlns:a="http://schemas.openxmlformats.org/drawingml/2006/main">
            <a:schemeClr val="accent1"/>
          </a:solidFill>
          <a:ln xmlns:a="http://schemas.openxmlformats.org/drawingml/2006/main" w="6350" cap="flat" cmpd="sng" algn="ctr">
            <a:solidFill>
              <a:schemeClr val="tx1"/>
            </a:solidFill>
            <a:prstDash val="solid"/>
            <a:round/>
            <a:headEnd type="none" w="med" len="med"/>
            <a:tailEnd type="none" w="med" len="med"/>
          </a:ln>
          <a:effectLst xmlns:a="http://schemas.openxmlformats.org/drawingml/2006/main"/>
        </cdr:spPr>
      </cdr:cxnSp>
      <cdr:cxnSp macro="">
        <cdr:nvCxnSpPr>
          <cdr:cNvPr id="7" name="Straight Connector 6">
            <a:extLst xmlns:a="http://schemas.openxmlformats.org/drawingml/2006/main">
              <a:ext uri="{FF2B5EF4-FFF2-40B4-BE49-F238E27FC236}">
                <a16:creationId xmlns:a16="http://schemas.microsoft.com/office/drawing/2014/main" id="{CE73379E-7364-40E7-B12F-1DA373326E82}"/>
              </a:ext>
            </a:extLst>
          </cdr:cNvPr>
          <cdr:cNvCxnSpPr/>
        </cdr:nvCxnSpPr>
        <cdr:spPr bwMode="auto">
          <a:xfrm xmlns:a="http://schemas.openxmlformats.org/drawingml/2006/main" flipH="1">
            <a:off x="3612" y="210553"/>
            <a:ext cx="1787451" cy="0"/>
          </a:xfrm>
          <a:prstGeom xmlns:a="http://schemas.openxmlformats.org/drawingml/2006/main" prst="line">
            <a:avLst/>
          </a:prstGeom>
          <a:solidFill xmlns:a="http://schemas.openxmlformats.org/drawingml/2006/main">
            <a:schemeClr val="accent1"/>
          </a:solidFill>
          <a:ln xmlns:a="http://schemas.openxmlformats.org/drawingml/2006/main" w="6350" cap="flat" cmpd="sng" algn="ctr">
            <a:solidFill>
              <a:schemeClr val="tx1"/>
            </a:solidFill>
            <a:prstDash val="solid"/>
            <a:round/>
            <a:headEnd type="none" w="med" len="med"/>
            <a:tailEnd type="none" w="med" len="med"/>
          </a:ln>
          <a:effectLst xmlns:a="http://schemas.openxmlformats.org/drawingml/2006/main"/>
        </cdr:spPr>
      </cdr:cxnSp>
      <cdr:cxnSp macro="">
        <cdr:nvCxnSpPr>
          <cdr:cNvPr id="8" name="Straight Arrow Connector 7">
            <a:extLst xmlns:a="http://schemas.openxmlformats.org/drawingml/2006/main">
              <a:ext uri="{FF2B5EF4-FFF2-40B4-BE49-F238E27FC236}">
                <a16:creationId xmlns:a16="http://schemas.microsoft.com/office/drawing/2014/main" id="{E4439FDC-E578-45AD-A3C1-47572654C64F}"/>
              </a:ext>
            </a:extLst>
          </cdr:cNvPr>
          <cdr:cNvCxnSpPr/>
        </cdr:nvCxnSpPr>
        <cdr:spPr bwMode="auto">
          <a:xfrm xmlns:a="http://schemas.openxmlformats.org/drawingml/2006/main">
            <a:off x="1790665" y="224151"/>
            <a:ext cx="0" cy="422878"/>
          </a:xfrm>
          <a:prstGeom xmlns:a="http://schemas.openxmlformats.org/drawingml/2006/main" prst="straightConnector1">
            <a:avLst/>
          </a:prstGeom>
          <a:solidFill xmlns:a="http://schemas.openxmlformats.org/drawingml/2006/main">
            <a:schemeClr val="accent1"/>
          </a:solidFill>
          <a:ln xmlns:a="http://schemas.openxmlformats.org/drawingml/2006/main" w="6350" cap="flat" cmpd="sng" algn="ctr">
            <a:solidFill>
              <a:schemeClr val="tx1"/>
            </a:solidFill>
            <a:prstDash val="solid"/>
            <a:round/>
            <a:headEnd type="none" w="med" len="med"/>
            <a:tailEnd type="triangle"/>
          </a:ln>
          <a:effectLst xmlns:a="http://schemas.openxmlformats.org/drawingml/2006/main"/>
        </cdr:spPr>
      </cdr:cxnSp>
      <cdr:sp macro="" textlink="'IX. Charts'!$O$40">
        <cdr:nvSpPr>
          <cdr:cNvPr id="9" name="Oval 8"/>
          <cdr:cNvSpPr/>
        </cdr:nvSpPr>
        <cdr:spPr bwMode="auto">
          <a:xfrm xmlns:a="http://schemas.openxmlformats.org/drawingml/2006/main">
            <a:off x="1102450" y="97"/>
            <a:ext cx="477918" cy="439093"/>
          </a:xfrm>
          <a:prstGeom xmlns:a="http://schemas.openxmlformats.org/drawingml/2006/main" prst="ellipse">
            <a:avLst/>
          </a:prstGeom>
          <a:solidFill xmlns:a="http://schemas.openxmlformats.org/drawingml/2006/main">
            <a:schemeClr val="bg1">
              <a:lumMod val="85000"/>
            </a:schemeClr>
          </a:solidFill>
          <a:ln xmlns:a="http://schemas.openxmlformats.org/drawingml/2006/main" w="6350" cap="flat" cmpd="sng" algn="ctr">
            <a:solidFill>
              <a:schemeClr val="tx1"/>
            </a:solidFill>
            <a:prstDash val="solid"/>
            <a:round/>
            <a:headEnd type="none" w="med" len="med"/>
            <a:tailEnd type="none" w="med" len="med"/>
          </a:ln>
          <a:effectLst xmlns:a="http://schemas.openxmlformats.org/drawingml/2006/main"/>
        </cdr:spPr>
        <cdr:txBody>
          <a:bodyPr xmlns:a="http://schemas.openxmlformats.org/drawingml/2006/main" vert="horz" wrap="none" lIns="18000" tIns="18000" rIns="18000" bIns="18000" numCol="1" rtlCol="0" anchor="ctr" anchorCtr="0" compatLnSpc="1">
            <a:prstTxWarp prst="textNoShape">
              <a:avLst/>
            </a:prstTxWarp>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base" latinLnBrk="0" hangingPunct="1">
              <a:lnSpc>
                <a:spcPct val="100000"/>
              </a:lnSpc>
              <a:spcBef>
                <a:spcPct val="0"/>
              </a:spcBef>
              <a:spcAft>
                <a:spcPct val="0"/>
              </a:spcAft>
              <a:buClrTx/>
              <a:buSzTx/>
              <a:buFontTx/>
              <a:buNone/>
              <a:tabLst/>
            </a:pPr>
            <a:fld id="{BC56445C-1A76-453E-8FE2-D14C0385B108}" type="TxLink">
              <a:rPr kumimoji="0" lang="en-US" sz="900" b="1" i="0" u="none" strike="noStrike" kern="1200" cap="none" normalizeH="0" baseline="0">
                <a:ln>
                  <a:noFill/>
                </a:ln>
                <a:solidFill>
                  <a:srgbClr val="000000"/>
                </a:solidFill>
                <a:effectLst/>
                <a:latin typeface="Arial"/>
                <a:ea typeface="ＭＳ Ｐゴシック" charset="-128"/>
                <a:cs typeface="Arial"/>
              </a:rPr>
              <a:pPr marL="0" marR="0" indent="0" algn="ctr" defTabSz="914400" rtl="0" eaLnBrk="1" fontAlgn="base" latinLnBrk="0" hangingPunct="1">
                <a:lnSpc>
                  <a:spcPct val="100000"/>
                </a:lnSpc>
                <a:spcBef>
                  <a:spcPct val="0"/>
                </a:spcBef>
                <a:spcAft>
                  <a:spcPct val="0"/>
                </a:spcAft>
                <a:buClrTx/>
                <a:buSzTx/>
                <a:buFontTx/>
                <a:buNone/>
                <a:tabLst/>
              </a:pPr>
              <a:t>5.1x</a:t>
            </a:fld>
            <a:endParaRPr kumimoji="0" lang="en-US" sz="900" b="1" i="0" u="none" strike="noStrike" kern="1200" cap="none" normalizeH="0" baseline="0">
              <a:ln>
                <a:noFill/>
              </a:ln>
              <a:solidFill>
                <a:srgbClr val="000000"/>
              </a:solidFill>
              <a:effectLst/>
              <a:latin typeface="Myriad Pro" pitchFamily="34" charset="0"/>
              <a:ea typeface="ＭＳ Ｐゴシック" charset="-128"/>
              <a:cs typeface="Arial"/>
            </a:endParaRPr>
          </a:p>
        </cdr:txBody>
      </cdr:sp>
      <cdr:sp macro="" textlink="'IX. Charts'!$N$40">
        <cdr:nvSpPr>
          <cdr:cNvPr id="10" name="Oval 9"/>
          <cdr:cNvSpPr/>
        </cdr:nvSpPr>
        <cdr:spPr bwMode="auto">
          <a:xfrm xmlns:a="http://schemas.openxmlformats.org/drawingml/2006/main">
            <a:off x="223346" y="0"/>
            <a:ext cx="480697" cy="439093"/>
          </a:xfrm>
          <a:prstGeom xmlns:a="http://schemas.openxmlformats.org/drawingml/2006/main" prst="ellipse">
            <a:avLst/>
          </a:prstGeom>
          <a:solidFill xmlns:a="http://schemas.openxmlformats.org/drawingml/2006/main">
            <a:schemeClr val="bg1">
              <a:lumMod val="85000"/>
            </a:schemeClr>
          </a:solidFill>
          <a:ln xmlns:a="http://schemas.openxmlformats.org/drawingml/2006/main" w="6350" cap="flat" cmpd="sng" algn="ctr">
            <a:solidFill>
              <a:schemeClr val="tx1"/>
            </a:solidFill>
            <a:prstDash val="solid"/>
            <a:round/>
            <a:headEnd type="none" w="med" len="med"/>
            <a:tailEnd type="none" w="med" len="med"/>
          </a:ln>
          <a:effectLst xmlns:a="http://schemas.openxmlformats.org/drawingml/2006/main"/>
        </cdr:spPr>
        <cdr:txBody>
          <a:bodyPr xmlns:a="http://schemas.openxmlformats.org/drawingml/2006/main" vert="horz" wrap="none" lIns="18000" tIns="18000" rIns="18000" bIns="18000" numCol="1" rtlCol="0" anchor="ctr" anchorCtr="0" compatLnSpc="1">
            <a:prstTxWarp prst="textNoShape">
              <a:avLst/>
            </a:prstTxWarp>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base" latinLnBrk="0" hangingPunct="1">
              <a:lnSpc>
                <a:spcPct val="100000"/>
              </a:lnSpc>
              <a:spcBef>
                <a:spcPct val="0"/>
              </a:spcBef>
              <a:spcAft>
                <a:spcPct val="0"/>
              </a:spcAft>
              <a:buClrTx/>
              <a:buSzTx/>
              <a:buFontTx/>
              <a:buNone/>
              <a:tabLst/>
            </a:pPr>
            <a:fld id="{E87F2A32-00EB-479C-829A-ADFA9DC9CCAD}" type="TxLink">
              <a:rPr kumimoji="0" lang="en-US" sz="900" b="1" i="0" u="none" strike="noStrike" cap="none" normalizeH="0" baseline="0">
                <a:ln>
                  <a:noFill/>
                </a:ln>
                <a:solidFill>
                  <a:srgbClr val="000000"/>
                </a:solidFill>
                <a:effectLst/>
                <a:latin typeface="Arial"/>
                <a:cs typeface="Arial"/>
              </a:rPr>
              <a:pPr marL="0" marR="0" indent="0" algn="ctr" defTabSz="914400" rtl="0" eaLnBrk="1" fontAlgn="base" latinLnBrk="0" hangingPunct="1">
                <a:lnSpc>
                  <a:spcPct val="100000"/>
                </a:lnSpc>
                <a:spcBef>
                  <a:spcPct val="0"/>
                </a:spcBef>
                <a:spcAft>
                  <a:spcPct val="0"/>
                </a:spcAft>
                <a:buClrTx/>
                <a:buSzTx/>
                <a:buFontTx/>
                <a:buNone/>
                <a:tabLst/>
              </a:pPr>
              <a:t>2.6x*</a:t>
            </a:fld>
            <a:endParaRPr kumimoji="0" lang="en-US" sz="900" b="1" i="0" u="none" strike="noStrike" cap="none" normalizeH="0" baseline="0">
              <a:ln>
                <a:noFill/>
              </a:ln>
              <a:solidFill>
                <a:schemeClr val="tx1"/>
              </a:solidFill>
              <a:effectLst/>
              <a:latin typeface="Myriad Pro" pitchFamily="34" charset="0"/>
            </a:endParaRPr>
          </a:p>
        </cdr:txBody>
      </cdr:sp>
    </cdr:grpSp>
  </cdr:relSizeAnchor>
</c:userShapes>
</file>

<file path=xl/drawings/drawing4.xml><?xml version="1.0" encoding="utf-8"?>
<c:userShapes xmlns:c="http://schemas.openxmlformats.org/drawingml/2006/chart">
  <cdr:relSizeAnchor xmlns:cdr="http://schemas.openxmlformats.org/drawingml/2006/chartDrawing">
    <cdr:from>
      <cdr:x>0.1942</cdr:x>
      <cdr:y>0.09465</cdr:y>
    </cdr:from>
    <cdr:to>
      <cdr:x>0.86695</cdr:x>
      <cdr:y>0.29128</cdr:y>
    </cdr:to>
    <cdr:sp macro="" textlink="">
      <cdr:nvSpPr>
        <cdr:cNvPr id="2" name="TextBox 1"/>
        <cdr:cNvSpPr txBox="1"/>
      </cdr:nvSpPr>
      <cdr:spPr>
        <a:xfrm xmlns:a="http://schemas.openxmlformats.org/drawingml/2006/main">
          <a:off x="643345" y="221298"/>
          <a:ext cx="2228683" cy="459740"/>
        </a:xfrm>
        <a:prstGeom xmlns:a="http://schemas.openxmlformats.org/drawingml/2006/main" prst="rect">
          <a:avLst/>
        </a:prstGeom>
        <a:ln xmlns:a="http://schemas.openxmlformats.org/drawingml/2006/main" w="6350">
          <a:solidFill>
            <a:schemeClr val="tx1"/>
          </a:solidFill>
        </a:ln>
      </cdr:spPr>
      <cdr:txBody>
        <a:bodyPr xmlns:a="http://schemas.openxmlformats.org/drawingml/2006/main" vertOverflow="clip" wrap="none" rtlCol="0"/>
        <a:lstStyle xmlns:a="http://schemas.openxmlformats.org/drawingml/2006/main"/>
        <a:p xmlns:a="http://schemas.openxmlformats.org/drawingml/2006/main">
          <a:r>
            <a:rPr lang="en-US" sz="800" b="1">
              <a:latin typeface="Arial" panose="020B0604020202020204" pitchFamily="34" charset="0"/>
              <a:cs typeface="Arial" panose="020B0604020202020204" pitchFamily="34" charset="0"/>
            </a:rPr>
            <a:t>Present value</a:t>
          </a:r>
          <a:r>
            <a:rPr lang="en-US" sz="800" b="1" baseline="0">
              <a:latin typeface="Arial" panose="020B0604020202020204" pitchFamily="34" charset="0"/>
              <a:cs typeface="Arial" panose="020B0604020202020204" pitchFamily="34" charset="0"/>
            </a:rPr>
            <a:t> of costs</a:t>
          </a:r>
          <a:endParaRPr lang="en-US" sz="8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0.19733</cdr:x>
      <cdr:y>0.35829</cdr:y>
    </cdr:from>
    <cdr:to>
      <cdr:x>0.63705</cdr:x>
      <cdr:y>0.581</cdr:y>
    </cdr:to>
    <cdr:grpSp>
      <cdr:nvGrpSpPr>
        <cdr:cNvPr id="3" name="Group 2">
          <a:extLst xmlns:a="http://schemas.openxmlformats.org/drawingml/2006/main">
            <a:ext uri="{FF2B5EF4-FFF2-40B4-BE49-F238E27FC236}">
              <a16:creationId xmlns:a16="http://schemas.microsoft.com/office/drawing/2014/main" id="{DDD21C2B-859C-458D-B542-C7F3ED252DEE}"/>
            </a:ext>
          </a:extLst>
        </cdr:cNvPr>
        <cdr:cNvGrpSpPr/>
      </cdr:nvGrpSpPr>
      <cdr:grpSpPr>
        <a:xfrm xmlns:a="http://schemas.openxmlformats.org/drawingml/2006/main">
          <a:off x="682775" y="834032"/>
          <a:ext cx="1521460" cy="518427"/>
          <a:chOff x="15691" y="0"/>
          <a:chExt cx="1379663" cy="919989"/>
        </a:xfrm>
      </cdr:grpSpPr>
      <cdr:cxnSp macro="">
        <cdr:nvCxnSpPr>
          <cdr:cNvPr id="4" name="Straight Connector 3">
            <a:extLst xmlns:a="http://schemas.openxmlformats.org/drawingml/2006/main">
              <a:ext uri="{FF2B5EF4-FFF2-40B4-BE49-F238E27FC236}">
                <a16:creationId xmlns:a16="http://schemas.microsoft.com/office/drawing/2014/main" id="{33EB8335-9816-4B5F-93F2-1A34C449A28D}"/>
              </a:ext>
            </a:extLst>
          </cdr:cNvPr>
          <cdr:cNvCxnSpPr/>
        </cdr:nvCxnSpPr>
        <cdr:spPr bwMode="auto">
          <a:xfrm xmlns:a="http://schemas.openxmlformats.org/drawingml/2006/main">
            <a:off x="16806" y="125619"/>
            <a:ext cx="696" cy="794370"/>
          </a:xfrm>
          <a:prstGeom xmlns:a="http://schemas.openxmlformats.org/drawingml/2006/main" prst="line">
            <a:avLst/>
          </a:prstGeom>
          <a:solidFill xmlns:a="http://schemas.openxmlformats.org/drawingml/2006/main">
            <a:schemeClr val="accent1"/>
          </a:solidFill>
          <a:ln xmlns:a="http://schemas.openxmlformats.org/drawingml/2006/main" w="6350" cap="flat" cmpd="sng" algn="ctr">
            <a:solidFill>
              <a:schemeClr val="tx1"/>
            </a:solidFill>
            <a:prstDash val="solid"/>
            <a:round/>
            <a:headEnd type="none" w="med" len="med"/>
            <a:tailEnd type="none" w="med" len="med"/>
          </a:ln>
          <a:effectLst xmlns:a="http://schemas.openxmlformats.org/drawingml/2006/main"/>
        </cdr:spPr>
      </cdr:cxnSp>
      <cdr:cxnSp macro="">
        <cdr:nvCxnSpPr>
          <cdr:cNvPr id="5" name="Straight Connector 4">
            <a:extLst xmlns:a="http://schemas.openxmlformats.org/drawingml/2006/main">
              <a:ext uri="{FF2B5EF4-FFF2-40B4-BE49-F238E27FC236}">
                <a16:creationId xmlns:a16="http://schemas.microsoft.com/office/drawing/2014/main" id="{E59F4C6D-E6E4-4D68-9093-5785C6A1E6E3}"/>
              </a:ext>
            </a:extLst>
          </cdr:cNvPr>
          <cdr:cNvCxnSpPr/>
        </cdr:nvCxnSpPr>
        <cdr:spPr bwMode="auto">
          <a:xfrm xmlns:a="http://schemas.openxmlformats.org/drawingml/2006/main" flipH="1">
            <a:off x="15691" y="126910"/>
            <a:ext cx="1379047" cy="0"/>
          </a:xfrm>
          <a:prstGeom xmlns:a="http://schemas.openxmlformats.org/drawingml/2006/main" prst="line">
            <a:avLst/>
          </a:prstGeom>
          <a:solidFill xmlns:a="http://schemas.openxmlformats.org/drawingml/2006/main">
            <a:schemeClr val="accent1"/>
          </a:solidFill>
          <a:ln xmlns:a="http://schemas.openxmlformats.org/drawingml/2006/main" w="6350" cap="flat" cmpd="sng" algn="ctr">
            <a:solidFill>
              <a:schemeClr val="tx1"/>
            </a:solidFill>
            <a:prstDash val="solid"/>
            <a:round/>
            <a:headEnd type="none" w="med" len="med"/>
            <a:tailEnd type="none" w="med" len="med"/>
          </a:ln>
          <a:effectLst xmlns:a="http://schemas.openxmlformats.org/drawingml/2006/main"/>
        </cdr:spPr>
      </cdr:cxnSp>
      <cdr:cxnSp macro="">
        <cdr:nvCxnSpPr>
          <cdr:cNvPr id="6" name="Straight Arrow Connector 5">
            <a:extLst xmlns:a="http://schemas.openxmlformats.org/drawingml/2006/main">
              <a:ext uri="{FF2B5EF4-FFF2-40B4-BE49-F238E27FC236}">
                <a16:creationId xmlns:a16="http://schemas.microsoft.com/office/drawing/2014/main" id="{69662817-198C-4CF2-8C1D-65A586AA74B7}"/>
              </a:ext>
            </a:extLst>
          </cdr:cNvPr>
          <cdr:cNvCxnSpPr/>
        </cdr:nvCxnSpPr>
        <cdr:spPr bwMode="auto">
          <a:xfrm xmlns:a="http://schemas.openxmlformats.org/drawingml/2006/main">
            <a:off x="1395354" y="125619"/>
            <a:ext cx="0" cy="734721"/>
          </a:xfrm>
          <a:prstGeom xmlns:a="http://schemas.openxmlformats.org/drawingml/2006/main" prst="straightConnector1">
            <a:avLst/>
          </a:prstGeom>
          <a:solidFill xmlns:a="http://schemas.openxmlformats.org/drawingml/2006/main">
            <a:schemeClr val="accent1"/>
          </a:solidFill>
          <a:ln xmlns:a="http://schemas.openxmlformats.org/drawingml/2006/main" w="6350" cap="flat" cmpd="sng" algn="ctr">
            <a:solidFill>
              <a:schemeClr val="tx1"/>
            </a:solidFill>
            <a:prstDash val="solid"/>
            <a:round/>
            <a:headEnd type="none" w="med" len="med"/>
            <a:tailEnd type="triangle"/>
          </a:ln>
          <a:effectLst xmlns:a="http://schemas.openxmlformats.org/drawingml/2006/main"/>
        </cdr:spPr>
      </cdr:cxnSp>
      <cdr:sp macro="" textlink="'IX. Charts'!$N$55">
        <cdr:nvSpPr>
          <cdr:cNvPr id="7" name="Oval 6"/>
          <cdr:cNvSpPr/>
        </cdr:nvSpPr>
        <cdr:spPr bwMode="auto">
          <a:xfrm xmlns:a="http://schemas.openxmlformats.org/drawingml/2006/main">
            <a:off x="427794" y="0"/>
            <a:ext cx="480697" cy="260925"/>
          </a:xfrm>
          <a:prstGeom xmlns:a="http://schemas.openxmlformats.org/drawingml/2006/main" prst="ellipse">
            <a:avLst/>
          </a:prstGeom>
          <a:solidFill xmlns:a="http://schemas.openxmlformats.org/drawingml/2006/main">
            <a:schemeClr val="bg1">
              <a:lumMod val="85000"/>
            </a:schemeClr>
          </a:solidFill>
          <a:ln xmlns:a="http://schemas.openxmlformats.org/drawingml/2006/main" w="6350" cap="flat" cmpd="sng" algn="ctr">
            <a:solidFill>
              <a:schemeClr val="tx1"/>
            </a:solidFill>
            <a:prstDash val="solid"/>
            <a:round/>
            <a:headEnd type="none" w="med" len="med"/>
            <a:tailEnd type="none" w="med" len="med"/>
          </a:ln>
          <a:effectLst xmlns:a="http://schemas.openxmlformats.org/drawingml/2006/main"/>
        </cdr:spPr>
        <cdr:txBody>
          <a:bodyPr xmlns:a="http://schemas.openxmlformats.org/drawingml/2006/main" vert="horz" wrap="none" lIns="18000" tIns="18000" rIns="18000" bIns="18000" numCol="1" rtlCol="0" anchor="ctr" anchorCtr="0" compatLnSpc="1">
            <a:prstTxWarp prst="textNoShape">
              <a:avLst/>
            </a:prstTxWarp>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base" latinLnBrk="0" hangingPunct="1">
              <a:lnSpc>
                <a:spcPct val="100000"/>
              </a:lnSpc>
              <a:spcBef>
                <a:spcPct val="0"/>
              </a:spcBef>
              <a:spcAft>
                <a:spcPct val="0"/>
              </a:spcAft>
              <a:buClrTx/>
              <a:buSzTx/>
              <a:buFontTx/>
              <a:buNone/>
              <a:tabLst/>
            </a:pPr>
            <a:fld id="{2CAFA9E7-0372-4CA1-91BF-16236ABBCC9D}" type="TxLink">
              <a:rPr kumimoji="0" lang="en-US" sz="900" b="1" i="0" u="none" strike="noStrike" cap="none" normalizeH="0" baseline="0">
                <a:ln>
                  <a:noFill/>
                </a:ln>
                <a:solidFill>
                  <a:srgbClr val="000000"/>
                </a:solidFill>
                <a:effectLst/>
                <a:latin typeface="Arial"/>
                <a:cs typeface="Arial"/>
              </a:rPr>
              <a:pPr marL="0" marR="0" indent="0" algn="ctr" defTabSz="914400" rtl="0" eaLnBrk="1" fontAlgn="base" latinLnBrk="0" hangingPunct="1">
                <a:lnSpc>
                  <a:spcPct val="100000"/>
                </a:lnSpc>
                <a:spcBef>
                  <a:spcPct val="0"/>
                </a:spcBef>
                <a:spcAft>
                  <a:spcPct val="0"/>
                </a:spcAft>
                <a:buClrTx/>
                <a:buSzTx/>
                <a:buFontTx/>
                <a:buNone/>
                <a:tabLst/>
              </a:pPr>
              <a:t>2.7x</a:t>
            </a:fld>
            <a:endParaRPr kumimoji="0" lang="en-US" sz="900" b="1" i="0" u="none" strike="noStrike" cap="none" normalizeH="0" baseline="0">
              <a:ln>
                <a:noFill/>
              </a:ln>
              <a:solidFill>
                <a:schemeClr val="tx1"/>
              </a:solidFill>
              <a:effectLst/>
              <a:latin typeface="Myriad Pro" pitchFamily="34" charset="0"/>
            </a:endParaRPr>
          </a:p>
        </cdr:txBody>
      </cdr:sp>
    </cdr:grpSp>
  </cdr:relSizeAnchor>
</c:userShapes>
</file>

<file path=xl/drawings/drawing5.xml><?xml version="1.0" encoding="utf-8"?>
<c:userShapes xmlns:c="http://schemas.openxmlformats.org/drawingml/2006/chart">
  <cdr:relSizeAnchor xmlns:cdr="http://schemas.openxmlformats.org/drawingml/2006/chartDrawing">
    <cdr:from>
      <cdr:x>0.36864</cdr:x>
      <cdr:y>0.25696</cdr:y>
    </cdr:from>
    <cdr:to>
      <cdr:x>0.75885</cdr:x>
      <cdr:y>0.42383</cdr:y>
    </cdr:to>
    <cdr:grpSp>
      <cdr:nvGrpSpPr>
        <cdr:cNvPr id="20" name="Group 19">
          <a:extLst xmlns:a="http://schemas.openxmlformats.org/drawingml/2006/main">
            <a:ext uri="{FF2B5EF4-FFF2-40B4-BE49-F238E27FC236}">
              <a16:creationId xmlns:a16="http://schemas.microsoft.com/office/drawing/2014/main" id="{EEA33ED7-60B8-40FB-8A2F-9C3A9C92AF6B}"/>
            </a:ext>
          </a:extLst>
        </cdr:cNvPr>
        <cdr:cNvGrpSpPr/>
      </cdr:nvGrpSpPr>
      <cdr:grpSpPr>
        <a:xfrm xmlns:a="http://schemas.openxmlformats.org/drawingml/2006/main">
          <a:off x="1275519" y="600961"/>
          <a:ext cx="1350152" cy="390265"/>
          <a:chOff x="0" y="0"/>
          <a:chExt cx="1213212" cy="537387"/>
        </a:xfrm>
      </cdr:grpSpPr>
      <cdr:cxnSp macro="">
        <cdr:nvCxnSpPr>
          <cdr:cNvPr id="21" name="Straight Connector 20">
            <a:extLst xmlns:a="http://schemas.openxmlformats.org/drawingml/2006/main">
              <a:ext uri="{FF2B5EF4-FFF2-40B4-BE49-F238E27FC236}">
                <a16:creationId xmlns:a16="http://schemas.microsoft.com/office/drawing/2014/main" id="{70BA0A7E-0191-4369-9700-288EF4D48CAA}"/>
              </a:ext>
            </a:extLst>
          </cdr:cNvPr>
          <cdr:cNvCxnSpPr/>
        </cdr:nvCxnSpPr>
        <cdr:spPr bwMode="auto">
          <a:xfrm xmlns:a="http://schemas.openxmlformats.org/drawingml/2006/main">
            <a:off x="0" y="125619"/>
            <a:ext cx="0" cy="171970"/>
          </a:xfrm>
          <a:prstGeom xmlns:a="http://schemas.openxmlformats.org/drawingml/2006/main" prst="line">
            <a:avLst/>
          </a:prstGeom>
          <a:solidFill xmlns:a="http://schemas.openxmlformats.org/drawingml/2006/main">
            <a:schemeClr val="accent1"/>
          </a:solidFill>
          <a:ln xmlns:a="http://schemas.openxmlformats.org/drawingml/2006/main" w="6350" cap="flat" cmpd="sng" algn="ctr">
            <a:solidFill>
              <a:schemeClr val="tx1"/>
            </a:solidFill>
            <a:prstDash val="solid"/>
            <a:round/>
            <a:headEnd type="none" w="med" len="med"/>
            <a:tailEnd type="none" w="med" len="med"/>
          </a:ln>
          <a:effectLst xmlns:a="http://schemas.openxmlformats.org/drawingml/2006/main"/>
        </cdr:spPr>
      </cdr:cxnSp>
      <cdr:cxnSp macro="">
        <cdr:nvCxnSpPr>
          <cdr:cNvPr id="23" name="Straight Connector 22">
            <a:extLst xmlns:a="http://schemas.openxmlformats.org/drawingml/2006/main">
              <a:ext uri="{FF2B5EF4-FFF2-40B4-BE49-F238E27FC236}">
                <a16:creationId xmlns:a16="http://schemas.microsoft.com/office/drawing/2014/main" id="{70636182-B37E-49BE-B688-87C9931F8FDA}"/>
              </a:ext>
            </a:extLst>
          </cdr:cNvPr>
          <cdr:cNvCxnSpPr/>
        </cdr:nvCxnSpPr>
        <cdr:spPr bwMode="auto">
          <a:xfrm xmlns:a="http://schemas.openxmlformats.org/drawingml/2006/main" flipH="1">
            <a:off x="3613" y="126910"/>
            <a:ext cx="1207898" cy="0"/>
          </a:xfrm>
          <a:prstGeom xmlns:a="http://schemas.openxmlformats.org/drawingml/2006/main" prst="line">
            <a:avLst/>
          </a:prstGeom>
          <a:solidFill xmlns:a="http://schemas.openxmlformats.org/drawingml/2006/main">
            <a:schemeClr val="accent1"/>
          </a:solidFill>
          <a:ln xmlns:a="http://schemas.openxmlformats.org/drawingml/2006/main" w="6350" cap="flat" cmpd="sng" algn="ctr">
            <a:solidFill>
              <a:schemeClr val="tx1"/>
            </a:solidFill>
            <a:prstDash val="solid"/>
            <a:round/>
            <a:headEnd type="none" w="med" len="med"/>
            <a:tailEnd type="none" w="med" len="med"/>
          </a:ln>
          <a:effectLst xmlns:a="http://schemas.openxmlformats.org/drawingml/2006/main"/>
        </cdr:spPr>
      </cdr:cxnSp>
      <cdr:cxnSp macro="">
        <cdr:nvCxnSpPr>
          <cdr:cNvPr id="24" name="Straight Arrow Connector 23">
            <a:extLst xmlns:a="http://schemas.openxmlformats.org/drawingml/2006/main">
              <a:ext uri="{FF2B5EF4-FFF2-40B4-BE49-F238E27FC236}">
                <a16:creationId xmlns:a16="http://schemas.microsoft.com/office/drawing/2014/main" id="{4307351B-F143-4DD5-A453-680B718427F3}"/>
              </a:ext>
            </a:extLst>
          </cdr:cNvPr>
          <cdr:cNvCxnSpPr/>
        </cdr:nvCxnSpPr>
        <cdr:spPr bwMode="auto">
          <a:xfrm xmlns:a="http://schemas.openxmlformats.org/drawingml/2006/main">
            <a:off x="1213212" y="125619"/>
            <a:ext cx="0" cy="411768"/>
          </a:xfrm>
          <a:prstGeom xmlns:a="http://schemas.openxmlformats.org/drawingml/2006/main" prst="straightConnector1">
            <a:avLst/>
          </a:prstGeom>
          <a:solidFill xmlns:a="http://schemas.openxmlformats.org/drawingml/2006/main">
            <a:schemeClr val="accent1"/>
          </a:solidFill>
          <a:ln xmlns:a="http://schemas.openxmlformats.org/drawingml/2006/main" w="6350" cap="flat" cmpd="sng" algn="ctr">
            <a:solidFill>
              <a:schemeClr val="tx1"/>
            </a:solidFill>
            <a:prstDash val="solid"/>
            <a:round/>
            <a:headEnd type="none" w="med" len="med"/>
            <a:tailEnd type="triangle"/>
          </a:ln>
          <a:effectLst xmlns:a="http://schemas.openxmlformats.org/drawingml/2006/main"/>
        </cdr:spPr>
      </cdr:cxnSp>
      <cdr:sp macro="" textlink="'IX. Charts'!$O$75">
        <cdr:nvSpPr>
          <cdr:cNvPr id="26" name="Oval 25"/>
          <cdr:cNvSpPr/>
        </cdr:nvSpPr>
        <cdr:spPr bwMode="auto">
          <a:xfrm xmlns:a="http://schemas.openxmlformats.org/drawingml/2006/main">
            <a:off x="378127" y="0"/>
            <a:ext cx="480697" cy="260925"/>
          </a:xfrm>
          <a:prstGeom xmlns:a="http://schemas.openxmlformats.org/drawingml/2006/main" prst="ellipse">
            <a:avLst/>
          </a:prstGeom>
          <a:solidFill xmlns:a="http://schemas.openxmlformats.org/drawingml/2006/main">
            <a:schemeClr val="bg1">
              <a:lumMod val="85000"/>
            </a:schemeClr>
          </a:solidFill>
          <a:ln xmlns:a="http://schemas.openxmlformats.org/drawingml/2006/main" w="6350" cap="flat" cmpd="sng" algn="ctr">
            <a:solidFill>
              <a:schemeClr val="tx1"/>
            </a:solidFill>
            <a:prstDash val="solid"/>
            <a:round/>
            <a:headEnd type="none" w="med" len="med"/>
            <a:tailEnd type="none" w="med" len="med"/>
          </a:ln>
          <a:effectLst xmlns:a="http://schemas.openxmlformats.org/drawingml/2006/main"/>
        </cdr:spPr>
        <cdr:txBody>
          <a:bodyPr xmlns:a="http://schemas.openxmlformats.org/drawingml/2006/main" vert="horz" wrap="none" lIns="18000" tIns="18000" rIns="18000" bIns="18000" numCol="1" rtlCol="0" anchor="ctr" anchorCtr="0" compatLnSpc="1">
            <a:prstTxWarp prst="textNoShape">
              <a:avLst/>
            </a:prstTxWarp>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base" latinLnBrk="0" hangingPunct="1">
              <a:lnSpc>
                <a:spcPct val="100000"/>
              </a:lnSpc>
              <a:spcBef>
                <a:spcPct val="0"/>
              </a:spcBef>
              <a:spcAft>
                <a:spcPct val="0"/>
              </a:spcAft>
              <a:buClrTx/>
              <a:buSzTx/>
              <a:buFontTx/>
              <a:buNone/>
              <a:tabLst/>
            </a:pPr>
            <a:fld id="{D288D134-7F3B-42B4-AE90-F96307BF4842}" type="TxLink">
              <a:rPr kumimoji="0" lang="en-US" sz="900" b="1" i="0" u="none" strike="noStrike" cap="none" normalizeH="0" baseline="0">
                <a:ln>
                  <a:noFill/>
                </a:ln>
                <a:solidFill>
                  <a:srgbClr val="000000"/>
                </a:solidFill>
                <a:effectLst/>
                <a:latin typeface="Arial"/>
                <a:cs typeface="Arial"/>
              </a:rPr>
              <a:pPr marL="0" marR="0" indent="0" algn="ctr" defTabSz="914400" rtl="0" eaLnBrk="1" fontAlgn="base" latinLnBrk="0" hangingPunct="1">
                <a:lnSpc>
                  <a:spcPct val="100000"/>
                </a:lnSpc>
                <a:spcBef>
                  <a:spcPct val="0"/>
                </a:spcBef>
                <a:spcAft>
                  <a:spcPct val="0"/>
                </a:spcAft>
                <a:buClrTx/>
                <a:buSzTx/>
                <a:buFontTx/>
                <a:buNone/>
                <a:tabLst/>
              </a:pPr>
              <a:t>-21%</a:t>
            </a:fld>
            <a:endParaRPr kumimoji="0" lang="en-US" sz="900" b="1" i="0" u="none" strike="noStrike" cap="none" normalizeH="0" baseline="0">
              <a:ln>
                <a:noFill/>
              </a:ln>
              <a:solidFill>
                <a:schemeClr val="tx1"/>
              </a:solidFill>
              <a:effectLst/>
              <a:latin typeface="Myriad Pro" pitchFamily="34" charset="0"/>
            </a:endParaRPr>
          </a:p>
        </cdr:txBody>
      </cdr:sp>
    </cdr:grpSp>
  </cdr:relSizeAnchor>
  <cdr:relSizeAnchor xmlns:cdr="http://schemas.openxmlformats.org/drawingml/2006/chartDrawing">
    <cdr:from>
      <cdr:x>0.15873</cdr:x>
      <cdr:y>0.09024</cdr:y>
    </cdr:from>
    <cdr:to>
      <cdr:x>0.92381</cdr:x>
      <cdr:y>0.23361</cdr:y>
    </cdr:to>
    <cdr:grpSp>
      <cdr:nvGrpSpPr>
        <cdr:cNvPr id="32" name="Group 31">
          <a:extLst xmlns:a="http://schemas.openxmlformats.org/drawingml/2006/main">
            <a:ext uri="{FF2B5EF4-FFF2-40B4-BE49-F238E27FC236}">
              <a16:creationId xmlns:a16="http://schemas.microsoft.com/office/drawing/2014/main" id="{F326E0BA-BC73-4A99-9007-F4EE8DE0EC2A}"/>
            </a:ext>
          </a:extLst>
        </cdr:cNvPr>
        <cdr:cNvGrpSpPr/>
      </cdr:nvGrpSpPr>
      <cdr:grpSpPr>
        <a:xfrm xmlns:a="http://schemas.openxmlformats.org/drawingml/2006/main">
          <a:off x="549216" y="211047"/>
          <a:ext cx="2647228" cy="335305"/>
          <a:chOff x="0" y="26172"/>
          <a:chExt cx="1623991" cy="296755"/>
        </a:xfrm>
      </cdr:grpSpPr>
      <cdr:sp macro="" textlink="">
        <cdr:nvSpPr>
          <cdr:cNvPr id="33" name="TextBox 1"/>
          <cdr:cNvSpPr txBox="1"/>
        </cdr:nvSpPr>
        <cdr:spPr>
          <a:xfrm xmlns:a="http://schemas.openxmlformats.org/drawingml/2006/main">
            <a:off x="0" y="26172"/>
            <a:ext cx="1623991" cy="296755"/>
          </a:xfrm>
          <a:prstGeom xmlns:a="http://schemas.openxmlformats.org/drawingml/2006/main" prst="rect">
            <a:avLst/>
          </a:prstGeom>
          <a:ln xmlns:a="http://schemas.openxmlformats.org/drawingml/2006/main" w="6350">
            <a:solidFill>
              <a:schemeClr val="tx1"/>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800" b="1">
              <a:latin typeface="Arial" panose="020B0604020202020204" pitchFamily="34" charset="0"/>
              <a:cs typeface="Arial" panose="020B0604020202020204" pitchFamily="34" charset="0"/>
            </a:endParaRPr>
          </a:p>
        </cdr:txBody>
      </cdr:sp>
      <cdr:sp macro="" textlink="">
        <cdr:nvSpPr>
          <cdr:cNvPr id="34" name="Rectangle 33"/>
          <cdr:cNvSpPr/>
        </cdr:nvSpPr>
        <cdr:spPr>
          <a:xfrm xmlns:a="http://schemas.openxmlformats.org/drawingml/2006/main">
            <a:off x="154391" y="168853"/>
            <a:ext cx="402648" cy="108239"/>
          </a:xfrm>
          <a:prstGeom xmlns:a="http://schemas.openxmlformats.org/drawingml/2006/main" prst="rect">
            <a:avLst/>
          </a:prstGeom>
          <a:solidFill xmlns:a="http://schemas.openxmlformats.org/drawingml/2006/main">
            <a:srgbClr val="EAEAEA"/>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US" sz="1100"/>
          </a:p>
        </cdr:txBody>
      </cdr:sp>
      <cdr:cxnSp macro="">
        <cdr:nvCxnSpPr>
          <cdr:cNvPr id="35" name="Straight Connector 34">
            <a:extLst xmlns:a="http://schemas.openxmlformats.org/drawingml/2006/main">
              <a:ext uri="{FF2B5EF4-FFF2-40B4-BE49-F238E27FC236}">
                <a16:creationId xmlns:a16="http://schemas.microsoft.com/office/drawing/2014/main" id="{DE8820B2-B3B9-4390-A36C-E680CFAEDADA}"/>
              </a:ext>
            </a:extLst>
          </cdr:cNvPr>
          <cdr:cNvCxnSpPr/>
        </cdr:nvCxnSpPr>
        <cdr:spPr>
          <a:xfrm xmlns:a="http://schemas.openxmlformats.org/drawingml/2006/main">
            <a:off x="353466" y="220807"/>
            <a:ext cx="181941" cy="0"/>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6.xml><?xml version="1.0" encoding="utf-8"?>
<c:userShapes xmlns:c="http://schemas.openxmlformats.org/drawingml/2006/chart">
  <cdr:relSizeAnchor xmlns:cdr="http://schemas.openxmlformats.org/drawingml/2006/chartDrawing">
    <cdr:from>
      <cdr:x>0.29916</cdr:x>
      <cdr:y>0.09485</cdr:y>
    </cdr:from>
    <cdr:to>
      <cdr:x>0.82102</cdr:x>
      <cdr:y>0.21312</cdr:y>
    </cdr:to>
    <cdr:sp macro="" textlink="'IX. Charts'!$N$94">
      <cdr:nvSpPr>
        <cdr:cNvPr id="2" name="TextBox 1"/>
        <cdr:cNvSpPr txBox="1"/>
      </cdr:nvSpPr>
      <cdr:spPr>
        <a:xfrm xmlns:a="http://schemas.openxmlformats.org/drawingml/2006/main">
          <a:off x="933697" y="258983"/>
          <a:ext cx="1628775" cy="322928"/>
        </a:xfrm>
        <a:prstGeom xmlns:a="http://schemas.openxmlformats.org/drawingml/2006/main" prst="rect">
          <a:avLst/>
        </a:prstGeom>
        <a:ln xmlns:a="http://schemas.openxmlformats.org/drawingml/2006/main" w="6350">
          <a:solidFill>
            <a:schemeClr val="tx1"/>
          </a:solidFill>
        </a:ln>
      </cdr:spPr>
      <cdr:txBody>
        <a:bodyPr xmlns:a="http://schemas.openxmlformats.org/drawingml/2006/main" vertOverflow="clip" wrap="none" rtlCol="0" anchor="ctr"/>
        <a:lstStyle xmlns:a="http://schemas.openxmlformats.org/drawingml/2006/main"/>
        <a:p xmlns:a="http://schemas.openxmlformats.org/drawingml/2006/main">
          <a:pPr algn="ctr"/>
          <a:fld id="{51DD0E87-53C3-41CF-8DEC-BADA26896FF7}" type="TxLink">
            <a:rPr lang="en-US" sz="900" b="1" i="0" u="none" strike="noStrike">
              <a:solidFill>
                <a:srgbClr val="000000"/>
              </a:solidFill>
              <a:latin typeface="Arial"/>
              <a:cs typeface="Arial"/>
            </a:rPr>
            <a:pPr algn="ctr"/>
            <a:t>10.6 Mt CO2 (20 years)</a:t>
          </a:fld>
          <a:endParaRPr lang="en-US" sz="900" b="1">
            <a:latin typeface="Myriad Pro" pitchFamily="34" charset="0"/>
          </a:endParaRPr>
        </a:p>
      </cdr:txBody>
    </cdr:sp>
  </cdr:relSizeAnchor>
  <cdr:relSizeAnchor xmlns:cdr="http://schemas.openxmlformats.org/drawingml/2006/chartDrawing">
    <cdr:from>
      <cdr:x>0.37131</cdr:x>
      <cdr:y>0.23035</cdr:y>
    </cdr:from>
    <cdr:to>
      <cdr:x>0.76152</cdr:x>
      <cdr:y>0.54328</cdr:y>
    </cdr:to>
    <cdr:grpSp>
      <cdr:nvGrpSpPr>
        <cdr:cNvPr id="20" name="Group 19">
          <a:extLst xmlns:a="http://schemas.openxmlformats.org/drawingml/2006/main">
            <a:ext uri="{FF2B5EF4-FFF2-40B4-BE49-F238E27FC236}">
              <a16:creationId xmlns:a16="http://schemas.microsoft.com/office/drawing/2014/main" id="{14C0BFD6-1954-41ED-9205-A8715D2EA63E}"/>
            </a:ext>
          </a:extLst>
        </cdr:cNvPr>
        <cdr:cNvGrpSpPr/>
      </cdr:nvGrpSpPr>
      <cdr:grpSpPr>
        <a:xfrm xmlns:a="http://schemas.openxmlformats.org/drawingml/2006/main">
          <a:off x="1284791" y="537834"/>
          <a:ext cx="1350189" cy="730645"/>
          <a:chOff x="0" y="0"/>
          <a:chExt cx="1213212" cy="1241521"/>
        </a:xfrm>
      </cdr:grpSpPr>
      <cdr:cxnSp macro="">
        <cdr:nvCxnSpPr>
          <cdr:cNvPr id="21" name="Straight Connector 20">
            <a:extLst xmlns:a="http://schemas.openxmlformats.org/drawingml/2006/main">
              <a:ext uri="{FF2B5EF4-FFF2-40B4-BE49-F238E27FC236}">
                <a16:creationId xmlns:a16="http://schemas.microsoft.com/office/drawing/2014/main" id="{179ACA41-ABB9-40A1-B2BF-8D10FB16D772}"/>
              </a:ext>
            </a:extLst>
          </cdr:cNvPr>
          <cdr:cNvCxnSpPr/>
        </cdr:nvCxnSpPr>
        <cdr:spPr bwMode="auto">
          <a:xfrm xmlns:a="http://schemas.openxmlformats.org/drawingml/2006/main">
            <a:off x="0" y="125619"/>
            <a:ext cx="0" cy="381354"/>
          </a:xfrm>
          <a:prstGeom xmlns:a="http://schemas.openxmlformats.org/drawingml/2006/main" prst="line">
            <a:avLst/>
          </a:prstGeom>
          <a:solidFill xmlns:a="http://schemas.openxmlformats.org/drawingml/2006/main">
            <a:schemeClr val="accent1"/>
          </a:solidFill>
          <a:ln xmlns:a="http://schemas.openxmlformats.org/drawingml/2006/main" w="6350" cap="flat" cmpd="sng" algn="ctr">
            <a:solidFill>
              <a:schemeClr val="tx1"/>
            </a:solidFill>
            <a:prstDash val="solid"/>
            <a:round/>
            <a:headEnd type="none" w="med" len="med"/>
            <a:tailEnd type="none" w="med" len="med"/>
          </a:ln>
          <a:effectLst xmlns:a="http://schemas.openxmlformats.org/drawingml/2006/main"/>
        </cdr:spPr>
      </cdr:cxnSp>
      <cdr:cxnSp macro="">
        <cdr:nvCxnSpPr>
          <cdr:cNvPr id="23" name="Straight Connector 22">
            <a:extLst xmlns:a="http://schemas.openxmlformats.org/drawingml/2006/main">
              <a:ext uri="{FF2B5EF4-FFF2-40B4-BE49-F238E27FC236}">
                <a16:creationId xmlns:a16="http://schemas.microsoft.com/office/drawing/2014/main" id="{FC940F1A-5C3D-4E7D-BCCC-57A2D570B161}"/>
              </a:ext>
            </a:extLst>
          </cdr:cNvPr>
          <cdr:cNvCxnSpPr/>
        </cdr:nvCxnSpPr>
        <cdr:spPr bwMode="auto">
          <a:xfrm xmlns:a="http://schemas.openxmlformats.org/drawingml/2006/main" flipH="1">
            <a:off x="3613" y="126910"/>
            <a:ext cx="1207898" cy="0"/>
          </a:xfrm>
          <a:prstGeom xmlns:a="http://schemas.openxmlformats.org/drawingml/2006/main" prst="line">
            <a:avLst/>
          </a:prstGeom>
          <a:solidFill xmlns:a="http://schemas.openxmlformats.org/drawingml/2006/main">
            <a:schemeClr val="accent1"/>
          </a:solidFill>
          <a:ln xmlns:a="http://schemas.openxmlformats.org/drawingml/2006/main" w="6350" cap="flat" cmpd="sng" algn="ctr">
            <a:solidFill>
              <a:schemeClr val="tx1"/>
            </a:solidFill>
            <a:prstDash val="solid"/>
            <a:round/>
            <a:headEnd type="none" w="med" len="med"/>
            <a:tailEnd type="none" w="med" len="med"/>
          </a:ln>
          <a:effectLst xmlns:a="http://schemas.openxmlformats.org/drawingml/2006/main"/>
        </cdr:spPr>
      </cdr:cxnSp>
      <cdr:cxnSp macro="">
        <cdr:nvCxnSpPr>
          <cdr:cNvPr id="24" name="Straight Arrow Connector 23">
            <a:extLst xmlns:a="http://schemas.openxmlformats.org/drawingml/2006/main">
              <a:ext uri="{FF2B5EF4-FFF2-40B4-BE49-F238E27FC236}">
                <a16:creationId xmlns:a16="http://schemas.microsoft.com/office/drawing/2014/main" id="{06AF6975-9E9E-4225-AC9C-20E3A893FAED}"/>
              </a:ext>
            </a:extLst>
          </cdr:cNvPr>
          <cdr:cNvCxnSpPr/>
        </cdr:nvCxnSpPr>
        <cdr:spPr bwMode="auto">
          <a:xfrm xmlns:a="http://schemas.openxmlformats.org/drawingml/2006/main">
            <a:off x="1213212" y="125619"/>
            <a:ext cx="0" cy="1115902"/>
          </a:xfrm>
          <a:prstGeom xmlns:a="http://schemas.openxmlformats.org/drawingml/2006/main" prst="straightConnector1">
            <a:avLst/>
          </a:prstGeom>
          <a:solidFill xmlns:a="http://schemas.openxmlformats.org/drawingml/2006/main">
            <a:schemeClr val="accent1"/>
          </a:solidFill>
          <a:ln xmlns:a="http://schemas.openxmlformats.org/drawingml/2006/main" w="6350" cap="flat" cmpd="sng" algn="ctr">
            <a:solidFill>
              <a:schemeClr val="tx1"/>
            </a:solidFill>
            <a:prstDash val="solid"/>
            <a:round/>
            <a:headEnd type="none" w="med" len="med"/>
            <a:tailEnd type="triangle"/>
          </a:ln>
          <a:effectLst xmlns:a="http://schemas.openxmlformats.org/drawingml/2006/main"/>
        </cdr:spPr>
      </cdr:cxnSp>
      <cdr:sp macro="" textlink="'IX. Charts'!$O$92">
        <cdr:nvSpPr>
          <cdr:cNvPr id="26" name="Oval 25"/>
          <cdr:cNvSpPr/>
        </cdr:nvSpPr>
        <cdr:spPr bwMode="auto">
          <a:xfrm xmlns:a="http://schemas.openxmlformats.org/drawingml/2006/main">
            <a:off x="378127" y="0"/>
            <a:ext cx="480697" cy="260925"/>
          </a:xfrm>
          <a:prstGeom xmlns:a="http://schemas.openxmlformats.org/drawingml/2006/main" prst="ellipse">
            <a:avLst/>
          </a:prstGeom>
          <a:solidFill xmlns:a="http://schemas.openxmlformats.org/drawingml/2006/main">
            <a:schemeClr val="bg1">
              <a:lumMod val="85000"/>
            </a:schemeClr>
          </a:solidFill>
          <a:ln xmlns:a="http://schemas.openxmlformats.org/drawingml/2006/main" w="6350" cap="flat" cmpd="sng" algn="ctr">
            <a:solidFill>
              <a:schemeClr val="tx1"/>
            </a:solidFill>
            <a:prstDash val="solid"/>
            <a:round/>
            <a:headEnd type="none" w="med" len="med"/>
            <a:tailEnd type="none" w="med" len="med"/>
          </a:ln>
          <a:effectLst xmlns:a="http://schemas.openxmlformats.org/drawingml/2006/main"/>
        </cdr:spPr>
        <cdr:txBody>
          <a:bodyPr xmlns:a="http://schemas.openxmlformats.org/drawingml/2006/main" vert="horz" wrap="none" lIns="18000" tIns="18000" rIns="18000" bIns="18000" numCol="1" rtlCol="0" anchor="ctr" anchorCtr="0" compatLnSpc="1">
            <a:prstTxWarp prst="textNoShape">
              <a:avLst/>
            </a:prstTxWarp>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base" latinLnBrk="0" hangingPunct="1">
              <a:lnSpc>
                <a:spcPct val="100000"/>
              </a:lnSpc>
              <a:spcBef>
                <a:spcPct val="0"/>
              </a:spcBef>
              <a:spcAft>
                <a:spcPct val="0"/>
              </a:spcAft>
              <a:buClrTx/>
              <a:buSzTx/>
              <a:buFontTx/>
              <a:buNone/>
              <a:tabLst/>
            </a:pPr>
            <a:fld id="{6ECB2DF2-ABCA-43A0-A63C-2172A7CE374A}" type="TxLink">
              <a:rPr kumimoji="0" lang="en-US" sz="900" b="1" i="0" u="none" strike="noStrike" cap="none" normalizeH="0" baseline="0">
                <a:ln>
                  <a:noFill/>
                </a:ln>
                <a:solidFill>
                  <a:srgbClr val="000000"/>
                </a:solidFill>
                <a:effectLst/>
                <a:latin typeface="Arial"/>
                <a:cs typeface="Arial"/>
              </a:rPr>
              <a:pPr marL="0" marR="0" indent="0" algn="ctr" defTabSz="914400" rtl="0" eaLnBrk="1" fontAlgn="base" latinLnBrk="0" hangingPunct="1">
                <a:lnSpc>
                  <a:spcPct val="100000"/>
                </a:lnSpc>
                <a:spcBef>
                  <a:spcPct val="0"/>
                </a:spcBef>
                <a:spcAft>
                  <a:spcPct val="0"/>
                </a:spcAft>
                <a:buClrTx/>
                <a:buSzTx/>
                <a:buFontTx/>
                <a:buNone/>
                <a:tabLst/>
              </a:pPr>
              <a:t>-49%</a:t>
            </a:fld>
            <a:endParaRPr kumimoji="0" lang="en-US" sz="900" b="1" i="0" u="none" strike="noStrike" cap="none" normalizeH="0" baseline="0">
              <a:ln>
                <a:noFill/>
              </a:ln>
              <a:solidFill>
                <a:schemeClr val="tx1"/>
              </a:solidFill>
              <a:effectLst/>
              <a:latin typeface="Arial" panose="020B0604020202020204" pitchFamily="34" charset="0"/>
              <a:cs typeface="Arial" panose="020B0604020202020204" pitchFamily="34" charset="0"/>
            </a:endParaRPr>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Z341"/>
  <sheetViews>
    <sheetView tabSelected="1" zoomScale="75" zoomScaleNormal="75" workbookViewId="0"/>
  </sheetViews>
  <sheetFormatPr defaultColWidth="0" defaultRowHeight="0" customHeight="1" zeroHeight="1" x14ac:dyDescent="0.45"/>
  <cols>
    <col min="1" max="6" width="2.86328125" style="456" customWidth="1"/>
    <col min="7" max="17" width="14.73046875" style="456" customWidth="1"/>
    <col min="18" max="18" width="2.73046875" style="456" customWidth="1"/>
    <col min="19" max="259" width="9.1328125" style="456" hidden="1" customWidth="1"/>
    <col min="260" max="260" width="3.1328125" style="456" hidden="1" customWidth="1"/>
    <col min="261" max="263" width="2.86328125" style="456" hidden="1" customWidth="1"/>
    <col min="264" max="273" width="12.86328125" style="456" hidden="1" customWidth="1"/>
    <col min="274" max="274" width="2.86328125" style="456" hidden="1" customWidth="1"/>
    <col min="275" max="515" width="0" style="456" hidden="1"/>
    <col min="516" max="516" width="3.1328125" style="456" hidden="1" customWidth="1"/>
    <col min="517" max="519" width="2.86328125" style="456" hidden="1" customWidth="1"/>
    <col min="520" max="529" width="12.86328125" style="456" hidden="1" customWidth="1"/>
    <col min="530" max="530" width="2.86328125" style="456" hidden="1" customWidth="1"/>
    <col min="531" max="771" width="0" style="456" hidden="1"/>
    <col min="772" max="772" width="3.1328125" style="456" hidden="1" customWidth="1"/>
    <col min="773" max="775" width="2.86328125" style="456" hidden="1" customWidth="1"/>
    <col min="776" max="785" width="12.86328125" style="456" hidden="1" customWidth="1"/>
    <col min="786" max="786" width="2.86328125" style="456" hidden="1" customWidth="1"/>
    <col min="787" max="1027" width="0" style="456" hidden="1"/>
    <col min="1028" max="1028" width="3.1328125" style="456" hidden="1" customWidth="1"/>
    <col min="1029" max="1031" width="2.86328125" style="456" hidden="1" customWidth="1"/>
    <col min="1032" max="1041" width="12.86328125" style="456" hidden="1" customWidth="1"/>
    <col min="1042" max="1042" width="2.86328125" style="456" hidden="1" customWidth="1"/>
    <col min="1043" max="1283" width="0" style="456" hidden="1"/>
    <col min="1284" max="1284" width="3.1328125" style="456" hidden="1" customWidth="1"/>
    <col min="1285" max="1287" width="2.86328125" style="456" hidden="1" customWidth="1"/>
    <col min="1288" max="1297" width="12.86328125" style="456" hidden="1" customWidth="1"/>
    <col min="1298" max="1298" width="2.86328125" style="456" hidden="1" customWidth="1"/>
    <col min="1299" max="1539" width="0" style="456" hidden="1"/>
    <col min="1540" max="1540" width="3.1328125" style="456" hidden="1" customWidth="1"/>
    <col min="1541" max="1543" width="2.86328125" style="456" hidden="1" customWidth="1"/>
    <col min="1544" max="1553" width="12.86328125" style="456" hidden="1" customWidth="1"/>
    <col min="1554" max="1554" width="2.86328125" style="456" hidden="1" customWidth="1"/>
    <col min="1555" max="1795" width="0" style="456" hidden="1"/>
    <col min="1796" max="1796" width="3.1328125" style="456" hidden="1" customWidth="1"/>
    <col min="1797" max="1799" width="2.86328125" style="456" hidden="1" customWidth="1"/>
    <col min="1800" max="1809" width="12.86328125" style="456" hidden="1" customWidth="1"/>
    <col min="1810" max="1810" width="2.86328125" style="456" hidden="1" customWidth="1"/>
    <col min="1811" max="2051" width="0" style="456" hidden="1"/>
    <col min="2052" max="2052" width="3.1328125" style="456" hidden="1" customWidth="1"/>
    <col min="2053" max="2055" width="2.86328125" style="456" hidden="1" customWidth="1"/>
    <col min="2056" max="2065" width="12.86328125" style="456" hidden="1" customWidth="1"/>
    <col min="2066" max="2066" width="2.86328125" style="456" hidden="1" customWidth="1"/>
    <col min="2067" max="2307" width="0" style="456" hidden="1"/>
    <col min="2308" max="2308" width="3.1328125" style="456" hidden="1" customWidth="1"/>
    <col min="2309" max="2311" width="2.86328125" style="456" hidden="1" customWidth="1"/>
    <col min="2312" max="2321" width="12.86328125" style="456" hidden="1" customWidth="1"/>
    <col min="2322" max="2322" width="2.86328125" style="456" hidden="1" customWidth="1"/>
    <col min="2323" max="2563" width="0" style="456" hidden="1"/>
    <col min="2564" max="2564" width="3.1328125" style="456" hidden="1" customWidth="1"/>
    <col min="2565" max="2567" width="2.86328125" style="456" hidden="1" customWidth="1"/>
    <col min="2568" max="2577" width="12.86328125" style="456" hidden="1" customWidth="1"/>
    <col min="2578" max="2578" width="2.86328125" style="456" hidden="1" customWidth="1"/>
    <col min="2579" max="2819" width="0" style="456" hidden="1"/>
    <col min="2820" max="2820" width="3.1328125" style="456" hidden="1" customWidth="1"/>
    <col min="2821" max="2823" width="2.86328125" style="456" hidden="1" customWidth="1"/>
    <col min="2824" max="2833" width="12.86328125" style="456" hidden="1" customWidth="1"/>
    <col min="2834" max="2834" width="2.86328125" style="456" hidden="1" customWidth="1"/>
    <col min="2835" max="3075" width="0" style="456" hidden="1"/>
    <col min="3076" max="3076" width="3.1328125" style="456" hidden="1" customWidth="1"/>
    <col min="3077" max="3079" width="2.86328125" style="456" hidden="1" customWidth="1"/>
    <col min="3080" max="3089" width="12.86328125" style="456" hidden="1" customWidth="1"/>
    <col min="3090" max="3090" width="2.86328125" style="456" hidden="1" customWidth="1"/>
    <col min="3091" max="3331" width="0" style="456" hidden="1"/>
    <col min="3332" max="3332" width="3.1328125" style="456" hidden="1" customWidth="1"/>
    <col min="3333" max="3335" width="2.86328125" style="456" hidden="1" customWidth="1"/>
    <col min="3336" max="3345" width="12.86328125" style="456" hidden="1" customWidth="1"/>
    <col min="3346" max="3346" width="2.86328125" style="456" hidden="1" customWidth="1"/>
    <col min="3347" max="3587" width="0" style="456" hidden="1"/>
    <col min="3588" max="3588" width="3.1328125" style="456" hidden="1" customWidth="1"/>
    <col min="3589" max="3591" width="2.86328125" style="456" hidden="1" customWidth="1"/>
    <col min="3592" max="3601" width="12.86328125" style="456" hidden="1" customWidth="1"/>
    <col min="3602" max="3602" width="2.86328125" style="456" hidden="1" customWidth="1"/>
    <col min="3603" max="3843" width="0" style="456" hidden="1"/>
    <col min="3844" max="3844" width="3.1328125" style="456" hidden="1" customWidth="1"/>
    <col min="3845" max="3847" width="2.86328125" style="456" hidden="1" customWidth="1"/>
    <col min="3848" max="3857" width="12.86328125" style="456" hidden="1" customWidth="1"/>
    <col min="3858" max="3858" width="2.86328125" style="456" hidden="1" customWidth="1"/>
    <col min="3859" max="4099" width="0" style="456" hidden="1"/>
    <col min="4100" max="4100" width="3.1328125" style="456" hidden="1" customWidth="1"/>
    <col min="4101" max="4103" width="2.86328125" style="456" hidden="1" customWidth="1"/>
    <col min="4104" max="4113" width="12.86328125" style="456" hidden="1" customWidth="1"/>
    <col min="4114" max="4114" width="2.86328125" style="456" hidden="1" customWidth="1"/>
    <col min="4115" max="4355" width="0" style="456" hidden="1"/>
    <col min="4356" max="4356" width="3.1328125" style="456" hidden="1" customWidth="1"/>
    <col min="4357" max="4359" width="2.86328125" style="456" hidden="1" customWidth="1"/>
    <col min="4360" max="4369" width="12.86328125" style="456" hidden="1" customWidth="1"/>
    <col min="4370" max="4370" width="2.86328125" style="456" hidden="1" customWidth="1"/>
    <col min="4371" max="4611" width="0" style="456" hidden="1"/>
    <col min="4612" max="4612" width="3.1328125" style="456" hidden="1" customWidth="1"/>
    <col min="4613" max="4615" width="2.86328125" style="456" hidden="1" customWidth="1"/>
    <col min="4616" max="4625" width="12.86328125" style="456" hidden="1" customWidth="1"/>
    <col min="4626" max="4626" width="2.86328125" style="456" hidden="1" customWidth="1"/>
    <col min="4627" max="4867" width="0" style="456" hidden="1"/>
    <col min="4868" max="4868" width="3.1328125" style="456" hidden="1" customWidth="1"/>
    <col min="4869" max="4871" width="2.86328125" style="456" hidden="1" customWidth="1"/>
    <col min="4872" max="4881" width="12.86328125" style="456" hidden="1" customWidth="1"/>
    <col min="4882" max="4882" width="2.86328125" style="456" hidden="1" customWidth="1"/>
    <col min="4883" max="5123" width="0" style="456" hidden="1"/>
    <col min="5124" max="5124" width="3.1328125" style="456" hidden="1" customWidth="1"/>
    <col min="5125" max="5127" width="2.86328125" style="456" hidden="1" customWidth="1"/>
    <col min="5128" max="5137" width="12.86328125" style="456" hidden="1" customWidth="1"/>
    <col min="5138" max="5138" width="2.86328125" style="456" hidden="1" customWidth="1"/>
    <col min="5139" max="5379" width="0" style="456" hidden="1"/>
    <col min="5380" max="5380" width="3.1328125" style="456" hidden="1" customWidth="1"/>
    <col min="5381" max="5383" width="2.86328125" style="456" hidden="1" customWidth="1"/>
    <col min="5384" max="5393" width="12.86328125" style="456" hidden="1" customWidth="1"/>
    <col min="5394" max="5394" width="2.86328125" style="456" hidden="1" customWidth="1"/>
    <col min="5395" max="5635" width="0" style="456" hidden="1"/>
    <col min="5636" max="5636" width="3.1328125" style="456" hidden="1" customWidth="1"/>
    <col min="5637" max="5639" width="2.86328125" style="456" hidden="1" customWidth="1"/>
    <col min="5640" max="5649" width="12.86328125" style="456" hidden="1" customWidth="1"/>
    <col min="5650" max="5650" width="2.86328125" style="456" hidden="1" customWidth="1"/>
    <col min="5651" max="5891" width="0" style="456" hidden="1"/>
    <col min="5892" max="5892" width="3.1328125" style="456" hidden="1" customWidth="1"/>
    <col min="5893" max="5895" width="2.86328125" style="456" hidden="1" customWidth="1"/>
    <col min="5896" max="5905" width="12.86328125" style="456" hidden="1" customWidth="1"/>
    <col min="5906" max="5906" width="2.86328125" style="456" hidden="1" customWidth="1"/>
    <col min="5907" max="6147" width="0" style="456" hidden="1"/>
    <col min="6148" max="6148" width="3.1328125" style="456" hidden="1" customWidth="1"/>
    <col min="6149" max="6151" width="2.86328125" style="456" hidden="1" customWidth="1"/>
    <col min="6152" max="6161" width="12.86328125" style="456" hidden="1" customWidth="1"/>
    <col min="6162" max="6162" width="2.86328125" style="456" hidden="1" customWidth="1"/>
    <col min="6163" max="6403" width="0" style="456" hidden="1"/>
    <col min="6404" max="6404" width="3.1328125" style="456" hidden="1" customWidth="1"/>
    <col min="6405" max="6407" width="2.86328125" style="456" hidden="1" customWidth="1"/>
    <col min="6408" max="6417" width="12.86328125" style="456" hidden="1" customWidth="1"/>
    <col min="6418" max="6418" width="2.86328125" style="456" hidden="1" customWidth="1"/>
    <col min="6419" max="6659" width="0" style="456" hidden="1"/>
    <col min="6660" max="6660" width="3.1328125" style="456" hidden="1" customWidth="1"/>
    <col min="6661" max="6663" width="2.86328125" style="456" hidden="1" customWidth="1"/>
    <col min="6664" max="6673" width="12.86328125" style="456" hidden="1" customWidth="1"/>
    <col min="6674" max="6674" width="2.86328125" style="456" hidden="1" customWidth="1"/>
    <col min="6675" max="6915" width="0" style="456" hidden="1"/>
    <col min="6916" max="6916" width="3.1328125" style="456" hidden="1" customWidth="1"/>
    <col min="6917" max="6919" width="2.86328125" style="456" hidden="1" customWidth="1"/>
    <col min="6920" max="6929" width="12.86328125" style="456" hidden="1" customWidth="1"/>
    <col min="6930" max="6930" width="2.86328125" style="456" hidden="1" customWidth="1"/>
    <col min="6931" max="7171" width="0" style="456" hidden="1"/>
    <col min="7172" max="7172" width="3.1328125" style="456" hidden="1" customWidth="1"/>
    <col min="7173" max="7175" width="2.86328125" style="456" hidden="1" customWidth="1"/>
    <col min="7176" max="7185" width="12.86328125" style="456" hidden="1" customWidth="1"/>
    <col min="7186" max="7186" width="2.86328125" style="456" hidden="1" customWidth="1"/>
    <col min="7187" max="7427" width="0" style="456" hidden="1"/>
    <col min="7428" max="7428" width="3.1328125" style="456" hidden="1" customWidth="1"/>
    <col min="7429" max="7431" width="2.86328125" style="456" hidden="1" customWidth="1"/>
    <col min="7432" max="7441" width="12.86328125" style="456" hidden="1" customWidth="1"/>
    <col min="7442" max="7442" width="2.86328125" style="456" hidden="1" customWidth="1"/>
    <col min="7443" max="7683" width="0" style="456" hidden="1"/>
    <col min="7684" max="7684" width="3.1328125" style="456" hidden="1" customWidth="1"/>
    <col min="7685" max="7687" width="2.86328125" style="456" hidden="1" customWidth="1"/>
    <col min="7688" max="7697" width="12.86328125" style="456" hidden="1" customWidth="1"/>
    <col min="7698" max="7698" width="2.86328125" style="456" hidden="1" customWidth="1"/>
    <col min="7699" max="7939" width="0" style="456" hidden="1"/>
    <col min="7940" max="7940" width="3.1328125" style="456" hidden="1" customWidth="1"/>
    <col min="7941" max="7943" width="2.86328125" style="456" hidden="1" customWidth="1"/>
    <col min="7944" max="7953" width="12.86328125" style="456" hidden="1" customWidth="1"/>
    <col min="7954" max="7954" width="2.86328125" style="456" hidden="1" customWidth="1"/>
    <col min="7955" max="8195" width="0" style="456" hidden="1"/>
    <col min="8196" max="8196" width="3.1328125" style="456" hidden="1" customWidth="1"/>
    <col min="8197" max="8199" width="2.86328125" style="456" hidden="1" customWidth="1"/>
    <col min="8200" max="8209" width="12.86328125" style="456" hidden="1" customWidth="1"/>
    <col min="8210" max="8210" width="2.86328125" style="456" hidden="1" customWidth="1"/>
    <col min="8211" max="8451" width="0" style="456" hidden="1"/>
    <col min="8452" max="8452" width="3.1328125" style="456" hidden="1" customWidth="1"/>
    <col min="8453" max="8455" width="2.86328125" style="456" hidden="1" customWidth="1"/>
    <col min="8456" max="8465" width="12.86328125" style="456" hidden="1" customWidth="1"/>
    <col min="8466" max="8466" width="2.86328125" style="456" hidden="1" customWidth="1"/>
    <col min="8467" max="8707" width="0" style="456" hidden="1"/>
    <col min="8708" max="8708" width="3.1328125" style="456" hidden="1" customWidth="1"/>
    <col min="8709" max="8711" width="2.86328125" style="456" hidden="1" customWidth="1"/>
    <col min="8712" max="8721" width="12.86328125" style="456" hidden="1" customWidth="1"/>
    <col min="8722" max="8722" width="2.86328125" style="456" hidden="1" customWidth="1"/>
    <col min="8723" max="8963" width="0" style="456" hidden="1"/>
    <col min="8964" max="8964" width="3.1328125" style="456" hidden="1" customWidth="1"/>
    <col min="8965" max="8967" width="2.86328125" style="456" hidden="1" customWidth="1"/>
    <col min="8968" max="8977" width="12.86328125" style="456" hidden="1" customWidth="1"/>
    <col min="8978" max="8978" width="2.86328125" style="456" hidden="1" customWidth="1"/>
    <col min="8979" max="9219" width="0" style="456" hidden="1"/>
    <col min="9220" max="9220" width="3.1328125" style="456" hidden="1" customWidth="1"/>
    <col min="9221" max="9223" width="2.86328125" style="456" hidden="1" customWidth="1"/>
    <col min="9224" max="9233" width="12.86328125" style="456" hidden="1" customWidth="1"/>
    <col min="9234" max="9234" width="2.86328125" style="456" hidden="1" customWidth="1"/>
    <col min="9235" max="9475" width="0" style="456" hidden="1"/>
    <col min="9476" max="9476" width="3.1328125" style="456" hidden="1" customWidth="1"/>
    <col min="9477" max="9479" width="2.86328125" style="456" hidden="1" customWidth="1"/>
    <col min="9480" max="9489" width="12.86328125" style="456" hidden="1" customWidth="1"/>
    <col min="9490" max="9490" width="2.86328125" style="456" hidden="1" customWidth="1"/>
    <col min="9491" max="9731" width="0" style="456" hidden="1"/>
    <col min="9732" max="9732" width="3.1328125" style="456" hidden="1" customWidth="1"/>
    <col min="9733" max="9735" width="2.86328125" style="456" hidden="1" customWidth="1"/>
    <col min="9736" max="9745" width="12.86328125" style="456" hidden="1" customWidth="1"/>
    <col min="9746" max="9746" width="2.86328125" style="456" hidden="1" customWidth="1"/>
    <col min="9747" max="9987" width="0" style="456" hidden="1"/>
    <col min="9988" max="9988" width="3.1328125" style="456" hidden="1" customWidth="1"/>
    <col min="9989" max="9991" width="2.86328125" style="456" hidden="1" customWidth="1"/>
    <col min="9992" max="10001" width="12.86328125" style="456" hidden="1" customWidth="1"/>
    <col min="10002" max="10002" width="2.86328125" style="456" hidden="1" customWidth="1"/>
    <col min="10003" max="10243" width="0" style="456" hidden="1"/>
    <col min="10244" max="10244" width="3.1328125" style="456" hidden="1" customWidth="1"/>
    <col min="10245" max="10247" width="2.86328125" style="456" hidden="1" customWidth="1"/>
    <col min="10248" max="10257" width="12.86328125" style="456" hidden="1" customWidth="1"/>
    <col min="10258" max="10258" width="2.86328125" style="456" hidden="1" customWidth="1"/>
    <col min="10259" max="10499" width="0" style="456" hidden="1"/>
    <col min="10500" max="10500" width="3.1328125" style="456" hidden="1" customWidth="1"/>
    <col min="10501" max="10503" width="2.86328125" style="456" hidden="1" customWidth="1"/>
    <col min="10504" max="10513" width="12.86328125" style="456" hidden="1" customWidth="1"/>
    <col min="10514" max="10514" width="2.86328125" style="456" hidden="1" customWidth="1"/>
    <col min="10515" max="10755" width="0" style="456" hidden="1"/>
    <col min="10756" max="10756" width="3.1328125" style="456" hidden="1" customWidth="1"/>
    <col min="10757" max="10759" width="2.86328125" style="456" hidden="1" customWidth="1"/>
    <col min="10760" max="10769" width="12.86328125" style="456" hidden="1" customWidth="1"/>
    <col min="10770" max="10770" width="2.86328125" style="456" hidden="1" customWidth="1"/>
    <col min="10771" max="11011" width="0" style="456" hidden="1"/>
    <col min="11012" max="11012" width="3.1328125" style="456" hidden="1" customWidth="1"/>
    <col min="11013" max="11015" width="2.86328125" style="456" hidden="1" customWidth="1"/>
    <col min="11016" max="11025" width="12.86328125" style="456" hidden="1" customWidth="1"/>
    <col min="11026" max="11026" width="2.86328125" style="456" hidden="1" customWidth="1"/>
    <col min="11027" max="11267" width="0" style="456" hidden="1"/>
    <col min="11268" max="11268" width="3.1328125" style="456" hidden="1" customWidth="1"/>
    <col min="11269" max="11271" width="2.86328125" style="456" hidden="1" customWidth="1"/>
    <col min="11272" max="11281" width="12.86328125" style="456" hidden="1" customWidth="1"/>
    <col min="11282" max="11282" width="2.86328125" style="456" hidden="1" customWidth="1"/>
    <col min="11283" max="11523" width="0" style="456" hidden="1"/>
    <col min="11524" max="11524" width="3.1328125" style="456" hidden="1" customWidth="1"/>
    <col min="11525" max="11527" width="2.86328125" style="456" hidden="1" customWidth="1"/>
    <col min="11528" max="11537" width="12.86328125" style="456" hidden="1" customWidth="1"/>
    <col min="11538" max="11538" width="2.86328125" style="456" hidden="1" customWidth="1"/>
    <col min="11539" max="11779" width="0" style="456" hidden="1"/>
    <col min="11780" max="11780" width="3.1328125" style="456" hidden="1" customWidth="1"/>
    <col min="11781" max="11783" width="2.86328125" style="456" hidden="1" customWidth="1"/>
    <col min="11784" max="11793" width="12.86328125" style="456" hidden="1" customWidth="1"/>
    <col min="11794" max="11794" width="2.86328125" style="456" hidden="1" customWidth="1"/>
    <col min="11795" max="12035" width="0" style="456" hidden="1"/>
    <col min="12036" max="12036" width="3.1328125" style="456" hidden="1" customWidth="1"/>
    <col min="12037" max="12039" width="2.86328125" style="456" hidden="1" customWidth="1"/>
    <col min="12040" max="12049" width="12.86328125" style="456" hidden="1" customWidth="1"/>
    <col min="12050" max="12050" width="2.86328125" style="456" hidden="1" customWidth="1"/>
    <col min="12051" max="12291" width="0" style="456" hidden="1"/>
    <col min="12292" max="12292" width="3.1328125" style="456" hidden="1" customWidth="1"/>
    <col min="12293" max="12295" width="2.86328125" style="456" hidden="1" customWidth="1"/>
    <col min="12296" max="12305" width="12.86328125" style="456" hidden="1" customWidth="1"/>
    <col min="12306" max="12306" width="2.86328125" style="456" hidden="1" customWidth="1"/>
    <col min="12307" max="12547" width="0" style="456" hidden="1"/>
    <col min="12548" max="12548" width="3.1328125" style="456" hidden="1" customWidth="1"/>
    <col min="12549" max="12551" width="2.86328125" style="456" hidden="1" customWidth="1"/>
    <col min="12552" max="12561" width="12.86328125" style="456" hidden="1" customWidth="1"/>
    <col min="12562" max="12562" width="2.86328125" style="456" hidden="1" customWidth="1"/>
    <col min="12563" max="12803" width="0" style="456" hidden="1"/>
    <col min="12804" max="12804" width="3.1328125" style="456" hidden="1" customWidth="1"/>
    <col min="12805" max="12807" width="2.86328125" style="456" hidden="1" customWidth="1"/>
    <col min="12808" max="12817" width="12.86328125" style="456" hidden="1" customWidth="1"/>
    <col min="12818" max="12818" width="2.86328125" style="456" hidden="1" customWidth="1"/>
    <col min="12819" max="13059" width="0" style="456" hidden="1"/>
    <col min="13060" max="13060" width="3.1328125" style="456" hidden="1" customWidth="1"/>
    <col min="13061" max="13063" width="2.86328125" style="456" hidden="1" customWidth="1"/>
    <col min="13064" max="13073" width="12.86328125" style="456" hidden="1" customWidth="1"/>
    <col min="13074" max="13074" width="2.86328125" style="456" hidden="1" customWidth="1"/>
    <col min="13075" max="13315" width="0" style="456" hidden="1"/>
    <col min="13316" max="13316" width="3.1328125" style="456" hidden="1" customWidth="1"/>
    <col min="13317" max="13319" width="2.86328125" style="456" hidden="1" customWidth="1"/>
    <col min="13320" max="13329" width="12.86328125" style="456" hidden="1" customWidth="1"/>
    <col min="13330" max="13330" width="2.86328125" style="456" hidden="1" customWidth="1"/>
    <col min="13331" max="13571" width="0" style="456" hidden="1"/>
    <col min="13572" max="13572" width="3.1328125" style="456" hidden="1" customWidth="1"/>
    <col min="13573" max="13575" width="2.86328125" style="456" hidden="1" customWidth="1"/>
    <col min="13576" max="13585" width="12.86328125" style="456" hidden="1" customWidth="1"/>
    <col min="13586" max="13586" width="2.86328125" style="456" hidden="1" customWidth="1"/>
    <col min="13587" max="13827" width="0" style="456" hidden="1"/>
    <col min="13828" max="13828" width="3.1328125" style="456" hidden="1" customWidth="1"/>
    <col min="13829" max="13831" width="2.86328125" style="456" hidden="1" customWidth="1"/>
    <col min="13832" max="13841" width="12.86328125" style="456" hidden="1" customWidth="1"/>
    <col min="13842" max="13842" width="2.86328125" style="456" hidden="1" customWidth="1"/>
    <col min="13843" max="14083" width="0" style="456" hidden="1"/>
    <col min="14084" max="14084" width="3.1328125" style="456" hidden="1" customWidth="1"/>
    <col min="14085" max="14087" width="2.86328125" style="456" hidden="1" customWidth="1"/>
    <col min="14088" max="14097" width="12.86328125" style="456" hidden="1" customWidth="1"/>
    <col min="14098" max="14098" width="2.86328125" style="456" hidden="1" customWidth="1"/>
    <col min="14099" max="14339" width="0" style="456" hidden="1"/>
    <col min="14340" max="14340" width="3.1328125" style="456" hidden="1" customWidth="1"/>
    <col min="14341" max="14343" width="2.86328125" style="456" hidden="1" customWidth="1"/>
    <col min="14344" max="14353" width="12.86328125" style="456" hidden="1" customWidth="1"/>
    <col min="14354" max="14354" width="2.86328125" style="456" hidden="1" customWidth="1"/>
    <col min="14355" max="14595" width="0" style="456" hidden="1"/>
    <col min="14596" max="14596" width="3.1328125" style="456" hidden="1" customWidth="1"/>
    <col min="14597" max="14599" width="2.86328125" style="456" hidden="1" customWidth="1"/>
    <col min="14600" max="14609" width="12.86328125" style="456" hidden="1" customWidth="1"/>
    <col min="14610" max="14610" width="2.86328125" style="456" hidden="1" customWidth="1"/>
    <col min="14611" max="14851" width="0" style="456" hidden="1"/>
    <col min="14852" max="14852" width="3.1328125" style="456" hidden="1" customWidth="1"/>
    <col min="14853" max="14855" width="2.86328125" style="456" hidden="1" customWidth="1"/>
    <col min="14856" max="14865" width="12.86328125" style="456" hidden="1" customWidth="1"/>
    <col min="14866" max="14866" width="2.86328125" style="456" hidden="1" customWidth="1"/>
    <col min="14867" max="15107" width="0" style="456" hidden="1"/>
    <col min="15108" max="15108" width="3.1328125" style="456" hidden="1" customWidth="1"/>
    <col min="15109" max="15111" width="2.86328125" style="456" hidden="1" customWidth="1"/>
    <col min="15112" max="15121" width="12.86328125" style="456" hidden="1" customWidth="1"/>
    <col min="15122" max="15122" width="2.86328125" style="456" hidden="1" customWidth="1"/>
    <col min="15123" max="15363" width="0" style="456" hidden="1"/>
    <col min="15364" max="15364" width="3.1328125" style="456" hidden="1" customWidth="1"/>
    <col min="15365" max="15367" width="2.86328125" style="456" hidden="1" customWidth="1"/>
    <col min="15368" max="15377" width="12.86328125" style="456" hidden="1" customWidth="1"/>
    <col min="15378" max="15378" width="2.86328125" style="456" hidden="1" customWidth="1"/>
    <col min="15379" max="15619" width="0" style="456" hidden="1"/>
    <col min="15620" max="15620" width="3.1328125" style="456" hidden="1" customWidth="1"/>
    <col min="15621" max="15623" width="2.86328125" style="456" hidden="1" customWidth="1"/>
    <col min="15624" max="15633" width="12.86328125" style="456" hidden="1" customWidth="1"/>
    <col min="15634" max="15634" width="2.86328125" style="456" hidden="1" customWidth="1"/>
    <col min="15635" max="15875" width="0" style="456" hidden="1"/>
    <col min="15876" max="15876" width="3.1328125" style="456" hidden="1" customWidth="1"/>
    <col min="15877" max="15879" width="2.86328125" style="456" hidden="1" customWidth="1"/>
    <col min="15880" max="15889" width="12.86328125" style="456" hidden="1" customWidth="1"/>
    <col min="15890" max="15890" width="2.86328125" style="456" hidden="1" customWidth="1"/>
    <col min="15891" max="16131" width="0" style="456" hidden="1"/>
    <col min="16132" max="16132" width="3.1328125" style="456" hidden="1" customWidth="1"/>
    <col min="16133" max="16135" width="2.86328125" style="456" hidden="1" customWidth="1"/>
    <col min="16136" max="16145" width="12.86328125" style="456" hidden="1" customWidth="1"/>
    <col min="16146" max="16146" width="2.86328125" style="456" hidden="1" customWidth="1"/>
    <col min="16147" max="16384" width="0" style="456" hidden="1"/>
  </cols>
  <sheetData>
    <row r="1" spans="1:21" s="423" customFormat="1" ht="12.75" x14ac:dyDescent="0.45">
      <c r="A1" s="421" t="s">
        <v>584</v>
      </c>
      <c r="B1" s="422"/>
      <c r="C1" s="422"/>
      <c r="D1" s="422"/>
      <c r="E1" s="422"/>
      <c r="F1" s="422"/>
      <c r="G1" s="422"/>
      <c r="H1" s="422"/>
      <c r="I1" s="422"/>
      <c r="J1" s="422"/>
      <c r="K1" s="422"/>
      <c r="L1" s="422"/>
      <c r="M1" s="422"/>
      <c r="N1" s="422"/>
      <c r="O1" s="422"/>
      <c r="P1" s="422"/>
      <c r="Q1" s="422"/>
      <c r="R1" s="422"/>
    </row>
    <row r="2" spans="1:21" s="423" customFormat="1" ht="12.75" x14ac:dyDescent="0.45">
      <c r="A2" s="424"/>
      <c r="B2" s="422"/>
      <c r="C2" s="422"/>
      <c r="D2" s="422"/>
      <c r="E2" s="422"/>
      <c r="F2" s="422"/>
      <c r="G2" s="422"/>
      <c r="H2" s="422"/>
      <c r="I2" s="422"/>
      <c r="J2" s="422"/>
      <c r="K2" s="422"/>
      <c r="L2" s="422"/>
      <c r="M2" s="422"/>
      <c r="N2" s="422"/>
      <c r="O2" s="422"/>
      <c r="P2" s="422"/>
      <c r="Q2" s="422"/>
      <c r="R2" s="422"/>
    </row>
    <row r="3" spans="1:21" s="423" customFormat="1" ht="25.15" x14ac:dyDescent="0.45">
      <c r="A3" s="424"/>
      <c r="B3" s="425" t="s">
        <v>234</v>
      </c>
      <c r="C3" s="422"/>
      <c r="D3" s="425"/>
      <c r="E3" s="425"/>
      <c r="F3" s="425"/>
      <c r="G3" s="422"/>
      <c r="H3" s="422"/>
      <c r="I3" s="422"/>
      <c r="J3" s="422"/>
      <c r="K3" s="422"/>
      <c r="L3" s="422"/>
      <c r="M3" s="422"/>
      <c r="N3" s="422"/>
      <c r="O3" s="422"/>
      <c r="P3" s="422"/>
      <c r="Q3" s="422"/>
      <c r="R3" s="422"/>
    </row>
    <row r="4" spans="1:21" s="423" customFormat="1" ht="25.15" x14ac:dyDescent="0.45">
      <c r="A4" s="424"/>
      <c r="B4" s="425" t="s">
        <v>746</v>
      </c>
      <c r="C4" s="422"/>
      <c r="D4" s="422"/>
      <c r="E4" s="422"/>
      <c r="F4" s="422"/>
      <c r="G4" s="422"/>
      <c r="H4" s="422"/>
      <c r="I4" s="422"/>
      <c r="J4" s="422"/>
      <c r="K4" s="422"/>
      <c r="L4" s="422"/>
      <c r="M4" s="422"/>
      <c r="N4" s="422"/>
      <c r="O4" s="422"/>
      <c r="P4" s="422"/>
      <c r="Q4" s="422"/>
      <c r="R4" s="422"/>
    </row>
    <row r="5" spans="1:21" s="423" customFormat="1" ht="25.15" x14ac:dyDescent="0.45">
      <c r="A5" s="424"/>
      <c r="B5" s="426"/>
      <c r="C5" s="422"/>
      <c r="D5" s="422"/>
      <c r="E5" s="422"/>
      <c r="F5" s="422"/>
      <c r="G5" s="422"/>
      <c r="H5" s="422"/>
      <c r="I5" s="422"/>
      <c r="J5" s="422"/>
      <c r="K5" s="422"/>
      <c r="L5" s="422"/>
      <c r="M5" s="422"/>
      <c r="N5" s="422"/>
      <c r="O5" s="422"/>
      <c r="P5" s="422"/>
      <c r="Q5" s="422"/>
      <c r="R5" s="422"/>
    </row>
    <row r="6" spans="1:21" s="423" customFormat="1" ht="14.45" customHeight="1" x14ac:dyDescent="0.45">
      <c r="A6" s="424"/>
      <c r="B6" s="422"/>
      <c r="C6" s="427" t="s">
        <v>649</v>
      </c>
      <c r="D6" s="428"/>
      <c r="E6" s="428"/>
      <c r="F6" s="428"/>
      <c r="G6" s="428"/>
      <c r="H6" s="428"/>
      <c r="I6" s="1866" t="s">
        <v>760</v>
      </c>
      <c r="J6" s="1867"/>
      <c r="K6" s="422"/>
      <c r="L6" s="422"/>
      <c r="M6" s="422"/>
      <c r="N6" s="422"/>
      <c r="O6" s="422"/>
      <c r="P6" s="422"/>
      <c r="Q6" s="422"/>
      <c r="R6" s="422"/>
    </row>
    <row r="7" spans="1:21" s="423" customFormat="1" ht="14.45" customHeight="1" x14ac:dyDescent="0.45">
      <c r="A7" s="424"/>
      <c r="B7" s="422"/>
      <c r="C7" s="429" t="s">
        <v>404</v>
      </c>
      <c r="D7" s="430"/>
      <c r="E7" s="430"/>
      <c r="F7" s="430"/>
      <c r="G7" s="430"/>
      <c r="H7" s="430"/>
      <c r="I7" s="1866" t="s">
        <v>761</v>
      </c>
      <c r="J7" s="1867"/>
      <c r="K7" s="422"/>
      <c r="L7" s="422"/>
      <c r="M7" s="422"/>
      <c r="N7" s="422"/>
      <c r="O7" s="422"/>
      <c r="P7" s="422"/>
      <c r="Q7" s="422"/>
      <c r="R7" s="422"/>
    </row>
    <row r="8" spans="1:21" s="423" customFormat="1" ht="14.45" customHeight="1" x14ac:dyDescent="0.45">
      <c r="A8" s="424"/>
      <c r="B8" s="422"/>
      <c r="C8" s="429" t="s">
        <v>650</v>
      </c>
      <c r="D8" s="430"/>
      <c r="E8" s="430"/>
      <c r="F8" s="430"/>
      <c r="G8" s="430"/>
      <c r="H8" s="430"/>
      <c r="I8" s="1866" t="s">
        <v>780</v>
      </c>
      <c r="J8" s="1867"/>
      <c r="K8" s="422"/>
      <c r="L8" s="422"/>
      <c r="M8" s="422"/>
      <c r="N8" s="422"/>
      <c r="O8" s="422"/>
      <c r="P8" s="422"/>
      <c r="Q8" s="422"/>
      <c r="R8" s="422"/>
    </row>
    <row r="9" spans="1:21" s="423" customFormat="1" ht="14.45" customHeight="1" x14ac:dyDescent="0.45">
      <c r="A9" s="424"/>
      <c r="B9" s="422"/>
      <c r="C9" s="431" t="s">
        <v>651</v>
      </c>
      <c r="D9" s="432"/>
      <c r="E9" s="432"/>
      <c r="F9" s="432"/>
      <c r="G9" s="432"/>
      <c r="H9" s="432"/>
      <c r="I9" s="1868" t="s">
        <v>779</v>
      </c>
      <c r="J9" s="1869"/>
      <c r="K9" s="422"/>
      <c r="L9" s="422"/>
      <c r="M9" s="422"/>
      <c r="N9" s="422"/>
      <c r="O9" s="422"/>
      <c r="P9" s="422"/>
      <c r="Q9" s="422"/>
      <c r="R9" s="422"/>
    </row>
    <row r="10" spans="1:21" s="423" customFormat="1" ht="12.75" x14ac:dyDescent="0.45">
      <c r="A10" s="424"/>
      <c r="B10" s="422"/>
      <c r="C10" s="422"/>
      <c r="D10" s="422"/>
      <c r="E10" s="422"/>
      <c r="F10" s="422"/>
      <c r="G10" s="422"/>
      <c r="H10" s="422"/>
      <c r="I10" s="422"/>
      <c r="J10" s="422"/>
      <c r="K10" s="422"/>
      <c r="L10" s="422"/>
      <c r="M10" s="422"/>
      <c r="N10" s="422"/>
      <c r="O10" s="422"/>
      <c r="P10" s="422"/>
      <c r="Q10" s="422"/>
      <c r="R10" s="422"/>
    </row>
    <row r="11" spans="1:21" s="439" customFormat="1" ht="12.75" customHeight="1" x14ac:dyDescent="0.45">
      <c r="A11" s="433"/>
      <c r="B11" s="422"/>
      <c r="C11" s="434"/>
      <c r="D11" s="434"/>
      <c r="E11" s="434"/>
      <c r="F11" s="434"/>
      <c r="G11" s="435"/>
      <c r="H11" s="435"/>
      <c r="I11" s="435"/>
      <c r="J11" s="435"/>
      <c r="K11" s="436"/>
      <c r="L11" s="436"/>
      <c r="M11" s="436"/>
      <c r="N11" s="436"/>
      <c r="O11" s="436"/>
      <c r="P11" s="436"/>
      <c r="Q11" s="436"/>
      <c r="R11" s="437"/>
      <c r="S11" s="438"/>
      <c r="T11" s="423"/>
      <c r="U11" s="423"/>
    </row>
    <row r="12" spans="1:21" s="439" customFormat="1" ht="12.75" customHeight="1" x14ac:dyDescent="0.45">
      <c r="A12" s="440"/>
      <c r="B12" s="440" t="s">
        <v>246</v>
      </c>
      <c r="C12" s="441"/>
      <c r="D12" s="442"/>
      <c r="E12" s="442"/>
      <c r="F12" s="442"/>
      <c r="G12" s="443"/>
      <c r="H12" s="443"/>
      <c r="I12" s="443"/>
      <c r="J12" s="443"/>
      <c r="K12" s="443"/>
      <c r="L12" s="443"/>
      <c r="M12" s="443"/>
      <c r="N12" s="443"/>
      <c r="O12" s="443"/>
      <c r="P12" s="443"/>
      <c r="Q12" s="443"/>
      <c r="R12" s="437"/>
      <c r="S12" s="438"/>
      <c r="T12" s="423"/>
      <c r="U12" s="423"/>
    </row>
    <row r="13" spans="1:21" s="439" customFormat="1" ht="12.75" customHeight="1" x14ac:dyDescent="0.45">
      <c r="A13" s="433"/>
      <c r="B13" s="422"/>
      <c r="C13" s="434"/>
      <c r="D13" s="434"/>
      <c r="E13" s="434"/>
      <c r="F13" s="434"/>
      <c r="G13" s="435"/>
      <c r="H13" s="435"/>
      <c r="I13" s="435"/>
      <c r="J13" s="435"/>
      <c r="K13" s="436"/>
      <c r="L13" s="436"/>
      <c r="M13" s="436"/>
      <c r="N13" s="436"/>
      <c r="O13" s="436"/>
      <c r="P13" s="436"/>
      <c r="Q13" s="436"/>
      <c r="R13" s="437"/>
      <c r="S13" s="438"/>
      <c r="T13" s="423"/>
      <c r="U13" s="423"/>
    </row>
    <row r="14" spans="1:21" s="439" customFormat="1" ht="12.75" customHeight="1" x14ac:dyDescent="0.45">
      <c r="A14" s="433"/>
      <c r="B14" s="444" t="s">
        <v>657</v>
      </c>
      <c r="C14" s="434"/>
      <c r="D14" s="434"/>
      <c r="E14" s="434"/>
      <c r="F14" s="434"/>
      <c r="G14" s="435"/>
      <c r="H14" s="435"/>
      <c r="I14" s="435"/>
      <c r="J14" s="435"/>
      <c r="K14" s="436"/>
      <c r="L14" s="436"/>
      <c r="M14" s="436"/>
      <c r="N14" s="436"/>
      <c r="O14" s="436"/>
      <c r="P14" s="436"/>
      <c r="Q14" s="436"/>
      <c r="R14" s="437"/>
      <c r="S14" s="438"/>
      <c r="T14" s="423"/>
      <c r="U14" s="423"/>
    </row>
    <row r="15" spans="1:21" s="439" customFormat="1" ht="12.75" customHeight="1" x14ac:dyDescent="0.45">
      <c r="A15" s="433"/>
      <c r="B15" s="422" t="s">
        <v>658</v>
      </c>
      <c r="C15" s="434"/>
      <c r="D15" s="434"/>
      <c r="E15" s="434"/>
      <c r="F15" s="434"/>
      <c r="G15" s="435"/>
      <c r="H15" s="435"/>
      <c r="I15" s="435"/>
      <c r="J15" s="435"/>
      <c r="K15" s="436"/>
      <c r="L15" s="436"/>
      <c r="M15" s="436"/>
      <c r="N15" s="436"/>
      <c r="O15" s="436"/>
      <c r="P15" s="436"/>
      <c r="Q15" s="436"/>
      <c r="R15" s="437"/>
      <c r="S15" s="438"/>
      <c r="T15" s="423"/>
      <c r="U15" s="423"/>
    </row>
    <row r="16" spans="1:21" s="439" customFormat="1" ht="12.75" customHeight="1" x14ac:dyDescent="0.45">
      <c r="A16" s="433"/>
      <c r="B16" s="444" t="s">
        <v>659</v>
      </c>
      <c r="C16" s="434"/>
      <c r="D16" s="434"/>
      <c r="E16" s="434"/>
      <c r="F16" s="434"/>
      <c r="G16" s="435"/>
      <c r="H16" s="435"/>
      <c r="I16" s="435"/>
      <c r="J16" s="435"/>
      <c r="K16" s="436"/>
      <c r="L16" s="436"/>
      <c r="M16" s="436"/>
      <c r="N16" s="436"/>
      <c r="O16" s="436"/>
      <c r="P16" s="436"/>
      <c r="Q16" s="436"/>
      <c r="R16" s="437"/>
      <c r="S16" s="438"/>
      <c r="T16" s="423"/>
      <c r="U16" s="423"/>
    </row>
    <row r="17" spans="1:21" s="439" customFormat="1" ht="12.75" customHeight="1" x14ac:dyDescent="0.45">
      <c r="A17" s="433"/>
      <c r="B17" s="444" t="s">
        <v>660</v>
      </c>
      <c r="C17" s="434"/>
      <c r="D17" s="434"/>
      <c r="E17" s="434"/>
      <c r="F17" s="434"/>
      <c r="G17" s="435"/>
      <c r="H17" s="435"/>
      <c r="I17" s="435"/>
      <c r="J17" s="435"/>
      <c r="K17" s="436"/>
      <c r="L17" s="436"/>
      <c r="M17" s="436"/>
      <c r="N17" s="436"/>
      <c r="O17" s="436"/>
      <c r="P17" s="436"/>
      <c r="Q17" s="436"/>
      <c r="R17" s="437"/>
      <c r="S17" s="438"/>
      <c r="T17" s="423"/>
      <c r="U17" s="423"/>
    </row>
    <row r="18" spans="1:21" s="439" customFormat="1" ht="12.75" customHeight="1" x14ac:dyDescent="0.45">
      <c r="A18" s="433"/>
      <c r="B18" s="422"/>
      <c r="C18" s="434"/>
      <c r="D18" s="434"/>
      <c r="E18" s="434"/>
      <c r="F18" s="434"/>
      <c r="G18" s="435"/>
      <c r="H18" s="435"/>
      <c r="I18" s="435"/>
      <c r="J18" s="435"/>
      <c r="K18" s="436"/>
      <c r="L18" s="436"/>
      <c r="M18" s="436"/>
      <c r="N18" s="436"/>
      <c r="O18" s="436"/>
      <c r="P18" s="436"/>
      <c r="Q18" s="436"/>
      <c r="R18" s="437"/>
      <c r="S18" s="438"/>
      <c r="T18" s="423"/>
      <c r="U18" s="423"/>
    </row>
    <row r="19" spans="1:21" s="439" customFormat="1" ht="12.75" customHeight="1" x14ac:dyDescent="0.45">
      <c r="A19" s="433"/>
      <c r="B19" s="445"/>
      <c r="C19" s="434"/>
      <c r="D19" s="434"/>
      <c r="E19" s="434"/>
      <c r="F19" s="434"/>
      <c r="G19" s="435"/>
      <c r="H19" s="435"/>
      <c r="I19" s="435"/>
      <c r="J19" s="435"/>
      <c r="K19" s="436"/>
      <c r="L19" s="436"/>
      <c r="M19" s="436"/>
      <c r="N19" s="436"/>
      <c r="O19" s="436"/>
      <c r="P19" s="436"/>
      <c r="Q19" s="436"/>
      <c r="R19" s="437"/>
      <c r="S19" s="438"/>
      <c r="T19" s="423"/>
      <c r="U19" s="423"/>
    </row>
    <row r="20" spans="1:21" s="423" customFormat="1" ht="12.75" customHeight="1" x14ac:dyDescent="0.45">
      <c r="A20" s="440"/>
      <c r="B20" s="440" t="s">
        <v>239</v>
      </c>
      <c r="C20" s="441"/>
      <c r="D20" s="442"/>
      <c r="E20" s="442"/>
      <c r="F20" s="442"/>
      <c r="G20" s="443"/>
      <c r="H20" s="443"/>
      <c r="I20" s="443"/>
      <c r="J20" s="443"/>
      <c r="K20" s="443"/>
      <c r="L20" s="443"/>
      <c r="M20" s="443"/>
      <c r="N20" s="443"/>
      <c r="O20" s="443"/>
      <c r="P20" s="443"/>
      <c r="Q20" s="443"/>
      <c r="R20" s="446"/>
    </row>
    <row r="21" spans="1:21" s="423" customFormat="1" ht="13.15" x14ac:dyDescent="0.45">
      <c r="A21" s="424"/>
      <c r="B21" s="422"/>
      <c r="C21" s="434"/>
      <c r="D21" s="422"/>
      <c r="E21" s="422"/>
      <c r="F21" s="422"/>
      <c r="G21" s="447"/>
      <c r="H21" s="447"/>
      <c r="I21" s="447"/>
      <c r="J21" s="447"/>
      <c r="K21" s="448"/>
      <c r="L21" s="448"/>
      <c r="M21" s="448"/>
      <c r="N21" s="448"/>
      <c r="O21" s="448"/>
      <c r="P21" s="448"/>
      <c r="Q21" s="448"/>
      <c r="R21" s="446"/>
    </row>
    <row r="22" spans="1:21" s="423" customFormat="1" ht="13.15" x14ac:dyDescent="0.45">
      <c r="A22" s="424"/>
      <c r="B22" s="422" t="s">
        <v>661</v>
      </c>
      <c r="C22" s="434"/>
      <c r="D22" s="434"/>
      <c r="E22" s="434"/>
      <c r="F22" s="434"/>
      <c r="G22" s="447"/>
      <c r="H22" s="447"/>
      <c r="I22" s="447"/>
      <c r="J22" s="447"/>
      <c r="K22" s="449"/>
      <c r="L22" s="449"/>
      <c r="M22" s="449"/>
      <c r="N22" s="449"/>
      <c r="O22" s="449"/>
      <c r="P22" s="449"/>
      <c r="Q22" s="449"/>
      <c r="R22" s="422"/>
    </row>
    <row r="23" spans="1:21" s="423" customFormat="1" ht="12.75" x14ac:dyDescent="0.45">
      <c r="A23" s="424"/>
      <c r="B23" s="435"/>
      <c r="C23" s="422"/>
      <c r="D23" s="422"/>
      <c r="E23" s="422"/>
      <c r="F23" s="422"/>
      <c r="G23" s="422"/>
      <c r="H23" s="435"/>
      <c r="I23" s="422"/>
      <c r="J23" s="422"/>
      <c r="K23" s="422"/>
      <c r="L23" s="422"/>
      <c r="M23" s="422"/>
      <c r="N23" s="422"/>
      <c r="O23" s="422"/>
      <c r="P23" s="422"/>
      <c r="Q23" s="422"/>
      <c r="R23" s="422"/>
    </row>
    <row r="24" spans="1:21" s="423" customFormat="1" ht="13.15" x14ac:dyDescent="0.45">
      <c r="A24" s="424"/>
      <c r="B24" s="434" t="s">
        <v>228</v>
      </c>
      <c r="C24" s="422"/>
      <c r="D24" s="434" t="s">
        <v>237</v>
      </c>
      <c r="E24" s="434"/>
      <c r="F24" s="434"/>
      <c r="G24" s="435"/>
      <c r="H24" s="435"/>
      <c r="I24" s="435"/>
      <c r="J24" s="450"/>
      <c r="K24" s="422"/>
      <c r="L24" s="422"/>
      <c r="M24" s="422"/>
      <c r="N24" s="422"/>
      <c r="O24" s="422"/>
      <c r="P24" s="422"/>
      <c r="Q24" s="422"/>
      <c r="R24" s="422"/>
    </row>
    <row r="25" spans="1:21" s="423" customFormat="1" ht="13.15" x14ac:dyDescent="0.45">
      <c r="A25" s="424"/>
      <c r="B25" s="434" t="s">
        <v>229</v>
      </c>
      <c r="C25" s="422"/>
      <c r="D25" s="434" t="s">
        <v>236</v>
      </c>
      <c r="E25" s="434"/>
      <c r="F25" s="434"/>
      <c r="G25" s="435"/>
      <c r="H25" s="435"/>
      <c r="I25" s="435"/>
      <c r="J25" s="435"/>
      <c r="K25" s="422"/>
      <c r="L25" s="422"/>
      <c r="M25" s="422"/>
      <c r="N25" s="422"/>
      <c r="O25" s="422"/>
      <c r="P25" s="422"/>
      <c r="Q25" s="422"/>
      <c r="R25" s="422"/>
    </row>
    <row r="26" spans="1:21" s="423" customFormat="1" ht="13.15" x14ac:dyDescent="0.45">
      <c r="A26" s="424"/>
      <c r="B26" s="434" t="s">
        <v>230</v>
      </c>
      <c r="C26" s="422"/>
      <c r="D26" s="434" t="s">
        <v>367</v>
      </c>
      <c r="E26" s="434"/>
      <c r="F26" s="434"/>
      <c r="G26" s="435"/>
      <c r="H26" s="435"/>
      <c r="I26" s="435"/>
      <c r="J26" s="435"/>
      <c r="K26" s="422"/>
      <c r="L26" s="422"/>
      <c r="M26" s="422"/>
      <c r="N26" s="422"/>
      <c r="O26" s="422"/>
      <c r="P26" s="422"/>
      <c r="Q26" s="422"/>
      <c r="R26" s="422"/>
    </row>
    <row r="27" spans="1:21" s="423" customFormat="1" ht="13.15" x14ac:dyDescent="0.45">
      <c r="A27" s="424"/>
      <c r="B27" s="434" t="s">
        <v>231</v>
      </c>
      <c r="C27" s="422"/>
      <c r="D27" s="434" t="s">
        <v>238</v>
      </c>
      <c r="E27" s="434"/>
      <c r="F27" s="434"/>
      <c r="G27" s="435"/>
      <c r="H27" s="435"/>
      <c r="I27" s="435"/>
      <c r="J27" s="435"/>
      <c r="K27" s="422"/>
      <c r="L27" s="422"/>
      <c r="M27" s="422"/>
      <c r="N27" s="422"/>
      <c r="O27" s="422"/>
      <c r="P27" s="422"/>
      <c r="Q27" s="422"/>
      <c r="R27" s="422"/>
    </row>
    <row r="28" spans="1:21" s="423" customFormat="1" ht="13.15" x14ac:dyDescent="0.45">
      <c r="A28" s="424"/>
      <c r="B28" s="434" t="s">
        <v>232</v>
      </c>
      <c r="C28" s="422"/>
      <c r="D28" s="434" t="s">
        <v>368</v>
      </c>
      <c r="E28" s="434"/>
      <c r="F28" s="434"/>
      <c r="G28" s="435"/>
      <c r="H28" s="435"/>
      <c r="I28" s="435"/>
      <c r="J28" s="435"/>
      <c r="K28" s="422"/>
      <c r="L28" s="422"/>
      <c r="M28" s="422"/>
      <c r="N28" s="422"/>
      <c r="O28" s="422"/>
      <c r="P28" s="422"/>
      <c r="Q28" s="422"/>
      <c r="R28" s="422"/>
    </row>
    <row r="29" spans="1:21" s="423" customFormat="1" ht="13.15" x14ac:dyDescent="0.45">
      <c r="A29" s="424"/>
      <c r="B29" s="434" t="s">
        <v>233</v>
      </c>
      <c r="C29" s="422"/>
      <c r="D29" s="434" t="s">
        <v>442</v>
      </c>
      <c r="E29" s="434"/>
      <c r="F29" s="434"/>
      <c r="G29" s="435"/>
      <c r="H29" s="435"/>
      <c r="I29" s="435"/>
      <c r="J29" s="435"/>
      <c r="K29" s="422"/>
      <c r="L29" s="422"/>
      <c r="M29" s="422"/>
      <c r="N29" s="422"/>
      <c r="O29" s="422"/>
      <c r="P29" s="422"/>
      <c r="Q29" s="422"/>
      <c r="R29" s="422"/>
    </row>
    <row r="30" spans="1:21" s="423" customFormat="1" ht="13.15" x14ac:dyDescent="0.45">
      <c r="A30" s="424"/>
      <c r="B30" s="434" t="s">
        <v>408</v>
      </c>
      <c r="C30" s="422"/>
      <c r="D30" s="434" t="s">
        <v>585</v>
      </c>
      <c r="E30" s="434"/>
      <c r="F30" s="434"/>
      <c r="G30" s="435"/>
      <c r="H30" s="435"/>
      <c r="I30" s="435"/>
      <c r="J30" s="435"/>
      <c r="K30" s="422"/>
      <c r="L30" s="422"/>
      <c r="M30" s="422"/>
      <c r="N30" s="422"/>
      <c r="O30" s="422"/>
      <c r="P30" s="422"/>
      <c r="Q30" s="422"/>
      <c r="R30" s="422"/>
    </row>
    <row r="31" spans="1:21" s="423" customFormat="1" ht="13.15" x14ac:dyDescent="0.45">
      <c r="A31" s="424"/>
      <c r="B31" s="434" t="s">
        <v>293</v>
      </c>
      <c r="C31" s="422"/>
      <c r="D31" s="434" t="s">
        <v>586</v>
      </c>
      <c r="E31" s="434"/>
      <c r="F31" s="434"/>
      <c r="G31" s="435"/>
      <c r="H31" s="435"/>
      <c r="I31" s="435"/>
      <c r="J31" s="435"/>
      <c r="K31" s="422"/>
      <c r="L31" s="422"/>
      <c r="M31" s="422"/>
      <c r="N31" s="422"/>
      <c r="O31" s="422"/>
      <c r="P31" s="422"/>
      <c r="Q31" s="422"/>
      <c r="R31" s="422"/>
    </row>
    <row r="32" spans="1:21" s="423" customFormat="1" ht="13.15" x14ac:dyDescent="0.45">
      <c r="A32" s="424"/>
      <c r="B32" s="434" t="s">
        <v>366</v>
      </c>
      <c r="C32" s="422"/>
      <c r="D32" s="434" t="s">
        <v>587</v>
      </c>
      <c r="E32" s="434"/>
      <c r="F32" s="434"/>
      <c r="G32" s="435"/>
      <c r="H32" s="435"/>
      <c r="I32" s="435"/>
      <c r="J32" s="435"/>
      <c r="K32" s="422"/>
      <c r="L32" s="422"/>
      <c r="M32" s="422"/>
      <c r="N32" s="422"/>
      <c r="O32" s="422"/>
      <c r="P32" s="422"/>
      <c r="Q32" s="422"/>
      <c r="R32" s="422"/>
    </row>
    <row r="33" spans="1:18" s="423" customFormat="1" ht="13.15" x14ac:dyDescent="0.45">
      <c r="A33" s="424"/>
      <c r="B33" s="434" t="s">
        <v>582</v>
      </c>
      <c r="C33" s="422"/>
      <c r="D33" s="434" t="s">
        <v>588</v>
      </c>
      <c r="E33" s="434"/>
      <c r="F33" s="434"/>
      <c r="G33" s="435"/>
      <c r="H33" s="435"/>
      <c r="I33" s="435"/>
      <c r="J33" s="435"/>
      <c r="K33" s="422"/>
      <c r="L33" s="422"/>
      <c r="M33" s="422"/>
      <c r="N33" s="422"/>
      <c r="O33" s="422"/>
      <c r="P33" s="422"/>
      <c r="Q33" s="422"/>
      <c r="R33" s="422"/>
    </row>
    <row r="34" spans="1:18" s="423" customFormat="1" ht="13.15" x14ac:dyDescent="0.45">
      <c r="A34" s="424"/>
      <c r="B34" s="434" t="s">
        <v>583</v>
      </c>
      <c r="C34" s="422"/>
      <c r="D34" s="434" t="s">
        <v>581</v>
      </c>
      <c r="E34" s="434"/>
      <c r="F34" s="434"/>
      <c r="G34" s="435"/>
      <c r="H34" s="435"/>
      <c r="I34" s="435"/>
      <c r="J34" s="435"/>
      <c r="K34" s="422"/>
      <c r="L34" s="422"/>
      <c r="M34" s="422"/>
      <c r="N34" s="422"/>
      <c r="O34" s="422"/>
      <c r="P34" s="422"/>
      <c r="Q34" s="422"/>
      <c r="R34" s="422"/>
    </row>
    <row r="35" spans="1:18" s="423" customFormat="1" ht="13.15" x14ac:dyDescent="0.45">
      <c r="A35" s="424"/>
      <c r="B35" s="434"/>
      <c r="C35" s="422"/>
      <c r="D35" s="422"/>
      <c r="E35" s="434"/>
      <c r="F35" s="434"/>
      <c r="G35" s="435"/>
      <c r="H35" s="435"/>
      <c r="I35" s="435"/>
      <c r="J35" s="435"/>
      <c r="K35" s="422"/>
      <c r="L35" s="422"/>
      <c r="M35" s="422"/>
      <c r="N35" s="422"/>
      <c r="O35" s="422"/>
      <c r="P35" s="422"/>
      <c r="Q35" s="422"/>
      <c r="R35" s="422"/>
    </row>
    <row r="36" spans="1:18" s="423" customFormat="1" ht="13.15" x14ac:dyDescent="0.45">
      <c r="A36" s="440"/>
      <c r="B36" s="440" t="s">
        <v>240</v>
      </c>
      <c r="C36" s="441"/>
      <c r="D36" s="442"/>
      <c r="E36" s="442"/>
      <c r="F36" s="442"/>
      <c r="G36" s="443"/>
      <c r="H36" s="443"/>
      <c r="I36" s="443"/>
      <c r="J36" s="443"/>
      <c r="K36" s="443"/>
      <c r="L36" s="443"/>
      <c r="M36" s="443"/>
      <c r="N36" s="443"/>
      <c r="O36" s="443"/>
      <c r="P36" s="443"/>
      <c r="Q36" s="443"/>
      <c r="R36" s="422"/>
    </row>
    <row r="37" spans="1:18" s="423" customFormat="1" ht="12.75" x14ac:dyDescent="0.45">
      <c r="A37" s="424"/>
      <c r="B37" s="422"/>
      <c r="C37" s="422"/>
      <c r="D37" s="422"/>
      <c r="E37" s="422"/>
      <c r="F37" s="422"/>
      <c r="G37" s="435"/>
      <c r="H37" s="435"/>
      <c r="I37" s="435"/>
      <c r="J37" s="435"/>
      <c r="K37" s="446"/>
      <c r="L37" s="446"/>
      <c r="M37" s="446"/>
      <c r="N37" s="446"/>
      <c r="O37" s="446"/>
      <c r="P37" s="446"/>
      <c r="Q37" s="446"/>
      <c r="R37" s="422"/>
    </row>
    <row r="38" spans="1:18" s="423" customFormat="1" ht="12.75" x14ac:dyDescent="0.45">
      <c r="A38" s="424"/>
      <c r="B38" s="422" t="s">
        <v>288</v>
      </c>
      <c r="C38" s="422"/>
      <c r="D38" s="422"/>
      <c r="E38" s="422"/>
      <c r="F38" s="422"/>
      <c r="G38" s="435"/>
      <c r="H38" s="435"/>
      <c r="I38" s="435"/>
      <c r="J38" s="435"/>
      <c r="K38" s="446"/>
      <c r="L38" s="446"/>
      <c r="M38" s="446"/>
      <c r="N38" s="446"/>
      <c r="O38" s="446"/>
      <c r="P38" s="446"/>
      <c r="Q38" s="446"/>
      <c r="R38" s="422"/>
    </row>
    <row r="39" spans="1:18" s="423" customFormat="1" ht="12.75" x14ac:dyDescent="0.45">
      <c r="A39" s="424"/>
      <c r="B39" s="422"/>
      <c r="C39" s="422"/>
      <c r="D39" s="422"/>
      <c r="E39" s="422"/>
      <c r="F39" s="422"/>
      <c r="G39" s="435"/>
      <c r="H39" s="435"/>
      <c r="I39" s="435"/>
      <c r="J39" s="435"/>
      <c r="K39" s="446"/>
      <c r="L39" s="446"/>
      <c r="M39" s="446"/>
      <c r="N39" s="446"/>
      <c r="O39" s="446"/>
      <c r="P39" s="446"/>
      <c r="Q39" s="446"/>
      <c r="R39" s="422"/>
    </row>
    <row r="40" spans="1:18" s="423" customFormat="1" ht="13.15" x14ac:dyDescent="0.45">
      <c r="A40" s="424"/>
      <c r="B40" s="434" t="s">
        <v>267</v>
      </c>
      <c r="C40" s="422"/>
      <c r="D40" s="422"/>
      <c r="E40" s="422"/>
      <c r="F40" s="422"/>
      <c r="G40" s="435"/>
      <c r="H40" s="435"/>
      <c r="I40" s="435"/>
      <c r="J40" s="435"/>
      <c r="K40" s="446"/>
      <c r="L40" s="446"/>
      <c r="M40" s="446"/>
      <c r="N40" s="446"/>
      <c r="O40" s="446"/>
      <c r="P40" s="446"/>
      <c r="Q40" s="446"/>
      <c r="R40" s="422"/>
    </row>
    <row r="41" spans="1:18" s="423" customFormat="1" ht="12.75" x14ac:dyDescent="0.45">
      <c r="A41" s="424"/>
      <c r="B41" s="444" t="s">
        <v>662</v>
      </c>
      <c r="C41" s="422"/>
      <c r="D41" s="422"/>
      <c r="E41" s="422"/>
      <c r="F41" s="422"/>
      <c r="G41" s="435"/>
      <c r="H41" s="435"/>
      <c r="I41" s="435"/>
      <c r="J41" s="435"/>
      <c r="K41" s="446"/>
      <c r="L41" s="446"/>
      <c r="M41" s="446"/>
      <c r="N41" s="446"/>
      <c r="O41" s="446"/>
      <c r="P41" s="446"/>
      <c r="Q41" s="446"/>
      <c r="R41" s="422"/>
    </row>
    <row r="42" spans="1:18" s="423" customFormat="1" ht="13.15" x14ac:dyDescent="0.45">
      <c r="A42" s="424"/>
      <c r="B42" s="422" t="s">
        <v>297</v>
      </c>
      <c r="C42" s="422"/>
      <c r="D42" s="422"/>
      <c r="E42" s="422"/>
      <c r="F42" s="422"/>
      <c r="G42" s="435"/>
      <c r="H42" s="435"/>
      <c r="I42" s="435"/>
      <c r="J42" s="435"/>
      <c r="K42" s="446"/>
      <c r="L42" s="446"/>
      <c r="M42" s="1513">
        <v>0</v>
      </c>
      <c r="N42" s="446"/>
      <c r="O42" s="446"/>
      <c r="P42" s="422"/>
      <c r="Q42" s="446"/>
      <c r="R42" s="422"/>
    </row>
    <row r="43" spans="1:18" s="423" customFormat="1" ht="12.75" x14ac:dyDescent="0.45">
      <c r="A43" s="424"/>
      <c r="B43" s="422"/>
      <c r="C43" s="422"/>
      <c r="D43" s="422"/>
      <c r="E43" s="422"/>
      <c r="F43" s="422"/>
      <c r="G43" s="435"/>
      <c r="H43" s="435"/>
      <c r="I43" s="435"/>
      <c r="J43" s="435"/>
      <c r="K43" s="446"/>
      <c r="L43" s="446"/>
      <c r="M43" s="1514"/>
      <c r="N43" s="446"/>
      <c r="O43" s="446"/>
      <c r="P43" s="422"/>
      <c r="Q43" s="446"/>
      <c r="R43" s="422"/>
    </row>
    <row r="44" spans="1:18" s="423" customFormat="1" ht="13.15" x14ac:dyDescent="0.45">
      <c r="A44" s="424"/>
      <c r="B44" s="434" t="s">
        <v>268</v>
      </c>
      <c r="C44" s="422"/>
      <c r="D44" s="422"/>
      <c r="E44" s="422"/>
      <c r="F44" s="422"/>
      <c r="G44" s="435"/>
      <c r="H44" s="435"/>
      <c r="I44" s="435"/>
      <c r="J44" s="435"/>
      <c r="K44" s="446"/>
      <c r="L44" s="446"/>
      <c r="M44" s="446"/>
      <c r="N44" s="446"/>
      <c r="O44" s="446"/>
      <c r="P44" s="446"/>
      <c r="Q44" s="446"/>
      <c r="R44" s="422"/>
    </row>
    <row r="45" spans="1:18" s="423" customFormat="1" ht="12.75" x14ac:dyDescent="0.45">
      <c r="A45" s="424"/>
      <c r="B45" s="422" t="s">
        <v>242</v>
      </c>
      <c r="C45" s="422"/>
      <c r="D45" s="422"/>
      <c r="E45" s="422"/>
      <c r="F45" s="422"/>
      <c r="G45" s="435"/>
      <c r="H45" s="435"/>
      <c r="I45" s="435"/>
      <c r="J45" s="435"/>
      <c r="K45" s="446"/>
      <c r="L45" s="446"/>
      <c r="M45" s="446"/>
      <c r="N45" s="446"/>
      <c r="O45" s="446"/>
      <c r="P45" s="446"/>
      <c r="Q45" s="446"/>
      <c r="R45" s="422"/>
    </row>
    <row r="46" spans="1:18" s="423" customFormat="1" ht="13.15" x14ac:dyDescent="0.45">
      <c r="A46" s="424"/>
      <c r="B46" s="422" t="s">
        <v>294</v>
      </c>
      <c r="C46" s="422"/>
      <c r="D46" s="422"/>
      <c r="E46" s="422"/>
      <c r="F46" s="422"/>
      <c r="G46" s="435"/>
      <c r="H46" s="435"/>
      <c r="I46" s="435"/>
      <c r="J46" s="435"/>
      <c r="K46" s="446"/>
      <c r="L46" s="446"/>
      <c r="M46" s="446"/>
      <c r="N46" s="446"/>
      <c r="O46" s="446"/>
      <c r="P46" s="446"/>
      <c r="Q46" s="446"/>
      <c r="R46" s="422"/>
    </row>
    <row r="47" spans="1:18" s="423" customFormat="1" ht="12.75" x14ac:dyDescent="0.45">
      <c r="A47" s="424"/>
      <c r="B47" s="422"/>
      <c r="C47" s="422"/>
      <c r="D47" s="422"/>
      <c r="E47" s="422"/>
      <c r="F47" s="422"/>
      <c r="G47" s="435"/>
      <c r="H47" s="435"/>
      <c r="I47" s="435"/>
      <c r="J47" s="435"/>
      <c r="K47" s="451"/>
      <c r="L47" s="451"/>
      <c r="M47" s="451"/>
      <c r="N47" s="451"/>
      <c r="O47" s="451"/>
      <c r="P47" s="451"/>
      <c r="Q47" s="451"/>
      <c r="R47" s="422"/>
    </row>
    <row r="48" spans="1:18" s="423" customFormat="1" ht="13.15" x14ac:dyDescent="0.45">
      <c r="A48" s="424"/>
      <c r="B48" s="434" t="s">
        <v>663</v>
      </c>
      <c r="C48" s="422"/>
      <c r="D48" s="422"/>
      <c r="E48" s="422"/>
      <c r="F48" s="422"/>
      <c r="G48" s="435"/>
      <c r="H48" s="435"/>
      <c r="I48" s="435"/>
      <c r="J48" s="435"/>
      <c r="K48" s="451"/>
      <c r="L48" s="451"/>
      <c r="M48" s="451"/>
      <c r="N48" s="451"/>
      <c r="O48" s="451"/>
      <c r="P48" s="451"/>
      <c r="Q48" s="451"/>
      <c r="R48" s="422"/>
    </row>
    <row r="49" spans="1:18" s="423" customFormat="1" ht="12.75" x14ac:dyDescent="0.45">
      <c r="A49" s="424"/>
      <c r="B49" s="422" t="s">
        <v>664</v>
      </c>
      <c r="C49" s="422"/>
      <c r="D49" s="422"/>
      <c r="E49" s="422"/>
      <c r="F49" s="422"/>
      <c r="G49" s="435"/>
      <c r="H49" s="435"/>
      <c r="I49" s="435"/>
      <c r="J49" s="435"/>
      <c r="K49" s="451"/>
      <c r="L49" s="451"/>
      <c r="M49" s="452" t="s">
        <v>665</v>
      </c>
      <c r="N49" s="451"/>
      <c r="O49" s="451"/>
      <c r="P49" s="451"/>
      <c r="Q49" s="451"/>
      <c r="R49" s="422"/>
    </row>
    <row r="50" spans="1:18" s="423" customFormat="1" ht="12.75" x14ac:dyDescent="0.45">
      <c r="A50" s="424"/>
      <c r="B50" s="422" t="s">
        <v>666</v>
      </c>
      <c r="C50" s="422"/>
      <c r="D50" s="422"/>
      <c r="E50" s="422"/>
      <c r="F50" s="422"/>
      <c r="G50" s="435"/>
      <c r="H50" s="435"/>
      <c r="I50" s="435"/>
      <c r="J50" s="435"/>
      <c r="K50" s="451"/>
      <c r="L50" s="451"/>
      <c r="M50" s="451"/>
      <c r="N50" s="451"/>
      <c r="O50" s="451"/>
      <c r="P50" s="451"/>
      <c r="Q50" s="451"/>
      <c r="R50" s="422"/>
    </row>
    <row r="51" spans="1:18" s="423" customFormat="1" ht="12.75" x14ac:dyDescent="0.45">
      <c r="A51" s="424"/>
      <c r="B51" s="422"/>
      <c r="C51" s="422"/>
      <c r="D51" s="422"/>
      <c r="E51" s="422"/>
      <c r="F51" s="422"/>
      <c r="G51" s="435"/>
      <c r="H51" s="435"/>
      <c r="I51" s="435"/>
      <c r="J51" s="435"/>
      <c r="K51" s="451"/>
      <c r="L51" s="451"/>
      <c r="M51" s="451"/>
      <c r="N51" s="451"/>
      <c r="O51" s="451"/>
      <c r="P51" s="451"/>
      <c r="Q51" s="451"/>
      <c r="R51" s="422"/>
    </row>
    <row r="52" spans="1:18" s="423" customFormat="1" ht="13.15" x14ac:dyDescent="0.45">
      <c r="A52" s="424"/>
      <c r="B52" s="434" t="s">
        <v>269</v>
      </c>
      <c r="C52" s="422"/>
      <c r="D52" s="422"/>
      <c r="E52" s="422"/>
      <c r="F52" s="422"/>
      <c r="G52" s="435"/>
      <c r="H52" s="435"/>
      <c r="I52" s="435"/>
      <c r="J52" s="435"/>
      <c r="K52" s="451"/>
      <c r="L52" s="451"/>
      <c r="M52" s="451"/>
      <c r="N52" s="451"/>
      <c r="O52" s="451"/>
      <c r="P52" s="451"/>
      <c r="Q52" s="451"/>
      <c r="R52" s="422"/>
    </row>
    <row r="53" spans="1:18" s="423" customFormat="1" ht="12.75" x14ac:dyDescent="0.45">
      <c r="A53" s="424"/>
      <c r="B53" s="422" t="s">
        <v>298</v>
      </c>
      <c r="C53" s="422"/>
      <c r="D53" s="422"/>
      <c r="E53" s="422"/>
      <c r="F53" s="422"/>
      <c r="G53" s="435"/>
      <c r="H53" s="435"/>
      <c r="I53" s="435"/>
      <c r="J53" s="435"/>
      <c r="K53" s="453"/>
      <c r="L53" s="453"/>
      <c r="M53" s="453"/>
      <c r="N53" s="453"/>
      <c r="O53" s="453"/>
      <c r="P53" s="453"/>
      <c r="Q53" s="453"/>
      <c r="R53" s="422"/>
    </row>
    <row r="54" spans="1:18" s="423" customFormat="1" ht="12.75" x14ac:dyDescent="0.45">
      <c r="A54" s="424"/>
      <c r="B54" s="422"/>
      <c r="C54" s="422"/>
      <c r="D54" s="422"/>
      <c r="E54" s="422"/>
      <c r="F54" s="422"/>
      <c r="G54" s="435"/>
      <c r="H54" s="435"/>
      <c r="I54" s="435"/>
      <c r="J54" s="435"/>
      <c r="K54" s="453"/>
      <c r="L54" s="453"/>
      <c r="M54" s="453"/>
      <c r="N54" s="453"/>
      <c r="O54" s="453"/>
      <c r="P54" s="453"/>
      <c r="Q54" s="453"/>
      <c r="R54" s="422"/>
    </row>
    <row r="55" spans="1:18" s="423" customFormat="1" ht="13.15" x14ac:dyDescent="0.45">
      <c r="A55" s="424"/>
      <c r="B55" s="434" t="s">
        <v>270</v>
      </c>
      <c r="C55" s="422"/>
      <c r="D55" s="422"/>
      <c r="E55" s="422"/>
      <c r="F55" s="422"/>
      <c r="G55" s="435"/>
      <c r="H55" s="435"/>
      <c r="I55" s="435"/>
      <c r="J55" s="435"/>
      <c r="K55" s="453"/>
      <c r="L55" s="453"/>
      <c r="M55" s="453"/>
      <c r="N55" s="453"/>
      <c r="O55" s="453"/>
      <c r="P55" s="453"/>
      <c r="Q55" s="453"/>
      <c r="R55" s="422"/>
    </row>
    <row r="56" spans="1:18" s="423" customFormat="1" ht="12.75" x14ac:dyDescent="0.45">
      <c r="A56" s="424"/>
      <c r="B56" s="422" t="s">
        <v>299</v>
      </c>
      <c r="C56" s="422"/>
      <c r="D56" s="422"/>
      <c r="E56" s="422"/>
      <c r="F56" s="422"/>
      <c r="G56" s="435"/>
      <c r="H56" s="435"/>
      <c r="I56" s="435"/>
      <c r="J56" s="435"/>
      <c r="K56" s="453"/>
      <c r="L56" s="453"/>
      <c r="M56" s="453"/>
      <c r="N56" s="453"/>
      <c r="O56" s="453"/>
      <c r="P56" s="453"/>
      <c r="Q56" s="453"/>
      <c r="R56" s="422"/>
    </row>
    <row r="57" spans="1:18" s="423" customFormat="1" ht="12.75" x14ac:dyDescent="0.45">
      <c r="A57" s="424"/>
      <c r="B57" s="422" t="s">
        <v>286</v>
      </c>
      <c r="C57" s="422"/>
      <c r="D57" s="422"/>
      <c r="E57" s="422"/>
      <c r="F57" s="422"/>
      <c r="G57" s="435"/>
      <c r="H57" s="435"/>
      <c r="I57" s="435"/>
      <c r="J57" s="435"/>
      <c r="K57" s="453"/>
      <c r="L57" s="453"/>
      <c r="M57" s="453"/>
      <c r="N57" s="453"/>
      <c r="O57" s="453"/>
      <c r="P57" s="453"/>
      <c r="Q57" s="453"/>
      <c r="R57" s="422"/>
    </row>
    <row r="58" spans="1:18" s="423" customFormat="1" ht="12.75" x14ac:dyDescent="0.45">
      <c r="A58" s="424"/>
      <c r="B58" s="422" t="s">
        <v>287</v>
      </c>
      <c r="C58" s="422"/>
      <c r="D58" s="422"/>
      <c r="E58" s="422"/>
      <c r="F58" s="422"/>
      <c r="G58" s="435"/>
      <c r="H58" s="435"/>
      <c r="I58" s="435"/>
      <c r="J58" s="435"/>
      <c r="K58" s="453"/>
      <c r="L58" s="453"/>
      <c r="M58" s="453"/>
      <c r="N58" s="453"/>
      <c r="O58" s="453"/>
      <c r="P58" s="453"/>
      <c r="Q58" s="453"/>
      <c r="R58" s="422"/>
    </row>
    <row r="59" spans="1:18" s="423" customFormat="1" ht="12.75" x14ac:dyDescent="0.45">
      <c r="A59" s="424"/>
      <c r="B59" s="422"/>
      <c r="C59" s="422"/>
      <c r="D59" s="422"/>
      <c r="E59" s="422"/>
      <c r="F59" s="422"/>
      <c r="G59" s="435"/>
      <c r="H59" s="435"/>
      <c r="I59" s="435"/>
      <c r="J59" s="435"/>
      <c r="K59" s="453"/>
      <c r="L59" s="453"/>
      <c r="M59" s="453"/>
      <c r="N59" s="453"/>
      <c r="O59" s="453"/>
      <c r="P59" s="453"/>
      <c r="Q59" s="453"/>
      <c r="R59" s="422"/>
    </row>
    <row r="60" spans="1:18" s="423" customFormat="1" ht="13.15" x14ac:dyDescent="0.45">
      <c r="A60" s="440"/>
      <c r="B60" s="440" t="s">
        <v>241</v>
      </c>
      <c r="C60" s="441"/>
      <c r="D60" s="442"/>
      <c r="E60" s="442"/>
      <c r="F60" s="442"/>
      <c r="G60" s="443"/>
      <c r="H60" s="443"/>
      <c r="I60" s="443"/>
      <c r="J60" s="443"/>
      <c r="K60" s="443"/>
      <c r="L60" s="443"/>
      <c r="M60" s="443"/>
      <c r="N60" s="443"/>
      <c r="O60" s="443"/>
      <c r="P60" s="443"/>
      <c r="Q60" s="443"/>
      <c r="R60" s="422"/>
    </row>
    <row r="61" spans="1:18" s="423" customFormat="1" ht="12.75" x14ac:dyDescent="0.45">
      <c r="A61" s="424"/>
      <c r="B61" s="422"/>
      <c r="C61" s="422"/>
      <c r="D61" s="422"/>
      <c r="E61" s="422"/>
      <c r="F61" s="422"/>
      <c r="G61" s="435"/>
      <c r="H61" s="435"/>
      <c r="I61" s="435"/>
      <c r="J61" s="435"/>
      <c r="K61" s="453"/>
      <c r="L61" s="453"/>
      <c r="M61" s="453"/>
      <c r="N61" s="453"/>
      <c r="O61" s="453"/>
      <c r="P61" s="453"/>
      <c r="Q61" s="453"/>
      <c r="R61" s="422"/>
    </row>
    <row r="62" spans="1:18" s="423" customFormat="1" ht="12.75" x14ac:dyDescent="0.45">
      <c r="A62" s="424"/>
      <c r="B62" s="422" t="s">
        <v>243</v>
      </c>
      <c r="C62" s="422"/>
      <c r="D62" s="422"/>
      <c r="E62" s="422"/>
      <c r="F62" s="422"/>
      <c r="G62" s="435"/>
      <c r="H62" s="435"/>
      <c r="I62" s="435"/>
      <c r="J62" s="435"/>
      <c r="K62" s="422"/>
      <c r="L62" s="422"/>
      <c r="M62" s="422"/>
      <c r="N62" s="422"/>
      <c r="O62" s="422"/>
      <c r="P62" s="422"/>
      <c r="Q62" s="422"/>
      <c r="R62" s="422"/>
    </row>
    <row r="63" spans="1:18" s="423" customFormat="1" ht="12.75" x14ac:dyDescent="0.45">
      <c r="A63" s="424"/>
      <c r="B63" s="422" t="s">
        <v>244</v>
      </c>
      <c r="C63" s="454"/>
      <c r="D63" s="454"/>
      <c r="E63" s="454"/>
      <c r="F63" s="454"/>
      <c r="G63" s="455"/>
      <c r="H63" s="455"/>
      <c r="I63" s="455"/>
      <c r="J63" s="455"/>
      <c r="K63" s="455"/>
      <c r="L63" s="455"/>
      <c r="M63" s="455"/>
      <c r="N63" s="455"/>
      <c r="O63" s="455"/>
      <c r="P63" s="455"/>
      <c r="Q63" s="455"/>
      <c r="R63" s="454"/>
    </row>
    <row r="64" spans="1:18" s="423" customFormat="1" ht="12.75" x14ac:dyDescent="0.45">
      <c r="A64" s="424"/>
      <c r="B64" s="422"/>
      <c r="C64" s="422"/>
      <c r="D64" s="422"/>
      <c r="E64" s="422"/>
      <c r="F64" s="422"/>
      <c r="G64" s="435"/>
      <c r="H64" s="435"/>
      <c r="I64" s="435"/>
      <c r="J64" s="435"/>
      <c r="K64" s="422"/>
      <c r="L64" s="422"/>
      <c r="M64" s="422"/>
      <c r="N64" s="422"/>
      <c r="O64" s="422"/>
      <c r="P64" s="422"/>
      <c r="Q64" s="422"/>
      <c r="R64" s="422"/>
    </row>
    <row r="65" ht="12.75" hidden="1" customHeight="1" x14ac:dyDescent="0.45"/>
    <row r="66" ht="12.75" hidden="1" customHeight="1" x14ac:dyDescent="0.45"/>
    <row r="67" ht="12.75" hidden="1" customHeight="1" x14ac:dyDescent="0.45"/>
    <row r="68" ht="12.75" hidden="1" customHeight="1" x14ac:dyDescent="0.45"/>
    <row r="69" ht="12.75" hidden="1" customHeight="1" x14ac:dyDescent="0.45"/>
    <row r="70" ht="12.75" hidden="1" customHeight="1" x14ac:dyDescent="0.45"/>
    <row r="71" ht="12.75" hidden="1" customHeight="1" x14ac:dyDescent="0.45"/>
    <row r="72" ht="12.75" hidden="1" customHeight="1" x14ac:dyDescent="0.45"/>
    <row r="73" ht="12.75" hidden="1" customHeight="1" x14ac:dyDescent="0.45"/>
    <row r="74" ht="12.75" hidden="1" customHeight="1" x14ac:dyDescent="0.45"/>
    <row r="75" ht="12.75" hidden="1" customHeight="1" x14ac:dyDescent="0.45"/>
    <row r="76" ht="12.75" hidden="1" customHeight="1" x14ac:dyDescent="0.45"/>
    <row r="77" ht="12.75" hidden="1" customHeight="1" x14ac:dyDescent="0.45"/>
    <row r="78" ht="12.75" hidden="1" customHeight="1" x14ac:dyDescent="0.45"/>
    <row r="79" ht="12.75" hidden="1" customHeight="1" x14ac:dyDescent="0.45"/>
    <row r="80" ht="12.75" hidden="1" customHeight="1" x14ac:dyDescent="0.45"/>
    <row r="81" ht="12.75" hidden="1" customHeight="1" x14ac:dyDescent="0.45"/>
    <row r="82" ht="12.75" hidden="1" customHeight="1" x14ac:dyDescent="0.45"/>
    <row r="83" ht="12.75" hidden="1" customHeight="1" x14ac:dyDescent="0.45"/>
    <row r="84" ht="12.75" hidden="1" customHeight="1" x14ac:dyDescent="0.45"/>
    <row r="85" ht="12.75" hidden="1" customHeight="1" x14ac:dyDescent="0.45"/>
    <row r="86" ht="12.75" hidden="1" customHeight="1" x14ac:dyDescent="0.45"/>
    <row r="87" ht="12.75" hidden="1" customHeight="1" x14ac:dyDescent="0.45"/>
    <row r="88" ht="12.75" hidden="1" customHeight="1" x14ac:dyDescent="0.45"/>
    <row r="89" ht="12.75" hidden="1" customHeight="1" x14ac:dyDescent="0.45"/>
    <row r="90" ht="12.75" hidden="1" customHeight="1" x14ac:dyDescent="0.45"/>
    <row r="91" ht="12.75" hidden="1" customHeight="1" x14ac:dyDescent="0.45"/>
    <row r="92" ht="12.75" hidden="1" customHeight="1" x14ac:dyDescent="0.45"/>
    <row r="93" ht="12.75" hidden="1" customHeight="1" x14ac:dyDescent="0.45"/>
    <row r="94" ht="12.75" hidden="1" customHeight="1" x14ac:dyDescent="0.45"/>
    <row r="95" ht="12.75" hidden="1" customHeight="1" x14ac:dyDescent="0.45"/>
    <row r="96" ht="12.75" hidden="1" customHeight="1" x14ac:dyDescent="0.45"/>
    <row r="97" ht="12.75" hidden="1" customHeight="1" x14ac:dyDescent="0.45"/>
    <row r="98" ht="12.75" hidden="1" customHeight="1" x14ac:dyDescent="0.45"/>
    <row r="99" ht="12.75" hidden="1" customHeight="1" x14ac:dyDescent="0.45"/>
    <row r="100" ht="12.75" hidden="1" customHeight="1" x14ac:dyDescent="0.45"/>
    <row r="101" ht="12.75" hidden="1" customHeight="1" x14ac:dyDescent="0.45"/>
    <row r="102" ht="12.75" hidden="1" customHeight="1" x14ac:dyDescent="0.45"/>
    <row r="103" ht="12.75" hidden="1" customHeight="1" x14ac:dyDescent="0.45"/>
    <row r="104" ht="12.75" hidden="1" customHeight="1" x14ac:dyDescent="0.45"/>
    <row r="105" ht="12.75" hidden="1" customHeight="1" x14ac:dyDescent="0.45"/>
    <row r="106" ht="12.75" hidden="1" customHeight="1" x14ac:dyDescent="0.45"/>
    <row r="107" ht="12.75" hidden="1" customHeight="1" x14ac:dyDescent="0.45"/>
    <row r="108" ht="12.75" hidden="1" customHeight="1" x14ac:dyDescent="0.45"/>
    <row r="109" ht="12.75" hidden="1" customHeight="1" x14ac:dyDescent="0.45"/>
    <row r="110" ht="12.75" hidden="1" customHeight="1" x14ac:dyDescent="0.45"/>
    <row r="111" ht="12.75" hidden="1" customHeight="1" x14ac:dyDescent="0.45"/>
    <row r="112" ht="12.75" hidden="1" customHeight="1" x14ac:dyDescent="0.45"/>
    <row r="113" ht="12.75" hidden="1" customHeight="1" x14ac:dyDescent="0.45"/>
    <row r="114" ht="12.75" hidden="1" customHeight="1" x14ac:dyDescent="0.45"/>
    <row r="115" ht="12.75" hidden="1" customHeight="1" x14ac:dyDescent="0.45"/>
    <row r="116" ht="12.75" hidden="1" customHeight="1" x14ac:dyDescent="0.45"/>
    <row r="117" ht="12.75" hidden="1" customHeight="1" x14ac:dyDescent="0.45"/>
    <row r="118" ht="12.75" hidden="1" customHeight="1" x14ac:dyDescent="0.45"/>
    <row r="119" ht="12.75" hidden="1" customHeight="1" x14ac:dyDescent="0.45"/>
    <row r="120" ht="12.75" hidden="1" customHeight="1" x14ac:dyDescent="0.45"/>
    <row r="121" ht="12.75" hidden="1" customHeight="1" x14ac:dyDescent="0.45"/>
    <row r="122" ht="12.75" hidden="1" customHeight="1" x14ac:dyDescent="0.45"/>
    <row r="123" ht="12.75" hidden="1" customHeight="1" x14ac:dyDescent="0.45"/>
    <row r="124" ht="12.75" hidden="1" customHeight="1" x14ac:dyDescent="0.45"/>
    <row r="125" ht="12.75" hidden="1" customHeight="1" x14ac:dyDescent="0.45"/>
    <row r="126" ht="12.75" hidden="1" customHeight="1" x14ac:dyDescent="0.45"/>
    <row r="127" ht="12.75" hidden="1" customHeight="1" x14ac:dyDescent="0.45"/>
    <row r="128" ht="12.75" hidden="1" customHeight="1" x14ac:dyDescent="0.45"/>
    <row r="129" ht="12.75" hidden="1" customHeight="1" x14ac:dyDescent="0.45"/>
    <row r="130" ht="12.75" hidden="1" customHeight="1" x14ac:dyDescent="0.45"/>
    <row r="131" ht="12.75" hidden="1" customHeight="1" x14ac:dyDescent="0.45"/>
    <row r="132" ht="12.75" hidden="1" customHeight="1" x14ac:dyDescent="0.45"/>
    <row r="133" ht="12.75" hidden="1" customHeight="1" x14ac:dyDescent="0.45"/>
    <row r="134" ht="12.75" hidden="1" customHeight="1" x14ac:dyDescent="0.45"/>
    <row r="135" ht="12.75" hidden="1" customHeight="1" x14ac:dyDescent="0.45"/>
    <row r="136" ht="12.75" hidden="1" customHeight="1" x14ac:dyDescent="0.45"/>
    <row r="137" ht="12.75" hidden="1" customHeight="1" x14ac:dyDescent="0.45"/>
    <row r="138" ht="12.75" hidden="1" customHeight="1" x14ac:dyDescent="0.45"/>
    <row r="139" ht="12.75" hidden="1" customHeight="1" x14ac:dyDescent="0.45"/>
    <row r="140" ht="12.75" hidden="1" customHeight="1" x14ac:dyDescent="0.45"/>
    <row r="141" ht="12.75" hidden="1" customHeight="1" x14ac:dyDescent="0.45"/>
    <row r="142" ht="12.75" hidden="1" customHeight="1" x14ac:dyDescent="0.45"/>
    <row r="143" ht="12.75" hidden="1" customHeight="1" x14ac:dyDescent="0.45"/>
    <row r="144" ht="12.75" hidden="1" customHeight="1" x14ac:dyDescent="0.45"/>
    <row r="145" ht="12.75" hidden="1" customHeight="1" x14ac:dyDescent="0.45"/>
    <row r="146" ht="12.75" hidden="1" customHeight="1" x14ac:dyDescent="0.45"/>
    <row r="147" ht="12.75" hidden="1" customHeight="1" x14ac:dyDescent="0.45"/>
    <row r="148" ht="12.75" hidden="1" customHeight="1" x14ac:dyDescent="0.45"/>
    <row r="149" ht="12.75" hidden="1" customHeight="1" x14ac:dyDescent="0.45"/>
    <row r="150" ht="12.75" hidden="1" customHeight="1" x14ac:dyDescent="0.45"/>
    <row r="151" ht="12.75" hidden="1" customHeight="1" x14ac:dyDescent="0.45"/>
    <row r="152" ht="12.75" hidden="1" customHeight="1" x14ac:dyDescent="0.45"/>
    <row r="153" ht="12.75" hidden="1" customHeight="1" x14ac:dyDescent="0.45"/>
    <row r="154" ht="12.75" hidden="1" customHeight="1" x14ac:dyDescent="0.45"/>
    <row r="155" ht="12.75" hidden="1" customHeight="1" x14ac:dyDescent="0.45"/>
    <row r="156" ht="12.75" hidden="1" customHeight="1" x14ac:dyDescent="0.45"/>
    <row r="157" ht="12.75" hidden="1" customHeight="1" x14ac:dyDescent="0.45"/>
    <row r="158" ht="12.75" hidden="1" customHeight="1" x14ac:dyDescent="0.45"/>
    <row r="159" ht="12.75" hidden="1" customHeight="1" x14ac:dyDescent="0.45"/>
    <row r="160" ht="12.75" hidden="1" customHeight="1" x14ac:dyDescent="0.45"/>
    <row r="161" ht="12.75" hidden="1" customHeight="1" x14ac:dyDescent="0.45"/>
    <row r="162" ht="12.75" hidden="1" customHeight="1" x14ac:dyDescent="0.45"/>
    <row r="163" ht="12.75" hidden="1" customHeight="1" x14ac:dyDescent="0.45"/>
    <row r="164" ht="12.75" hidden="1" customHeight="1" x14ac:dyDescent="0.45"/>
    <row r="165" ht="12.75" hidden="1" customHeight="1" x14ac:dyDescent="0.45"/>
    <row r="166" ht="12.75" hidden="1" customHeight="1" x14ac:dyDescent="0.45"/>
    <row r="167" ht="12.75" hidden="1" customHeight="1" x14ac:dyDescent="0.45"/>
    <row r="168" ht="12.75" hidden="1" customHeight="1" x14ac:dyDescent="0.45"/>
    <row r="169" ht="12.75" hidden="1" customHeight="1" x14ac:dyDescent="0.45"/>
    <row r="170" ht="12.75" hidden="1" customHeight="1" x14ac:dyDescent="0.45"/>
    <row r="171" ht="12.75" hidden="1" customHeight="1" x14ac:dyDescent="0.45"/>
    <row r="172" ht="12.75" hidden="1" customHeight="1" x14ac:dyDescent="0.45"/>
    <row r="173" ht="12.75" hidden="1" customHeight="1" x14ac:dyDescent="0.45"/>
    <row r="174" ht="12.75" hidden="1" customHeight="1" x14ac:dyDescent="0.45"/>
    <row r="175" ht="12.75" hidden="1" customHeight="1" x14ac:dyDescent="0.45"/>
    <row r="176" ht="12.75" hidden="1" customHeight="1" x14ac:dyDescent="0.45"/>
    <row r="177" ht="12.75" hidden="1" customHeight="1" x14ac:dyDescent="0.45"/>
    <row r="178" ht="12.75" hidden="1" customHeight="1" x14ac:dyDescent="0.45"/>
    <row r="179" ht="12.75" hidden="1" customHeight="1" x14ac:dyDescent="0.45"/>
    <row r="180" ht="12.75" hidden="1" customHeight="1" x14ac:dyDescent="0.45"/>
    <row r="181" ht="12.75" hidden="1" customHeight="1" x14ac:dyDescent="0.45"/>
    <row r="182" ht="12.75" hidden="1" customHeight="1" x14ac:dyDescent="0.45"/>
    <row r="183" ht="12.75" hidden="1" customHeight="1" x14ac:dyDescent="0.45"/>
    <row r="184" ht="12.75" hidden="1" customHeight="1" x14ac:dyDescent="0.45"/>
    <row r="185" ht="12.75" hidden="1" customHeight="1" x14ac:dyDescent="0.45"/>
    <row r="186" ht="12.75" hidden="1" customHeight="1" x14ac:dyDescent="0.45"/>
    <row r="187" ht="12.75" hidden="1" customHeight="1" x14ac:dyDescent="0.45"/>
    <row r="188" ht="12.75" hidden="1" customHeight="1" x14ac:dyDescent="0.45"/>
    <row r="189" ht="12.75" hidden="1" customHeight="1" x14ac:dyDescent="0.45"/>
    <row r="190" ht="12.75" hidden="1" customHeight="1" x14ac:dyDescent="0.45"/>
    <row r="191" ht="12.75" hidden="1" customHeight="1" x14ac:dyDescent="0.45"/>
    <row r="192" ht="12.75" hidden="1" customHeight="1" x14ac:dyDescent="0.45"/>
    <row r="193" ht="12.75" hidden="1" customHeight="1" x14ac:dyDescent="0.45"/>
    <row r="194" ht="12.75" hidden="1" customHeight="1" x14ac:dyDescent="0.45"/>
    <row r="195" ht="12.75" hidden="1" customHeight="1" x14ac:dyDescent="0.45"/>
    <row r="196" ht="12.75" hidden="1" customHeight="1" x14ac:dyDescent="0.45"/>
    <row r="197" ht="12.75" hidden="1" customHeight="1" x14ac:dyDescent="0.45"/>
    <row r="198" ht="12.75" hidden="1" customHeight="1" x14ac:dyDescent="0.45"/>
    <row r="199" ht="12.75" hidden="1" customHeight="1" x14ac:dyDescent="0.45"/>
    <row r="200" ht="12.75" hidden="1" customHeight="1" x14ac:dyDescent="0.45"/>
    <row r="201" ht="12.75" hidden="1" customHeight="1" x14ac:dyDescent="0.45"/>
    <row r="202" ht="12.75" hidden="1" customHeight="1" x14ac:dyDescent="0.45"/>
    <row r="203" ht="12.75" hidden="1" customHeight="1" x14ac:dyDescent="0.45"/>
    <row r="204" ht="12.75" hidden="1" customHeight="1" x14ac:dyDescent="0.45"/>
    <row r="205" ht="12.75" hidden="1" customHeight="1" x14ac:dyDescent="0.45"/>
    <row r="206" ht="12.75" hidden="1" customHeight="1" x14ac:dyDescent="0.45"/>
    <row r="207" ht="12.75" hidden="1" customHeight="1" x14ac:dyDescent="0.45"/>
    <row r="208" ht="12.75" hidden="1" customHeight="1" x14ac:dyDescent="0.45"/>
    <row r="209" ht="12.75" hidden="1" customHeight="1" x14ac:dyDescent="0.45"/>
    <row r="210" ht="12.75" hidden="1" customHeight="1" x14ac:dyDescent="0.45"/>
    <row r="211" ht="12.75" hidden="1" customHeight="1" x14ac:dyDescent="0.45"/>
    <row r="212" ht="12.75" hidden="1" customHeight="1" x14ac:dyDescent="0.45"/>
    <row r="213" ht="12.75" hidden="1" customHeight="1" x14ac:dyDescent="0.45"/>
    <row r="214" ht="12.75" hidden="1" customHeight="1" x14ac:dyDescent="0.45"/>
    <row r="215" ht="12.75" hidden="1" customHeight="1" x14ac:dyDescent="0.45"/>
    <row r="216" ht="12.75" hidden="1" customHeight="1" x14ac:dyDescent="0.45"/>
    <row r="217" ht="12.75" hidden="1" customHeight="1" x14ac:dyDescent="0.45"/>
    <row r="218" ht="12.75" hidden="1" customHeight="1" x14ac:dyDescent="0.45"/>
    <row r="219" ht="12.75" hidden="1" customHeight="1" x14ac:dyDescent="0.45"/>
    <row r="220" ht="12.75" hidden="1" customHeight="1" x14ac:dyDescent="0.45"/>
    <row r="221" ht="12.75" hidden="1" customHeight="1" x14ac:dyDescent="0.45"/>
    <row r="222" ht="12.75" hidden="1" customHeight="1" x14ac:dyDescent="0.45"/>
    <row r="223" ht="12.75" hidden="1" customHeight="1" x14ac:dyDescent="0.45"/>
    <row r="224" ht="12.75" hidden="1" customHeight="1" x14ac:dyDescent="0.45"/>
    <row r="225" ht="12.75" hidden="1" customHeight="1" x14ac:dyDescent="0.45"/>
    <row r="226" ht="12.75" hidden="1" customHeight="1" x14ac:dyDescent="0.45"/>
    <row r="227" ht="12.75" hidden="1" customHeight="1" x14ac:dyDescent="0.45"/>
    <row r="228" ht="12.75" hidden="1" customHeight="1" x14ac:dyDescent="0.45"/>
    <row r="229" ht="12.75" hidden="1" customHeight="1" x14ac:dyDescent="0.45"/>
    <row r="230" ht="12.75" hidden="1" customHeight="1" x14ac:dyDescent="0.45"/>
    <row r="231" ht="12.75" hidden="1" customHeight="1" x14ac:dyDescent="0.45"/>
    <row r="232" ht="12.75" hidden="1" customHeight="1" x14ac:dyDescent="0.45"/>
    <row r="233" ht="12.75" hidden="1" customHeight="1" x14ac:dyDescent="0.45"/>
    <row r="234" ht="12.75" hidden="1" customHeight="1" x14ac:dyDescent="0.45"/>
    <row r="235" ht="12.75" hidden="1" customHeight="1" x14ac:dyDescent="0.45"/>
    <row r="236" ht="12.75" hidden="1" customHeight="1" x14ac:dyDescent="0.45"/>
    <row r="237" ht="12.75" hidden="1" customHeight="1" x14ac:dyDescent="0.45"/>
    <row r="238" ht="12.75" hidden="1" customHeight="1" x14ac:dyDescent="0.45"/>
    <row r="239" ht="12.75" hidden="1" customHeight="1" x14ac:dyDescent="0.45"/>
    <row r="240" ht="12.75" hidden="1" customHeight="1" x14ac:dyDescent="0.45"/>
    <row r="241" ht="12.75" hidden="1" customHeight="1" x14ac:dyDescent="0.45"/>
    <row r="242" ht="12.75" hidden="1" customHeight="1" x14ac:dyDescent="0.45"/>
    <row r="243" ht="12.75" hidden="1" customHeight="1" x14ac:dyDescent="0.45"/>
    <row r="244" ht="12.75" hidden="1" customHeight="1" x14ac:dyDescent="0.45"/>
    <row r="245" ht="12.75" hidden="1" customHeight="1" x14ac:dyDescent="0.45"/>
    <row r="246" ht="12.75" hidden="1" customHeight="1" x14ac:dyDescent="0.45"/>
    <row r="247" ht="12.75" hidden="1" customHeight="1" x14ac:dyDescent="0.45"/>
    <row r="248" ht="12.75" hidden="1" customHeight="1" x14ac:dyDescent="0.45"/>
    <row r="249" ht="12.75" hidden="1" customHeight="1" x14ac:dyDescent="0.45"/>
    <row r="250" ht="12.75" hidden="1" customHeight="1" x14ac:dyDescent="0.45"/>
    <row r="251" ht="12.75" hidden="1" customHeight="1" x14ac:dyDescent="0.45"/>
    <row r="252" ht="12.75" hidden="1" customHeight="1" x14ac:dyDescent="0.45"/>
    <row r="253" ht="12.75" hidden="1" customHeight="1" x14ac:dyDescent="0.45"/>
    <row r="254" ht="12.75" hidden="1" customHeight="1" x14ac:dyDescent="0.45"/>
    <row r="255" ht="12.75" hidden="1" customHeight="1" x14ac:dyDescent="0.45"/>
    <row r="256" ht="12.75" hidden="1" customHeight="1" x14ac:dyDescent="0.45"/>
    <row r="257" ht="12.75" hidden="1" customHeight="1" x14ac:dyDescent="0.45"/>
    <row r="258" ht="12.75" hidden="1" customHeight="1" x14ac:dyDescent="0.45"/>
    <row r="259" ht="12.75" hidden="1" customHeight="1" x14ac:dyDescent="0.45"/>
    <row r="260" ht="12.75" hidden="1" customHeight="1" x14ac:dyDescent="0.45"/>
    <row r="261" ht="12.75" hidden="1" customHeight="1" x14ac:dyDescent="0.45"/>
    <row r="262" ht="12.75" hidden="1" customHeight="1" x14ac:dyDescent="0.45"/>
    <row r="263" ht="12.75" hidden="1" customHeight="1" x14ac:dyDescent="0.45"/>
    <row r="264" ht="12.75" hidden="1" customHeight="1" x14ac:dyDescent="0.45"/>
    <row r="265" ht="12.75" hidden="1" customHeight="1" x14ac:dyDescent="0.45"/>
    <row r="266" ht="12.75" hidden="1" customHeight="1" x14ac:dyDescent="0.45"/>
    <row r="267" ht="12.75" hidden="1" customHeight="1" x14ac:dyDescent="0.45"/>
    <row r="268" ht="12.75" hidden="1" customHeight="1" x14ac:dyDescent="0.45"/>
    <row r="269" ht="12.75" hidden="1" customHeight="1" x14ac:dyDescent="0.45"/>
    <row r="270" ht="12.75" hidden="1" customHeight="1" x14ac:dyDescent="0.45"/>
    <row r="271" ht="12.75" hidden="1" customHeight="1" x14ac:dyDescent="0.45"/>
    <row r="272" ht="12.75" hidden="1" customHeight="1" x14ac:dyDescent="0.45"/>
    <row r="273" ht="12.75" hidden="1" customHeight="1" x14ac:dyDescent="0.45"/>
    <row r="274" ht="12.75" hidden="1" customHeight="1" x14ac:dyDescent="0.45"/>
    <row r="275" ht="12.75" hidden="1" customHeight="1" x14ac:dyDescent="0.45"/>
    <row r="276" ht="12.75" hidden="1" customHeight="1" x14ac:dyDescent="0.45"/>
    <row r="277" ht="12.75" hidden="1" customHeight="1" x14ac:dyDescent="0.45"/>
    <row r="278" ht="12.75" hidden="1" customHeight="1" x14ac:dyDescent="0.45"/>
    <row r="279" ht="12.75" hidden="1" customHeight="1" x14ac:dyDescent="0.45"/>
    <row r="280" ht="12.75" hidden="1" customHeight="1" x14ac:dyDescent="0.45"/>
    <row r="281" ht="12.75" hidden="1" customHeight="1" x14ac:dyDescent="0.45"/>
    <row r="282" ht="12.75" hidden="1" customHeight="1" x14ac:dyDescent="0.45"/>
    <row r="283" ht="12.75" hidden="1" customHeight="1" x14ac:dyDescent="0.45"/>
    <row r="284" ht="12.75" hidden="1" customHeight="1" x14ac:dyDescent="0.45"/>
    <row r="285" ht="12.75" hidden="1" customHeight="1" x14ac:dyDescent="0.45"/>
    <row r="286" ht="12.75" hidden="1" customHeight="1" x14ac:dyDescent="0.45"/>
    <row r="287" ht="12.75" hidden="1" customHeight="1" x14ac:dyDescent="0.45"/>
    <row r="288" ht="12.75" hidden="1" customHeight="1" x14ac:dyDescent="0.45"/>
    <row r="289" ht="12.75" hidden="1" customHeight="1" x14ac:dyDescent="0.45"/>
    <row r="290" ht="12.75" hidden="1" customHeight="1" x14ac:dyDescent="0.45"/>
    <row r="291" ht="12.75" hidden="1" customHeight="1" x14ac:dyDescent="0.45"/>
    <row r="292" ht="12.75" hidden="1" customHeight="1" x14ac:dyDescent="0.45"/>
    <row r="293" ht="12.75" hidden="1" customHeight="1" x14ac:dyDescent="0.45"/>
    <row r="294" ht="12.75" hidden="1" customHeight="1" x14ac:dyDescent="0.45"/>
    <row r="295" ht="12.75" hidden="1" customHeight="1" x14ac:dyDescent="0.45"/>
    <row r="296" ht="12.75" hidden="1" customHeight="1" x14ac:dyDescent="0.45"/>
    <row r="297" ht="12.75" hidden="1" customHeight="1" x14ac:dyDescent="0.45"/>
    <row r="298" ht="12.75" hidden="1" customHeight="1" x14ac:dyDescent="0.45"/>
    <row r="299" ht="12.75" hidden="1" customHeight="1" x14ac:dyDescent="0.45"/>
    <row r="300" ht="12.75" hidden="1" customHeight="1" x14ac:dyDescent="0.45"/>
    <row r="301" ht="12.75" hidden="1" customHeight="1" x14ac:dyDescent="0.45"/>
    <row r="302" ht="12.75" hidden="1" customHeight="1" x14ac:dyDescent="0.45"/>
    <row r="303" ht="12.75" hidden="1" customHeight="1" x14ac:dyDescent="0.45"/>
    <row r="304" ht="12.75" hidden="1" customHeight="1" x14ac:dyDescent="0.45"/>
    <row r="305" ht="12.75" hidden="1" customHeight="1" x14ac:dyDescent="0.45"/>
    <row r="306" ht="12.75" hidden="1" customHeight="1" x14ac:dyDescent="0.45"/>
    <row r="307" ht="12.75" hidden="1" customHeight="1" x14ac:dyDescent="0.45"/>
    <row r="308" ht="12.75" hidden="1" customHeight="1" x14ac:dyDescent="0.45"/>
    <row r="309" ht="12.75" hidden="1" customHeight="1" x14ac:dyDescent="0.45"/>
    <row r="310" ht="12.75" hidden="1" customHeight="1" x14ac:dyDescent="0.45"/>
    <row r="311" ht="12.75" hidden="1" customHeight="1" x14ac:dyDescent="0.45"/>
    <row r="312" ht="12.75" hidden="1" customHeight="1" x14ac:dyDescent="0.45"/>
    <row r="313" ht="12.75" hidden="1" customHeight="1" x14ac:dyDescent="0.45"/>
    <row r="314" ht="12.75" hidden="1" customHeight="1" x14ac:dyDescent="0.45"/>
    <row r="315" ht="12.75" hidden="1" customHeight="1" x14ac:dyDescent="0.45"/>
    <row r="316" ht="12.75" hidden="1" customHeight="1" x14ac:dyDescent="0.45"/>
    <row r="317" ht="12.75" hidden="1" customHeight="1" x14ac:dyDescent="0.45"/>
    <row r="318" ht="12.75" hidden="1" customHeight="1" x14ac:dyDescent="0.45"/>
    <row r="319" ht="12.75" hidden="1" customHeight="1" x14ac:dyDescent="0.45"/>
    <row r="320" ht="12.75" hidden="1" customHeight="1" x14ac:dyDescent="0.45"/>
    <row r="321" ht="12.75" hidden="1" customHeight="1" x14ac:dyDescent="0.45"/>
    <row r="322" ht="12.75" hidden="1" customHeight="1" x14ac:dyDescent="0.45"/>
    <row r="323" ht="12.75" hidden="1" customHeight="1" x14ac:dyDescent="0.45"/>
    <row r="324" ht="12.75" hidden="1" customHeight="1" x14ac:dyDescent="0.45"/>
    <row r="325" ht="12.75" hidden="1" customHeight="1" x14ac:dyDescent="0.45"/>
    <row r="326" ht="12.75" hidden="1" customHeight="1" x14ac:dyDescent="0.45"/>
    <row r="327" ht="12.75" hidden="1" customHeight="1" x14ac:dyDescent="0.45"/>
    <row r="328" ht="12.75" hidden="1" customHeight="1" x14ac:dyDescent="0.45"/>
    <row r="329" ht="12.75" hidden="1" customHeight="1" x14ac:dyDescent="0.45"/>
    <row r="330" ht="12.75" hidden="1" customHeight="1" x14ac:dyDescent="0.45"/>
    <row r="331" ht="12.75" hidden="1" customHeight="1" x14ac:dyDescent="0.45"/>
    <row r="332" ht="12.75" hidden="1" customHeight="1" x14ac:dyDescent="0.45"/>
    <row r="333" ht="12.75" hidden="1" customHeight="1" x14ac:dyDescent="0.45"/>
    <row r="334" ht="12.75" hidden="1" customHeight="1" x14ac:dyDescent="0.45"/>
    <row r="335" ht="12.75" hidden="1" customHeight="1" x14ac:dyDescent="0.45"/>
    <row r="336" ht="12.75" hidden="1" customHeight="1" x14ac:dyDescent="0.45"/>
    <row r="337" ht="12.75" hidden="1" customHeight="1" x14ac:dyDescent="0.45"/>
    <row r="338" ht="12.75" hidden="1" customHeight="1" x14ac:dyDescent="0.45"/>
    <row r="339" ht="12.75" hidden="1" customHeight="1" x14ac:dyDescent="0.45"/>
    <row r="340" ht="12.75" hidden="1" customHeight="1" x14ac:dyDescent="0.45"/>
    <row r="341" ht="12.75" hidden="1" customHeight="1" x14ac:dyDescent="0.45"/>
  </sheetData>
  <mergeCells count="4">
    <mergeCell ref="I6:J6"/>
    <mergeCell ref="I7:J7"/>
    <mergeCell ref="I8:J8"/>
    <mergeCell ref="I9:J9"/>
  </mergeCells>
  <pageMargins left="0.42" right="0.5" top="0.75" bottom="0.75" header="0.5" footer="0.5"/>
  <pageSetup scale="62" orientation="landscape" horizontalDpi="300" verticalDpi="300" r:id="rId1"/>
  <headerFooter alignWithMargins="0">
    <oddFooter>&amp;L&amp;A&amp;R&amp;P of &amp;N</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05"/>
  <sheetViews>
    <sheetView zoomScale="75" zoomScaleNormal="75" workbookViewId="0"/>
  </sheetViews>
  <sheetFormatPr defaultColWidth="0" defaultRowHeight="12.75" zeroHeight="1" outlineLevelRow="1" x14ac:dyDescent="0.35"/>
  <cols>
    <col min="1" max="1" width="2.86328125" style="200" customWidth="1"/>
    <col min="2" max="13" width="2.59765625" style="200" customWidth="1"/>
    <col min="14" max="16" width="13.3984375" style="1368" customWidth="1"/>
    <col min="17" max="17" width="12.265625" style="1368" customWidth="1"/>
    <col min="18" max="18" width="31.59765625" style="1368" customWidth="1"/>
    <col min="19" max="22" width="15.1328125" style="1368" customWidth="1"/>
    <col min="23" max="23" width="2.59765625" style="1368" customWidth="1"/>
    <col min="24" max="27" width="0" style="200" hidden="1" customWidth="1"/>
    <col min="28" max="16384" width="8.86328125" style="200" hidden="1"/>
  </cols>
  <sheetData>
    <row r="1" spans="1:22" x14ac:dyDescent="0.35">
      <c r="A1" s="1354" t="s">
        <v>584</v>
      </c>
      <c r="B1" s="1354"/>
      <c r="C1" s="1354"/>
      <c r="D1" s="1354"/>
      <c r="E1" s="1354"/>
      <c r="F1" s="1354"/>
      <c r="G1" s="1354"/>
      <c r="H1" s="1354"/>
      <c r="I1" s="1354"/>
      <c r="J1" s="1354"/>
      <c r="K1" s="1354"/>
      <c r="L1" s="1354"/>
      <c r="M1" s="1354"/>
    </row>
    <row r="2" spans="1:22" x14ac:dyDescent="0.35">
      <c r="A2" s="1368"/>
      <c r="B2" s="1368"/>
      <c r="C2" s="1368"/>
      <c r="D2" s="1368"/>
      <c r="E2" s="1368"/>
      <c r="F2" s="1368"/>
      <c r="G2" s="1368"/>
      <c r="H2" s="1368"/>
      <c r="I2" s="1368"/>
      <c r="J2" s="1368"/>
      <c r="K2" s="1368"/>
      <c r="L2" s="1368"/>
      <c r="M2" s="1368"/>
    </row>
    <row r="3" spans="1:22" ht="13.15" x14ac:dyDescent="0.4">
      <c r="A3" s="138" t="s">
        <v>713</v>
      </c>
      <c r="B3" s="138"/>
      <c r="C3" s="138"/>
      <c r="D3" s="138"/>
      <c r="E3" s="138"/>
      <c r="F3" s="138"/>
      <c r="G3" s="138"/>
      <c r="H3" s="138"/>
      <c r="I3" s="138"/>
      <c r="J3" s="138"/>
      <c r="K3" s="138"/>
      <c r="L3" s="138"/>
      <c r="M3" s="138"/>
      <c r="N3" s="139"/>
      <c r="O3" s="139"/>
      <c r="P3" s="140"/>
      <c r="Q3" s="140"/>
      <c r="R3" s="141"/>
      <c r="S3" s="141"/>
      <c r="T3" s="141"/>
      <c r="U3" s="141"/>
      <c r="V3" s="141"/>
    </row>
    <row r="4" spans="1:22" ht="12.95" customHeight="1" x14ac:dyDescent="0.35">
      <c r="A4" s="1368"/>
      <c r="B4" s="1368"/>
      <c r="C4" s="1368"/>
      <c r="D4" s="1368"/>
      <c r="E4" s="1368"/>
      <c r="F4" s="1368"/>
      <c r="G4" s="1368"/>
      <c r="H4" s="1368"/>
      <c r="I4" s="1368"/>
      <c r="J4" s="1368"/>
      <c r="K4" s="1368"/>
      <c r="L4" s="1368"/>
      <c r="M4" s="1368"/>
    </row>
    <row r="5" spans="1:22" ht="12.95" customHeight="1" x14ac:dyDescent="0.35">
      <c r="A5" s="1368"/>
      <c r="B5" s="1363" t="s">
        <v>716</v>
      </c>
      <c r="C5" s="1363"/>
      <c r="D5" s="1363"/>
      <c r="E5" s="1363"/>
      <c r="F5" s="1363"/>
      <c r="G5" s="1363"/>
      <c r="H5" s="1363"/>
      <c r="I5" s="1363"/>
      <c r="J5" s="1363"/>
      <c r="K5" s="1363"/>
      <c r="L5" s="1363"/>
      <c r="M5" s="1363"/>
    </row>
    <row r="6" spans="1:22" ht="12.95" customHeight="1" x14ac:dyDescent="0.4">
      <c r="A6" s="1364"/>
      <c r="B6" s="1364"/>
      <c r="C6" s="1365" t="s">
        <v>409</v>
      </c>
      <c r="D6" s="1368" t="s">
        <v>702</v>
      </c>
      <c r="E6" s="1364"/>
      <c r="F6" s="1364"/>
      <c r="G6" s="1364"/>
      <c r="H6" s="1364"/>
      <c r="I6" s="1364"/>
      <c r="J6" s="1364"/>
      <c r="K6" s="1364"/>
      <c r="L6" s="1364"/>
      <c r="M6" s="1364"/>
    </row>
    <row r="7" spans="1:22" ht="12.95" customHeight="1" x14ac:dyDescent="0.4">
      <c r="A7" s="1364"/>
      <c r="B7" s="1364"/>
      <c r="C7" s="1365" t="s">
        <v>410</v>
      </c>
      <c r="D7" s="1368" t="s">
        <v>703</v>
      </c>
      <c r="E7" s="1364"/>
      <c r="F7" s="1364"/>
      <c r="G7" s="1364"/>
      <c r="H7" s="1364"/>
      <c r="I7" s="1364"/>
      <c r="J7" s="1364"/>
      <c r="K7" s="1364"/>
      <c r="L7" s="1364"/>
      <c r="M7" s="1364"/>
    </row>
    <row r="8" spans="1:22" ht="12.95" customHeight="1" x14ac:dyDescent="0.4">
      <c r="A8" s="1364"/>
      <c r="B8" s="1364"/>
      <c r="C8" s="1365" t="s">
        <v>411</v>
      </c>
      <c r="D8" s="1368" t="s">
        <v>704</v>
      </c>
      <c r="E8" s="1364"/>
      <c r="F8" s="1364"/>
      <c r="G8" s="1364"/>
      <c r="H8" s="1364"/>
      <c r="I8" s="1364"/>
      <c r="J8" s="1364"/>
      <c r="K8" s="1364"/>
      <c r="L8" s="1364"/>
      <c r="M8" s="1364"/>
    </row>
    <row r="9" spans="1:22" ht="12.95" customHeight="1" x14ac:dyDescent="0.4">
      <c r="A9" s="1364"/>
      <c r="B9" s="1364"/>
      <c r="C9" s="1365" t="s">
        <v>574</v>
      </c>
      <c r="D9" s="1368" t="s">
        <v>705</v>
      </c>
      <c r="E9" s="1364"/>
      <c r="F9" s="1364"/>
      <c r="G9" s="1364"/>
      <c r="H9" s="1364"/>
      <c r="I9" s="1364"/>
      <c r="J9" s="1364"/>
      <c r="K9" s="1364"/>
      <c r="L9" s="1364"/>
      <c r="M9" s="1364"/>
    </row>
    <row r="10" spans="1:22" ht="12.95" customHeight="1" x14ac:dyDescent="0.4">
      <c r="A10" s="1364"/>
      <c r="B10" s="1364"/>
      <c r="C10" s="1368" t="s">
        <v>714</v>
      </c>
      <c r="D10" s="1368"/>
      <c r="E10" s="1364"/>
      <c r="F10" s="1364"/>
      <c r="G10" s="1364"/>
      <c r="H10" s="1364"/>
      <c r="I10" s="1364"/>
      <c r="J10" s="1364"/>
      <c r="K10" s="1364"/>
      <c r="L10" s="1364"/>
      <c r="M10" s="1364"/>
    </row>
    <row r="11" spans="1:22" ht="12.95" customHeight="1" x14ac:dyDescent="0.4">
      <c r="A11" s="1364"/>
      <c r="B11" s="1364"/>
      <c r="C11" s="1364"/>
      <c r="D11" s="1364"/>
      <c r="E11" s="1364"/>
      <c r="F11" s="1364"/>
      <c r="G11" s="1364"/>
      <c r="H11" s="1364"/>
      <c r="I11" s="1364"/>
      <c r="J11" s="1364"/>
      <c r="K11" s="1364"/>
      <c r="L11" s="1364"/>
      <c r="M11" s="1364"/>
    </row>
    <row r="12" spans="1:22" ht="12.95" customHeight="1" x14ac:dyDescent="0.4">
      <c r="A12" s="1364"/>
      <c r="B12" s="1366" t="s">
        <v>655</v>
      </c>
      <c r="C12" s="1364"/>
      <c r="D12" s="1364"/>
      <c r="E12" s="1364"/>
      <c r="F12" s="1364"/>
      <c r="G12" s="1364"/>
      <c r="H12" s="1364"/>
      <c r="I12" s="1364"/>
      <c r="J12" s="1364"/>
      <c r="K12" s="1364"/>
      <c r="L12" s="1364"/>
      <c r="M12" s="1364"/>
    </row>
    <row r="13" spans="1:22" ht="12.95" hidden="1" customHeight="1" outlineLevel="1" x14ac:dyDescent="0.4">
      <c r="A13" s="1364"/>
      <c r="B13" s="1367" t="s">
        <v>711</v>
      </c>
      <c r="C13" s="1364"/>
      <c r="D13" s="1364"/>
      <c r="E13" s="1364"/>
      <c r="F13" s="1364"/>
      <c r="G13" s="1364"/>
      <c r="H13" s="1364"/>
      <c r="I13" s="1364"/>
      <c r="J13" s="1364"/>
      <c r="K13" s="1364"/>
      <c r="L13" s="1364"/>
      <c r="M13" s="1364"/>
    </row>
    <row r="14" spans="1:22" ht="12.95" hidden="1" customHeight="1" outlineLevel="1" x14ac:dyDescent="0.4">
      <c r="A14" s="1364"/>
      <c r="B14" s="1367" t="s">
        <v>712</v>
      </c>
      <c r="C14" s="1364"/>
      <c r="D14" s="1364"/>
      <c r="E14" s="1364"/>
      <c r="F14" s="1364"/>
      <c r="G14" s="1364"/>
      <c r="H14" s="1364"/>
      <c r="I14" s="1364"/>
      <c r="J14" s="1364"/>
      <c r="K14" s="1364"/>
      <c r="L14" s="1364"/>
      <c r="M14" s="1364"/>
    </row>
    <row r="15" spans="1:22" ht="12.95" customHeight="1" collapsed="1" x14ac:dyDescent="0.4">
      <c r="A15" s="1364"/>
      <c r="B15" s="1364"/>
      <c r="C15" s="1364"/>
      <c r="D15" s="1364"/>
      <c r="E15" s="1364"/>
      <c r="F15" s="1364"/>
      <c r="G15" s="1364"/>
      <c r="H15" s="1364"/>
      <c r="I15" s="1364"/>
      <c r="J15" s="1364"/>
      <c r="K15" s="1364"/>
      <c r="L15" s="1364"/>
      <c r="M15" s="1364"/>
    </row>
    <row r="16" spans="1:22" ht="13.15" x14ac:dyDescent="0.4">
      <c r="A16" s="198" t="s">
        <v>706</v>
      </c>
      <c r="B16" s="198"/>
      <c r="C16" s="198"/>
      <c r="D16" s="198"/>
      <c r="E16" s="198"/>
      <c r="F16" s="198"/>
      <c r="G16" s="198"/>
      <c r="H16" s="198"/>
      <c r="I16" s="197"/>
      <c r="J16" s="197"/>
      <c r="K16" s="196"/>
      <c r="L16" s="196"/>
      <c r="M16" s="196"/>
      <c r="N16" s="196"/>
      <c r="O16" s="196"/>
      <c r="P16" s="196"/>
      <c r="Q16" s="196"/>
      <c r="R16" s="196"/>
      <c r="S16" s="196"/>
      <c r="T16" s="196"/>
      <c r="U16" s="196"/>
      <c r="V16" s="196"/>
    </row>
    <row r="17" spans="1:16" ht="12.95" customHeight="1" x14ac:dyDescent="0.4">
      <c r="A17" s="1364"/>
      <c r="B17" s="1364"/>
      <c r="C17" s="1364"/>
      <c r="D17" s="1364"/>
      <c r="E17" s="1364"/>
      <c r="F17" s="1364"/>
      <c r="G17" s="1364"/>
      <c r="H17" s="1364"/>
      <c r="I17" s="1364"/>
      <c r="J17" s="1364"/>
      <c r="K17" s="1364"/>
      <c r="L17" s="1364"/>
      <c r="M17" s="1364"/>
    </row>
    <row r="18" spans="1:16" ht="12.95" customHeight="1" x14ac:dyDescent="0.4">
      <c r="A18" s="1364"/>
      <c r="B18" s="1364" t="s">
        <v>45</v>
      </c>
      <c r="C18" s="1364"/>
      <c r="D18" s="1364"/>
      <c r="E18" s="1364"/>
      <c r="F18" s="1364"/>
      <c r="G18" s="1364"/>
      <c r="H18" s="1364"/>
      <c r="I18" s="1364"/>
      <c r="J18" s="1364"/>
      <c r="K18" s="1364"/>
      <c r="L18" s="1364"/>
      <c r="M18" s="1364"/>
    </row>
    <row r="19" spans="1:16" ht="12.95" customHeight="1" x14ac:dyDescent="0.4">
      <c r="A19" s="1364"/>
      <c r="B19" s="1364"/>
      <c r="C19" s="1364"/>
      <c r="D19" s="1364"/>
      <c r="E19" s="1364"/>
      <c r="F19" s="1364"/>
      <c r="G19" s="1364"/>
      <c r="H19" s="1364"/>
      <c r="I19" s="1364"/>
      <c r="J19" s="1364"/>
      <c r="K19" s="1364"/>
      <c r="L19" s="1364"/>
      <c r="M19" s="1364"/>
    </row>
    <row r="20" spans="1:16" ht="12.95" customHeight="1" x14ac:dyDescent="0.4">
      <c r="A20" s="1368"/>
      <c r="B20" s="1364"/>
      <c r="C20" s="1364"/>
      <c r="D20" s="1364"/>
      <c r="E20" s="1364"/>
      <c r="F20" s="1364"/>
      <c r="G20" s="1364"/>
      <c r="H20" s="1364"/>
      <c r="I20" s="1364"/>
      <c r="J20" s="1364"/>
      <c r="K20" s="1364"/>
      <c r="L20" s="1364"/>
      <c r="M20" s="1364"/>
    </row>
    <row r="21" spans="1:16" ht="12.95" customHeight="1" x14ac:dyDescent="0.4">
      <c r="A21" s="1368"/>
      <c r="B21" s="1364"/>
      <c r="C21" s="1364"/>
      <c r="D21" s="1364"/>
      <c r="E21" s="1364"/>
      <c r="F21" s="1364"/>
      <c r="G21" s="1364"/>
      <c r="H21" s="1364"/>
      <c r="I21" s="1364"/>
      <c r="J21" s="1364"/>
      <c r="K21" s="1364"/>
      <c r="L21" s="1364"/>
      <c r="M21" s="1364"/>
    </row>
    <row r="22" spans="1:16" ht="12.95" customHeight="1" x14ac:dyDescent="0.4">
      <c r="A22" s="1368"/>
      <c r="B22" s="1364"/>
      <c r="C22" s="1364"/>
      <c r="D22" s="1364"/>
      <c r="E22" s="1364"/>
      <c r="F22" s="1364"/>
      <c r="G22" s="1364"/>
      <c r="H22" s="1364"/>
      <c r="I22" s="1364"/>
      <c r="J22" s="1364"/>
      <c r="K22" s="1364"/>
      <c r="L22" s="1364"/>
      <c r="M22" s="1364"/>
    </row>
    <row r="23" spans="1:16" x14ac:dyDescent="0.35">
      <c r="A23" s="1368"/>
      <c r="B23" s="1368"/>
      <c r="C23" s="1368"/>
      <c r="D23" s="1368" t="s">
        <v>517</v>
      </c>
      <c r="E23" s="1368"/>
      <c r="F23" s="1368"/>
      <c r="G23" s="1368"/>
      <c r="H23" s="1368"/>
      <c r="I23" s="1368"/>
      <c r="J23" s="1368"/>
      <c r="K23" s="1368"/>
      <c r="L23" s="1368"/>
      <c r="M23" s="1368"/>
      <c r="N23" s="2346" t="s">
        <v>739</v>
      </c>
      <c r="O23" s="2348"/>
      <c r="P23" s="2347"/>
    </row>
    <row r="24" spans="1:16" ht="51" x14ac:dyDescent="0.35">
      <c r="A24" s="1368"/>
      <c r="B24" s="1371"/>
      <c r="C24" s="1371"/>
      <c r="D24" s="1371" t="s">
        <v>518</v>
      </c>
      <c r="E24" s="1371"/>
      <c r="F24" s="1371"/>
      <c r="G24" s="1371"/>
      <c r="H24" s="1371"/>
      <c r="I24" s="1371"/>
      <c r="J24" s="1371"/>
      <c r="K24" s="1371"/>
      <c r="L24" s="1371"/>
      <c r="M24" s="1371"/>
      <c r="N24" s="371" t="s">
        <v>519</v>
      </c>
      <c r="O24" s="372" t="s">
        <v>762</v>
      </c>
      <c r="P24" s="373" t="s">
        <v>763</v>
      </c>
    </row>
    <row r="25" spans="1:16" x14ac:dyDescent="0.35">
      <c r="A25" s="1368"/>
      <c r="B25" s="1368"/>
      <c r="C25" s="1368"/>
      <c r="D25" s="1368" t="s">
        <v>520</v>
      </c>
      <c r="E25" s="1368"/>
      <c r="F25" s="1368"/>
      <c r="G25" s="1368"/>
      <c r="H25" s="1368"/>
      <c r="I25" s="1368"/>
      <c r="J25" s="1368"/>
      <c r="K25" s="1368"/>
      <c r="L25" s="1368"/>
      <c r="M25" s="1368"/>
      <c r="N25" s="249">
        <f>'I. Summary Outputs'!R15*100</f>
        <v>5.1308059369047792</v>
      </c>
      <c r="O25" s="250">
        <f>N25</f>
        <v>5.1308059369047792</v>
      </c>
      <c r="P25" s="251">
        <f>N25</f>
        <v>5.1308059369047792</v>
      </c>
    </row>
    <row r="26" spans="1:16" x14ac:dyDescent="0.35">
      <c r="A26" s="1368"/>
      <c r="B26" s="1368"/>
      <c r="C26" s="1368"/>
      <c r="D26" s="1368" t="s">
        <v>521</v>
      </c>
      <c r="E26" s="1368"/>
      <c r="F26" s="1368"/>
      <c r="G26" s="1368"/>
      <c r="H26" s="1368"/>
      <c r="I26" s="1368"/>
      <c r="J26" s="1368"/>
      <c r="K26" s="1368"/>
      <c r="L26" s="1368"/>
      <c r="M26" s="1368"/>
      <c r="N26" s="252"/>
      <c r="O26" s="250">
        <f>'I. Summary Outputs'!L61*100-O25</f>
        <v>1.9396741980726508</v>
      </c>
      <c r="P26" s="251">
        <f>ABS('I. Summary Outputs'!N61*100-P25)</f>
        <v>0.48848620217207817</v>
      </c>
    </row>
    <row r="27" spans="1:16" x14ac:dyDescent="0.35">
      <c r="A27" s="1368"/>
      <c r="B27" s="1368"/>
      <c r="C27" s="1368"/>
      <c r="D27" s="1368" t="s">
        <v>522</v>
      </c>
      <c r="E27" s="1368"/>
      <c r="F27" s="1368"/>
      <c r="G27" s="1368"/>
      <c r="H27" s="1368"/>
      <c r="I27" s="1368"/>
      <c r="J27" s="1368"/>
      <c r="K27" s="1368"/>
      <c r="L27" s="1368"/>
      <c r="M27" s="1368"/>
      <c r="N27" s="253">
        <f>N25</f>
        <v>5.1308059369047792</v>
      </c>
      <c r="O27" s="250">
        <f>IF(O26&lt;0,O25+O26,O25)</f>
        <v>5.1308059369047792</v>
      </c>
      <c r="P27" s="251">
        <f>IF(('I. Summary Outputs'!L61*100-P25)&lt;0,P25+('I. Summary Outputs'!L61*100-P25),P25)</f>
        <v>5.1308059369047792</v>
      </c>
    </row>
    <row r="28" spans="1:16" x14ac:dyDescent="0.35">
      <c r="A28" s="1368"/>
      <c r="B28" s="1368"/>
      <c r="C28" s="1368"/>
      <c r="D28" s="1368" t="s">
        <v>142</v>
      </c>
      <c r="E28" s="1368"/>
      <c r="F28" s="1368"/>
      <c r="G28" s="1368"/>
      <c r="H28" s="1368"/>
      <c r="I28" s="1368"/>
      <c r="J28" s="1368"/>
      <c r="K28" s="1368"/>
      <c r="L28" s="1368"/>
      <c r="M28" s="1368"/>
      <c r="N28" s="254"/>
      <c r="O28" s="255">
        <f>O25+'I. Summary Outputs'!L61*100-O25</f>
        <v>7.0704801349774291</v>
      </c>
      <c r="P28" s="256">
        <f>P25+('I. Summary Outputs'!N61*100-P25)</f>
        <v>5.6192921390768573</v>
      </c>
    </row>
    <row r="29" spans="1:16" x14ac:dyDescent="0.35">
      <c r="A29" s="1368"/>
      <c r="B29" s="1368"/>
      <c r="C29" s="1368"/>
      <c r="D29" s="1368" t="s">
        <v>523</v>
      </c>
      <c r="E29" s="1368"/>
      <c r="F29" s="1368"/>
      <c r="G29" s="1368"/>
      <c r="H29" s="1368"/>
      <c r="I29" s="1368"/>
      <c r="J29" s="1368"/>
      <c r="K29" s="1368"/>
      <c r="L29" s="1368"/>
      <c r="M29" s="1368"/>
      <c r="N29" s="1372">
        <v>0.6</v>
      </c>
      <c r="O29" s="1373">
        <f>N25</f>
        <v>5.1308059369047792</v>
      </c>
      <c r="P29" s="1373"/>
    </row>
    <row r="30" spans="1:16" x14ac:dyDescent="0.35">
      <c r="A30" s="1368"/>
      <c r="B30" s="1368"/>
      <c r="C30" s="1368"/>
      <c r="D30" s="1368" t="s">
        <v>524</v>
      </c>
      <c r="E30" s="1368"/>
      <c r="F30" s="1368"/>
      <c r="G30" s="1368"/>
      <c r="H30" s="1368"/>
      <c r="I30" s="1368"/>
      <c r="J30" s="1368"/>
      <c r="K30" s="1368"/>
      <c r="L30" s="1368"/>
      <c r="M30" s="1368"/>
      <c r="N30" s="1372">
        <v>3.4</v>
      </c>
      <c r="O30" s="1373">
        <f>O29</f>
        <v>5.1308059369047792</v>
      </c>
    </row>
    <row r="31" spans="1:16" x14ac:dyDescent="0.35">
      <c r="A31" s="1368"/>
      <c r="B31" s="1368"/>
      <c r="C31" s="1368"/>
      <c r="D31" s="1368"/>
      <c r="E31" s="1368"/>
      <c r="F31" s="1368"/>
      <c r="G31" s="1368"/>
      <c r="H31" s="1368"/>
      <c r="I31" s="1368"/>
      <c r="J31" s="1368"/>
      <c r="K31" s="1368"/>
      <c r="L31" s="1368"/>
      <c r="M31" s="1368"/>
      <c r="O31" s="1373"/>
    </row>
    <row r="32" spans="1:16" x14ac:dyDescent="0.35">
      <c r="A32" s="1368"/>
      <c r="B32" s="1368"/>
      <c r="C32" s="1368"/>
      <c r="D32" s="1368"/>
      <c r="E32" s="1368"/>
      <c r="F32" s="1368"/>
      <c r="G32" s="1368"/>
      <c r="H32" s="1368"/>
      <c r="I32" s="1368"/>
      <c r="J32" s="1368"/>
      <c r="K32" s="1368"/>
      <c r="L32" s="1368"/>
      <c r="M32" s="1368"/>
      <c r="O32" s="1373"/>
    </row>
    <row r="33" spans="1:22" ht="13.15" x14ac:dyDescent="0.4">
      <c r="A33" s="198" t="s">
        <v>707</v>
      </c>
      <c r="B33" s="198"/>
      <c r="C33" s="198"/>
      <c r="D33" s="198"/>
      <c r="E33" s="198"/>
      <c r="F33" s="198"/>
      <c r="G33" s="198"/>
      <c r="H33" s="198"/>
      <c r="I33" s="197"/>
      <c r="J33" s="197"/>
      <c r="K33" s="196"/>
      <c r="L33" s="196"/>
      <c r="M33" s="196"/>
      <c r="N33" s="196"/>
      <c r="O33" s="196"/>
      <c r="P33" s="196"/>
      <c r="Q33" s="196"/>
      <c r="R33" s="196"/>
      <c r="S33" s="196"/>
      <c r="T33" s="196"/>
      <c r="U33" s="196"/>
      <c r="V33" s="196"/>
    </row>
    <row r="34" spans="1:22" x14ac:dyDescent="0.35">
      <c r="A34" s="1368"/>
      <c r="B34" s="1368"/>
      <c r="C34" s="1368"/>
      <c r="D34" s="1368"/>
      <c r="E34" s="1368"/>
      <c r="F34" s="1368"/>
      <c r="G34" s="1368"/>
      <c r="H34" s="1368"/>
      <c r="I34" s="1368"/>
      <c r="J34" s="1368"/>
      <c r="K34" s="1368"/>
      <c r="L34" s="1368"/>
      <c r="M34" s="1368"/>
      <c r="O34" s="1373"/>
    </row>
    <row r="35" spans="1:22" x14ac:dyDescent="0.35">
      <c r="A35" s="1368"/>
      <c r="B35" s="1368"/>
      <c r="C35" s="1368"/>
      <c r="D35" s="1368"/>
      <c r="E35" s="1368"/>
      <c r="F35" s="1368"/>
      <c r="G35" s="1368"/>
      <c r="H35" s="1368"/>
      <c r="I35" s="1368"/>
      <c r="J35" s="1368"/>
      <c r="K35" s="1368"/>
      <c r="L35" s="1368"/>
      <c r="M35" s="1368"/>
      <c r="O35" s="1373"/>
    </row>
    <row r="36" spans="1:22" x14ac:dyDescent="0.35">
      <c r="A36" s="1368"/>
      <c r="B36" s="1368"/>
      <c r="C36" s="1368"/>
      <c r="D36" s="1368"/>
      <c r="E36" s="1368"/>
      <c r="F36" s="1368"/>
      <c r="G36" s="1368"/>
      <c r="H36" s="1368"/>
      <c r="I36" s="1368"/>
      <c r="J36" s="1368"/>
      <c r="K36" s="1368"/>
      <c r="L36" s="1368"/>
      <c r="M36" s="1368"/>
      <c r="O36" s="1373"/>
    </row>
    <row r="37" spans="1:22" ht="13.15" x14ac:dyDescent="0.4">
      <c r="A37" s="1368"/>
      <c r="B37" s="1364"/>
      <c r="C37" s="1364"/>
      <c r="D37" s="1364"/>
      <c r="E37" s="1364"/>
      <c r="F37" s="1364"/>
      <c r="G37" s="1364"/>
      <c r="H37" s="1364"/>
      <c r="I37" s="1364"/>
      <c r="J37" s="1364"/>
      <c r="K37" s="1364"/>
      <c r="L37" s="1364"/>
      <c r="M37" s="1364"/>
    </row>
    <row r="38" spans="1:22" x14ac:dyDescent="0.35">
      <c r="A38" s="1368"/>
      <c r="B38" s="1368"/>
      <c r="C38" s="1368"/>
      <c r="D38" s="1368" t="s">
        <v>517</v>
      </c>
      <c r="E38" s="1368"/>
      <c r="F38" s="1368"/>
      <c r="G38" s="1368"/>
      <c r="H38" s="1368"/>
      <c r="I38" s="1368"/>
      <c r="J38" s="1368"/>
      <c r="K38" s="1368"/>
      <c r="L38" s="1368"/>
      <c r="M38" s="1368"/>
      <c r="N38" s="2349" t="s">
        <v>736</v>
      </c>
      <c r="O38" s="2350"/>
      <c r="P38" s="2351"/>
    </row>
    <row r="39" spans="1:22" ht="38.25" x14ac:dyDescent="0.35">
      <c r="A39" s="1368"/>
      <c r="B39" s="1371"/>
      <c r="C39" s="1371"/>
      <c r="D39" s="1371" t="s">
        <v>518</v>
      </c>
      <c r="E39" s="1371"/>
      <c r="F39" s="1371"/>
      <c r="G39" s="1371"/>
      <c r="H39" s="1371"/>
      <c r="I39" s="1371"/>
      <c r="J39" s="1371"/>
      <c r="K39" s="1371"/>
      <c r="L39" s="1371"/>
      <c r="M39" s="1371"/>
      <c r="N39" s="374" t="s">
        <v>525</v>
      </c>
      <c r="O39" s="375" t="s">
        <v>526</v>
      </c>
      <c r="P39" s="376" t="s">
        <v>764</v>
      </c>
    </row>
    <row r="40" spans="1:22" x14ac:dyDescent="0.35">
      <c r="A40" s="1368"/>
      <c r="B40" s="1368"/>
      <c r="C40" s="1368"/>
      <c r="D40" s="1368" t="s">
        <v>530</v>
      </c>
      <c r="E40" s="1368"/>
      <c r="F40" s="1368"/>
      <c r="G40" s="1368"/>
      <c r="H40" s="1368"/>
      <c r="I40" s="1368"/>
      <c r="J40" s="1368"/>
      <c r="K40" s="1368"/>
      <c r="L40" s="1368"/>
      <c r="M40" s="1368"/>
      <c r="N40" s="257" t="str">
        <f>ROUND('I. Summary Outputs'!L129,1)&amp;"x*"</f>
        <v>2.6x*</v>
      </c>
      <c r="O40" s="258">
        <f>'I. Summary Outputs'!N129</f>
        <v>5.0508252201729569</v>
      </c>
      <c r="P40" s="259"/>
    </row>
    <row r="41" spans="1:22" x14ac:dyDescent="0.35">
      <c r="A41" s="1368"/>
      <c r="B41" s="1368"/>
      <c r="C41" s="1368"/>
      <c r="D41" s="1368" t="s">
        <v>142</v>
      </c>
      <c r="E41" s="1368"/>
      <c r="F41" s="1368"/>
      <c r="G41" s="1368"/>
      <c r="H41" s="1368"/>
      <c r="I41" s="1368"/>
      <c r="J41" s="1368"/>
      <c r="K41" s="1368"/>
      <c r="L41" s="1368"/>
      <c r="M41" s="1368"/>
      <c r="N41" s="271">
        <f>ROUND(SUM('I. Summary Outputs'!L131:L133)/10^6,0)</f>
        <v>206</v>
      </c>
      <c r="O41" s="272">
        <f>ROUND(SUM('I. Summary Outputs'!N131:N133)/10^6,0)</f>
        <v>105</v>
      </c>
      <c r="P41" s="273"/>
    </row>
    <row r="42" spans="1:22" x14ac:dyDescent="0.35">
      <c r="A42" s="1368"/>
      <c r="B42" s="1368"/>
      <c r="C42" s="1368"/>
      <c r="D42" s="1368" t="s">
        <v>531</v>
      </c>
      <c r="E42" s="1368"/>
      <c r="F42" s="1368"/>
      <c r="G42" s="1368"/>
      <c r="H42" s="1368"/>
      <c r="I42" s="1368"/>
      <c r="J42" s="1368"/>
      <c r="K42" s="1368"/>
      <c r="L42" s="1368"/>
      <c r="M42" s="1368"/>
      <c r="N42" s="1839">
        <f>N46+30</f>
        <v>35</v>
      </c>
      <c r="O42" s="274">
        <f>O46+30</f>
        <v>39</v>
      </c>
      <c r="P42" s="273"/>
    </row>
    <row r="43" spans="1:22" x14ac:dyDescent="0.35">
      <c r="A43" s="1368"/>
      <c r="B43" s="1368"/>
      <c r="C43" s="1368"/>
      <c r="D43" s="1368" t="s">
        <v>532</v>
      </c>
      <c r="E43" s="1368"/>
      <c r="F43" s="1368"/>
      <c r="G43" s="1368"/>
      <c r="H43" s="1368"/>
      <c r="I43" s="1368"/>
      <c r="J43" s="1368"/>
      <c r="K43" s="1368"/>
      <c r="L43" s="1368"/>
      <c r="M43" s="1368"/>
      <c r="N43" s="271">
        <f>ROUND('I. Summary Outputs'!L132/10^6,0)</f>
        <v>0</v>
      </c>
      <c r="O43" s="272">
        <f>ROUND('I. Summary Outputs'!N132/10^6,0)</f>
        <v>45</v>
      </c>
      <c r="P43" s="273"/>
    </row>
    <row r="44" spans="1:22" x14ac:dyDescent="0.35">
      <c r="A44" s="1368"/>
      <c r="B44" s="1368"/>
      <c r="C44" s="1368"/>
      <c r="D44" s="1368" t="s">
        <v>533</v>
      </c>
      <c r="E44" s="1368"/>
      <c r="F44" s="1368"/>
      <c r="G44" s="1368"/>
      <c r="H44" s="1368"/>
      <c r="I44" s="1368"/>
      <c r="J44" s="1368"/>
      <c r="K44" s="1368"/>
      <c r="L44" s="1368"/>
      <c r="M44" s="1368"/>
      <c r="N44" s="271">
        <f>ROUND('I. Summary Outputs'!L131/10^6,0)</f>
        <v>201</v>
      </c>
      <c r="O44" s="272">
        <f>ROUND('I. Summary Outputs'!N131/10^6,0)</f>
        <v>51</v>
      </c>
      <c r="P44" s="273"/>
    </row>
    <row r="45" spans="1:22" x14ac:dyDescent="0.35">
      <c r="A45" s="1368"/>
      <c r="B45" s="1368"/>
      <c r="C45" s="1368"/>
      <c r="D45" s="1368" t="s">
        <v>534</v>
      </c>
      <c r="E45" s="1368"/>
      <c r="F45" s="1368"/>
      <c r="G45" s="1368"/>
      <c r="H45" s="1368"/>
      <c r="I45" s="1368"/>
      <c r="J45" s="1368"/>
      <c r="K45" s="1368"/>
      <c r="L45" s="1368"/>
      <c r="M45" s="1368"/>
      <c r="N45" s="275">
        <v>0</v>
      </c>
      <c r="O45" s="276">
        <v>0</v>
      </c>
      <c r="P45" s="277">
        <f>ROUND('I. Summary Outputs'!N130/10^6,0)</f>
        <v>532</v>
      </c>
    </row>
    <row r="46" spans="1:22" x14ac:dyDescent="0.35">
      <c r="A46" s="1368"/>
      <c r="B46" s="1368"/>
      <c r="C46" s="1368"/>
      <c r="D46" s="1368" t="s">
        <v>535</v>
      </c>
      <c r="E46" s="1368"/>
      <c r="F46" s="1368"/>
      <c r="G46" s="1368"/>
      <c r="H46" s="1368"/>
      <c r="I46" s="1368"/>
      <c r="J46" s="1368"/>
      <c r="K46" s="1368"/>
      <c r="L46" s="1368"/>
      <c r="M46" s="1368"/>
      <c r="N46" s="1374">
        <f>ROUND('I. Summary Outputs'!L133/10^6,0)</f>
        <v>5</v>
      </c>
      <c r="O46" s="1374">
        <f>ROUND('I. Summary Outputs'!N133/10^6,0)</f>
        <v>9</v>
      </c>
    </row>
    <row r="47" spans="1:22" x14ac:dyDescent="0.35">
      <c r="A47" s="1368"/>
      <c r="B47" s="1368"/>
      <c r="C47" s="1368"/>
      <c r="D47" s="1368"/>
      <c r="E47" s="1368"/>
      <c r="F47" s="1368"/>
      <c r="G47" s="1368"/>
      <c r="H47" s="1368"/>
      <c r="I47" s="1368"/>
      <c r="J47" s="1368"/>
      <c r="K47" s="1368"/>
      <c r="L47" s="1368"/>
      <c r="M47" s="1368"/>
      <c r="N47" s="1375"/>
      <c r="O47" s="1374"/>
    </row>
    <row r="48" spans="1:22" x14ac:dyDescent="0.35">
      <c r="A48" s="1368"/>
      <c r="B48" s="1368"/>
      <c r="C48" s="1368"/>
      <c r="D48" s="1368"/>
      <c r="E48" s="1368"/>
      <c r="F48" s="1368"/>
      <c r="G48" s="1368"/>
      <c r="H48" s="1368"/>
      <c r="I48" s="1368"/>
      <c r="J48" s="1368"/>
      <c r="K48" s="1368"/>
      <c r="L48" s="1368"/>
      <c r="M48" s="1368"/>
      <c r="N48" s="1375"/>
      <c r="O48" s="1374"/>
    </row>
    <row r="49" spans="1:22" ht="13.15" x14ac:dyDescent="0.4">
      <c r="A49" s="1368"/>
      <c r="B49" s="1364"/>
      <c r="C49" s="1364"/>
      <c r="D49" s="1364"/>
      <c r="E49" s="1364"/>
      <c r="F49" s="1364"/>
      <c r="G49" s="1364"/>
      <c r="H49" s="1364"/>
      <c r="I49" s="1364"/>
      <c r="J49" s="1364"/>
      <c r="K49" s="1364"/>
      <c r="L49" s="1364"/>
      <c r="M49" s="1364"/>
    </row>
    <row r="50" spans="1:22" ht="13.15" x14ac:dyDescent="0.4">
      <c r="A50" s="198" t="s">
        <v>708</v>
      </c>
      <c r="B50" s="198"/>
      <c r="C50" s="198"/>
      <c r="D50" s="198"/>
      <c r="E50" s="198"/>
      <c r="F50" s="198"/>
      <c r="G50" s="198"/>
      <c r="H50" s="198"/>
      <c r="I50" s="197"/>
      <c r="J50" s="197"/>
      <c r="K50" s="196"/>
      <c r="L50" s="196"/>
      <c r="M50" s="196"/>
      <c r="N50" s="196"/>
      <c r="O50" s="196"/>
      <c r="P50" s="196"/>
      <c r="Q50" s="196"/>
      <c r="R50" s="196"/>
      <c r="S50" s="196"/>
      <c r="T50" s="196"/>
      <c r="U50" s="196"/>
      <c r="V50" s="196"/>
    </row>
    <row r="51" spans="1:22" ht="13.15" x14ac:dyDescent="0.4">
      <c r="A51" s="1368"/>
      <c r="B51" s="1364"/>
      <c r="C51" s="1364"/>
      <c r="D51" s="1364"/>
      <c r="E51" s="1364"/>
      <c r="F51" s="1364"/>
      <c r="G51" s="1364"/>
      <c r="H51" s="1364"/>
      <c r="I51" s="1364"/>
      <c r="J51" s="1364"/>
      <c r="K51" s="1364"/>
      <c r="L51" s="1364"/>
      <c r="M51" s="1364"/>
    </row>
    <row r="52" spans="1:22" ht="13.15" x14ac:dyDescent="0.4">
      <c r="A52" s="1368"/>
      <c r="B52" s="1364"/>
      <c r="C52" s="1364"/>
      <c r="D52" s="1364"/>
      <c r="E52" s="1364"/>
      <c r="F52" s="1364"/>
      <c r="G52" s="1364"/>
      <c r="H52" s="1364"/>
      <c r="I52" s="1364"/>
      <c r="J52" s="1364"/>
      <c r="K52" s="1364"/>
      <c r="L52" s="1364"/>
      <c r="M52" s="1364"/>
    </row>
    <row r="53" spans="1:22" x14ac:dyDescent="0.35">
      <c r="A53" s="1368"/>
      <c r="B53" s="1368"/>
      <c r="C53" s="1368"/>
      <c r="D53" s="1368" t="s">
        <v>517</v>
      </c>
      <c r="E53" s="1368"/>
      <c r="F53" s="1368"/>
      <c r="G53" s="1368"/>
      <c r="H53" s="1368"/>
      <c r="I53" s="1368"/>
      <c r="J53" s="1368"/>
      <c r="K53" s="1368"/>
      <c r="L53" s="1368"/>
      <c r="M53" s="1368"/>
      <c r="N53" s="2346" t="s">
        <v>736</v>
      </c>
      <c r="O53" s="2348"/>
      <c r="P53" s="2348"/>
      <c r="Q53" s="2347"/>
    </row>
    <row r="54" spans="1:22" ht="51" x14ac:dyDescent="0.35">
      <c r="A54" s="1368"/>
      <c r="B54" s="1371"/>
      <c r="C54" s="1371"/>
      <c r="D54" s="1371" t="s">
        <v>518</v>
      </c>
      <c r="E54" s="1371"/>
      <c r="F54" s="1371"/>
      <c r="G54" s="1371"/>
      <c r="H54" s="1371"/>
      <c r="I54" s="1371"/>
      <c r="J54" s="1371"/>
      <c r="K54" s="1371"/>
      <c r="L54" s="1371"/>
      <c r="M54" s="1371"/>
      <c r="N54" s="377" t="s">
        <v>526</v>
      </c>
      <c r="O54" s="378" t="s">
        <v>527</v>
      </c>
      <c r="P54" s="379" t="s">
        <v>528</v>
      </c>
      <c r="Q54" s="380" t="s">
        <v>529</v>
      </c>
    </row>
    <row r="55" spans="1:22" x14ac:dyDescent="0.35">
      <c r="A55" s="1368"/>
      <c r="B55" s="1368"/>
      <c r="C55" s="1368"/>
      <c r="D55" s="1368" t="s">
        <v>530</v>
      </c>
      <c r="E55" s="1368"/>
      <c r="F55" s="1368"/>
      <c r="G55" s="1368"/>
      <c r="H55" s="1368"/>
      <c r="I55" s="1368"/>
      <c r="J55" s="1368"/>
      <c r="K55" s="1368"/>
      <c r="L55" s="1368"/>
      <c r="M55" s="1368"/>
      <c r="N55" s="260">
        <f>'I. Summary Outputs'!N136</f>
        <v>2.7420120221801194</v>
      </c>
      <c r="O55" s="261"/>
      <c r="P55" s="262"/>
      <c r="Q55" s="263"/>
    </row>
    <row r="56" spans="1:22" x14ac:dyDescent="0.35">
      <c r="A56" s="1368"/>
      <c r="B56" s="1368"/>
      <c r="C56" s="1368"/>
      <c r="D56" s="1368" t="s">
        <v>142</v>
      </c>
      <c r="E56" s="1368"/>
      <c r="F56" s="1368"/>
      <c r="G56" s="1368"/>
      <c r="H56" s="1368"/>
      <c r="I56" s="1368"/>
      <c r="J56" s="1368"/>
      <c r="K56" s="1368"/>
      <c r="L56" s="1368"/>
      <c r="M56" s="1368"/>
      <c r="N56" s="279">
        <f>N58+N62</f>
        <v>54</v>
      </c>
      <c r="O56" s="271"/>
      <c r="P56" s="280"/>
      <c r="Q56" s="273"/>
    </row>
    <row r="57" spans="1:22" x14ac:dyDescent="0.35">
      <c r="A57" s="1368"/>
      <c r="B57" s="1368"/>
      <c r="C57" s="1368"/>
      <c r="D57" s="1368" t="s">
        <v>531</v>
      </c>
      <c r="E57" s="1368"/>
      <c r="F57" s="1368"/>
      <c r="G57" s="1368"/>
      <c r="H57" s="1368"/>
      <c r="I57" s="1368"/>
      <c r="J57" s="1368"/>
      <c r="K57" s="1368"/>
      <c r="L57" s="1368"/>
      <c r="M57" s="1368"/>
      <c r="N57" s="278">
        <f>N62+15</f>
        <v>24</v>
      </c>
      <c r="O57" s="271"/>
      <c r="P57" s="280"/>
      <c r="Q57" s="273"/>
    </row>
    <row r="58" spans="1:22" x14ac:dyDescent="0.35">
      <c r="A58" s="1368"/>
      <c r="B58" s="1368"/>
      <c r="C58" s="1368"/>
      <c r="D58" s="1368" t="s">
        <v>532</v>
      </c>
      <c r="E58" s="1368"/>
      <c r="F58" s="1368"/>
      <c r="G58" s="1368"/>
      <c r="H58" s="1368"/>
      <c r="I58" s="1368"/>
      <c r="J58" s="1368"/>
      <c r="K58" s="1368"/>
      <c r="L58" s="1368"/>
      <c r="M58" s="1368"/>
      <c r="N58" s="279">
        <f>ROUND('I. Summary Outputs'!N137/10^6,0)</f>
        <v>45</v>
      </c>
      <c r="O58" s="271"/>
      <c r="P58" s="280"/>
      <c r="Q58" s="273"/>
    </row>
    <row r="59" spans="1:22" x14ac:dyDescent="0.35">
      <c r="A59" s="1368"/>
      <c r="B59" s="1368"/>
      <c r="C59" s="1368"/>
      <c r="D59" s="1368" t="s">
        <v>533</v>
      </c>
      <c r="E59" s="1368"/>
      <c r="F59" s="1368"/>
      <c r="G59" s="1368"/>
      <c r="H59" s="1368"/>
      <c r="I59" s="1368"/>
      <c r="J59" s="1368"/>
      <c r="K59" s="1368"/>
      <c r="L59" s="1368"/>
      <c r="M59" s="1368"/>
      <c r="N59" s="279"/>
      <c r="O59" s="271">
        <f>ROUND('I. Summary Outputs'!L139/10^6,0)</f>
        <v>201</v>
      </c>
      <c r="P59" s="280">
        <f>IF(Q59&lt;0,Q59,0)</f>
        <v>0</v>
      </c>
      <c r="Q59" s="273">
        <f>ROUND('I. Summary Outputs'!N139/10^6,0)</f>
        <v>51</v>
      </c>
    </row>
    <row r="60" spans="1:22" x14ac:dyDescent="0.35">
      <c r="A60" s="1368"/>
      <c r="B60" s="1368"/>
      <c r="C60" s="1368"/>
      <c r="D60" s="1368" t="s">
        <v>528</v>
      </c>
      <c r="E60" s="1368"/>
      <c r="F60" s="1368"/>
      <c r="G60" s="1368"/>
      <c r="H60" s="1368"/>
      <c r="I60" s="1368"/>
      <c r="J60" s="1368"/>
      <c r="K60" s="1368"/>
      <c r="L60" s="1368"/>
      <c r="M60" s="1368"/>
      <c r="N60" s="281">
        <v>0</v>
      </c>
      <c r="O60" s="275"/>
      <c r="P60" s="282">
        <f>IF(Q59&lt;0,O59,ROUND('I. Summary Outputs'!N140/10^6,0))</f>
        <v>150</v>
      </c>
      <c r="Q60" s="277"/>
    </row>
    <row r="61" spans="1:22" x14ac:dyDescent="0.35">
      <c r="A61" s="1368"/>
      <c r="B61" s="1368"/>
      <c r="C61" s="1368"/>
      <c r="D61" s="1368"/>
      <c r="E61" s="1368"/>
      <c r="F61" s="1368"/>
      <c r="G61" s="1368"/>
      <c r="H61" s="1368"/>
      <c r="I61" s="1368"/>
      <c r="J61" s="1368"/>
      <c r="K61" s="1368"/>
      <c r="L61" s="1368"/>
      <c r="M61" s="1368"/>
      <c r="N61" s="1374"/>
      <c r="O61" s="1374"/>
      <c r="P61" s="1376">
        <f>Q59</f>
        <v>51</v>
      </c>
      <c r="Q61" s="1374"/>
    </row>
    <row r="62" spans="1:22" x14ac:dyDescent="0.35">
      <c r="A62" s="1368"/>
      <c r="B62" s="1368"/>
      <c r="C62" s="1368"/>
      <c r="D62" s="1368" t="s">
        <v>535</v>
      </c>
      <c r="E62" s="1368"/>
      <c r="F62" s="1368"/>
      <c r="G62" s="1368"/>
      <c r="H62" s="1368"/>
      <c r="I62" s="1368"/>
      <c r="J62" s="1368"/>
      <c r="K62" s="1368"/>
      <c r="L62" s="1368"/>
      <c r="M62" s="1368"/>
      <c r="N62" s="1374">
        <f>ROUND('I. Summary Outputs'!N138/10^6,0)</f>
        <v>9</v>
      </c>
      <c r="O62" s="1374"/>
      <c r="P62" s="1376">
        <f>ABS(Q59)+O59</f>
        <v>252</v>
      </c>
      <c r="Q62" s="1374"/>
    </row>
    <row r="63" spans="1:22" x14ac:dyDescent="0.35">
      <c r="A63" s="1368"/>
      <c r="B63" s="1368"/>
      <c r="C63" s="1368"/>
      <c r="D63" s="1368" t="s">
        <v>536</v>
      </c>
      <c r="E63" s="1368"/>
      <c r="F63" s="1368"/>
      <c r="G63" s="1368"/>
      <c r="H63" s="1368"/>
      <c r="I63" s="1368"/>
      <c r="J63" s="1368"/>
      <c r="K63" s="1368"/>
      <c r="L63" s="1368"/>
      <c r="M63" s="1368"/>
      <c r="N63" s="1375">
        <v>2.25</v>
      </c>
      <c r="O63" s="1377">
        <f>O59</f>
        <v>201</v>
      </c>
      <c r="P63" s="1375">
        <v>3.25</v>
      </c>
      <c r="Q63" s="1374">
        <f>Q59+3</f>
        <v>54</v>
      </c>
    </row>
    <row r="64" spans="1:22" x14ac:dyDescent="0.35">
      <c r="A64" s="1368"/>
      <c r="B64" s="1368"/>
      <c r="C64" s="1368"/>
      <c r="D64" s="1368" t="s">
        <v>524</v>
      </c>
      <c r="E64" s="1368"/>
      <c r="F64" s="1368"/>
      <c r="G64" s="1368"/>
      <c r="H64" s="1368"/>
      <c r="I64" s="1368"/>
      <c r="J64" s="1368"/>
      <c r="K64" s="1368"/>
      <c r="L64" s="1368"/>
      <c r="M64" s="1368"/>
      <c r="N64" s="1375">
        <v>2.75</v>
      </c>
      <c r="O64" s="1377">
        <f>O63</f>
        <v>201</v>
      </c>
      <c r="P64" s="1375">
        <v>3.75</v>
      </c>
      <c r="Q64" s="1374">
        <f>Q63</f>
        <v>54</v>
      </c>
    </row>
    <row r="65" spans="1:22" x14ac:dyDescent="0.35">
      <c r="A65" s="1368"/>
      <c r="B65" s="1368"/>
      <c r="C65" s="1368"/>
      <c r="D65" s="1368"/>
      <c r="E65" s="1368"/>
      <c r="F65" s="1368"/>
      <c r="G65" s="1368"/>
      <c r="H65" s="1368"/>
      <c r="I65" s="1368"/>
      <c r="J65" s="1368"/>
      <c r="K65" s="1368"/>
      <c r="L65" s="1368"/>
      <c r="M65" s="1368"/>
    </row>
    <row r="66" spans="1:22" x14ac:dyDescent="0.35">
      <c r="A66" s="1368"/>
      <c r="B66" s="1368"/>
      <c r="C66" s="1368"/>
      <c r="D66" s="1368"/>
      <c r="E66" s="1368"/>
      <c r="F66" s="1368"/>
      <c r="G66" s="1368"/>
      <c r="H66" s="1368"/>
      <c r="I66" s="1368"/>
      <c r="J66" s="1368"/>
      <c r="K66" s="1368"/>
      <c r="L66" s="1368"/>
      <c r="M66" s="1368"/>
    </row>
    <row r="67" spans="1:22" x14ac:dyDescent="0.35">
      <c r="A67" s="1368"/>
      <c r="B67" s="1368"/>
      <c r="C67" s="1368"/>
      <c r="D67" s="1368"/>
      <c r="E67" s="1368"/>
      <c r="F67" s="1368"/>
      <c r="G67" s="1368"/>
      <c r="H67" s="1368"/>
      <c r="I67" s="1368"/>
      <c r="J67" s="1368"/>
      <c r="K67" s="1368"/>
      <c r="L67" s="1368"/>
      <c r="M67" s="1368"/>
    </row>
    <row r="68" spans="1:22" ht="13.15" x14ac:dyDescent="0.4">
      <c r="A68" s="198" t="s">
        <v>709</v>
      </c>
      <c r="B68" s="198"/>
      <c r="C68" s="198"/>
      <c r="D68" s="198"/>
      <c r="E68" s="198"/>
      <c r="F68" s="198"/>
      <c r="G68" s="198"/>
      <c r="H68" s="198"/>
      <c r="I68" s="197"/>
      <c r="J68" s="197"/>
      <c r="K68" s="196"/>
      <c r="L68" s="196"/>
      <c r="M68" s="196"/>
      <c r="N68" s="196"/>
      <c r="O68" s="196"/>
      <c r="P68" s="196"/>
      <c r="Q68" s="196"/>
      <c r="R68" s="196"/>
      <c r="S68" s="196"/>
      <c r="T68" s="196"/>
      <c r="U68" s="196"/>
      <c r="V68" s="196"/>
    </row>
    <row r="69" spans="1:22" x14ac:dyDescent="0.35">
      <c r="A69" s="1368"/>
      <c r="B69" s="1368"/>
      <c r="C69" s="1368"/>
      <c r="D69" s="1368"/>
      <c r="E69" s="1368"/>
      <c r="F69" s="1368"/>
      <c r="G69" s="1368"/>
      <c r="H69" s="1368"/>
      <c r="I69" s="1368"/>
      <c r="J69" s="1368"/>
      <c r="K69" s="1368"/>
      <c r="L69" s="1368"/>
      <c r="M69" s="1368"/>
    </row>
    <row r="70" spans="1:22" x14ac:dyDescent="0.35">
      <c r="A70" s="1368"/>
      <c r="B70" s="1368"/>
      <c r="C70" s="1368"/>
      <c r="D70" s="1368"/>
      <c r="E70" s="1368"/>
      <c r="F70" s="1368"/>
      <c r="G70" s="1368"/>
      <c r="H70" s="1368"/>
      <c r="I70" s="1368"/>
      <c r="J70" s="1368"/>
      <c r="K70" s="1368"/>
      <c r="L70" s="1368"/>
      <c r="M70" s="1368"/>
    </row>
    <row r="71" spans="1:22" x14ac:dyDescent="0.35">
      <c r="A71" s="1368"/>
      <c r="B71" s="1368"/>
      <c r="C71" s="1368"/>
      <c r="D71" s="1368"/>
      <c r="E71" s="1368"/>
      <c r="F71" s="1368"/>
      <c r="G71" s="1368"/>
      <c r="H71" s="1368"/>
      <c r="I71" s="1368"/>
      <c r="J71" s="1368"/>
      <c r="K71" s="1368"/>
      <c r="L71" s="1368"/>
      <c r="M71" s="1368"/>
    </row>
    <row r="72" spans="1:22" ht="13.15" x14ac:dyDescent="0.4">
      <c r="A72" s="1368"/>
      <c r="B72" s="1364"/>
      <c r="C72" s="1364"/>
      <c r="D72" s="1364"/>
      <c r="E72" s="1364"/>
      <c r="F72" s="1364"/>
      <c r="G72" s="1364"/>
      <c r="H72" s="1364"/>
      <c r="I72" s="1364"/>
      <c r="J72" s="1364"/>
      <c r="K72" s="1364"/>
      <c r="L72" s="1364"/>
      <c r="M72" s="1364"/>
    </row>
    <row r="73" spans="1:22" x14ac:dyDescent="0.35">
      <c r="A73" s="1368"/>
      <c r="B73" s="1368"/>
      <c r="C73" s="1368"/>
      <c r="D73" s="1368" t="s">
        <v>517</v>
      </c>
      <c r="E73" s="1368"/>
      <c r="F73" s="1368"/>
      <c r="G73" s="1368"/>
      <c r="H73" s="1368"/>
      <c r="I73" s="1368"/>
      <c r="J73" s="1368"/>
      <c r="K73" s="1368"/>
      <c r="L73" s="1368"/>
      <c r="M73" s="1368"/>
      <c r="N73" s="2346" t="s">
        <v>737</v>
      </c>
      <c r="O73" s="2347"/>
    </row>
    <row r="74" spans="1:22" ht="38.25" x14ac:dyDescent="0.35">
      <c r="A74" s="1368"/>
      <c r="B74" s="1371"/>
      <c r="C74" s="1371"/>
      <c r="D74" s="1371" t="s">
        <v>518</v>
      </c>
      <c r="E74" s="1371"/>
      <c r="F74" s="1371"/>
      <c r="G74" s="1371"/>
      <c r="H74" s="1371"/>
      <c r="I74" s="1371"/>
      <c r="J74" s="1371"/>
      <c r="K74" s="1371"/>
      <c r="L74" s="1371"/>
      <c r="M74" s="1371"/>
      <c r="N74" s="374" t="s">
        <v>766</v>
      </c>
      <c r="O74" s="376" t="s">
        <v>765</v>
      </c>
      <c r="P74" s="1380"/>
    </row>
    <row r="75" spans="1:22" x14ac:dyDescent="0.35">
      <c r="A75" s="1368"/>
      <c r="B75" s="1368"/>
      <c r="C75" s="1368"/>
      <c r="D75" s="1368" t="s">
        <v>537</v>
      </c>
      <c r="E75" s="1368"/>
      <c r="F75" s="1368"/>
      <c r="G75" s="1368"/>
      <c r="H75" s="1368"/>
      <c r="I75" s="1368"/>
      <c r="J75" s="1368"/>
      <c r="K75" s="1368"/>
      <c r="L75" s="1368"/>
      <c r="M75" s="1368"/>
      <c r="N75" s="261"/>
      <c r="O75" s="264">
        <f>'I. Summary Outputs'!N144</f>
        <v>-0.20524603254616258</v>
      </c>
    </row>
    <row r="76" spans="1:22" x14ac:dyDescent="0.35">
      <c r="A76" s="1368"/>
      <c r="B76" s="1368"/>
      <c r="C76" s="1368"/>
      <c r="D76" s="1368" t="s">
        <v>142</v>
      </c>
      <c r="E76" s="1368"/>
      <c r="F76" s="1368"/>
      <c r="G76" s="1368"/>
      <c r="H76" s="1368"/>
      <c r="I76" s="1368"/>
      <c r="J76" s="1368"/>
      <c r="K76" s="1368"/>
      <c r="L76" s="1368"/>
      <c r="M76" s="1368"/>
      <c r="N76" s="266">
        <f>'I. Summary Outputs'!L61*100</f>
        <v>7.07048013497743</v>
      </c>
      <c r="O76" s="267">
        <f>'I. Summary Outputs'!N61*100</f>
        <v>5.6192921390768573</v>
      </c>
    </row>
    <row r="77" spans="1:22" x14ac:dyDescent="0.35">
      <c r="A77" s="1368"/>
      <c r="B77" s="1368"/>
      <c r="C77" s="1368"/>
      <c r="D77" s="1368" t="s">
        <v>539</v>
      </c>
      <c r="E77" s="1368"/>
      <c r="F77" s="1368"/>
      <c r="G77" s="1368"/>
      <c r="H77" s="1368"/>
      <c r="I77" s="1368"/>
      <c r="J77" s="1368"/>
      <c r="K77" s="1368"/>
      <c r="L77" s="1368"/>
      <c r="M77" s="1368"/>
      <c r="N77" s="266">
        <f>N76-N78</f>
        <v>1.9396741980726508</v>
      </c>
      <c r="O77" s="267">
        <f>O76-'I. Summary Outputs'!R15*100</f>
        <v>0.48848620217207817</v>
      </c>
    </row>
    <row r="78" spans="1:22" x14ac:dyDescent="0.35">
      <c r="A78" s="1368"/>
      <c r="B78" s="1368"/>
      <c r="C78" s="1368"/>
      <c r="D78" s="1368" t="s">
        <v>541</v>
      </c>
      <c r="E78" s="1368"/>
      <c r="F78" s="1368"/>
      <c r="G78" s="1368"/>
      <c r="H78" s="1368"/>
      <c r="I78" s="1368"/>
      <c r="J78" s="1368"/>
      <c r="K78" s="1368"/>
      <c r="L78" s="1368"/>
      <c r="M78" s="1368"/>
      <c r="N78" s="270">
        <f>'I. Summary Outputs'!R15*100</f>
        <v>5.1308059369047792</v>
      </c>
      <c r="O78" s="269">
        <f>IF(O77&lt;0,O76,'I. Summary Outputs'!R15*100)</f>
        <v>5.1308059369047792</v>
      </c>
    </row>
    <row r="79" spans="1:22" x14ac:dyDescent="0.35">
      <c r="A79" s="1368"/>
      <c r="B79" s="1368"/>
      <c r="C79" s="1368"/>
      <c r="D79" s="1368" t="s">
        <v>536</v>
      </c>
      <c r="E79" s="1368"/>
      <c r="F79" s="1368"/>
      <c r="G79" s="1368"/>
      <c r="H79" s="1368"/>
      <c r="I79" s="1368"/>
      <c r="J79" s="1368"/>
      <c r="K79" s="1368"/>
      <c r="L79" s="1368"/>
      <c r="M79" s="1368"/>
      <c r="N79" s="1378">
        <v>0.6</v>
      </c>
      <c r="O79" s="1379">
        <f>N78</f>
        <v>5.1308059369047792</v>
      </c>
      <c r="Q79" s="1373"/>
    </row>
    <row r="80" spans="1:22" x14ac:dyDescent="0.35">
      <c r="A80" s="1368"/>
      <c r="B80" s="1368"/>
      <c r="C80" s="1368"/>
      <c r="D80" s="1368" t="s">
        <v>524</v>
      </c>
      <c r="E80" s="1368"/>
      <c r="F80" s="1368"/>
      <c r="G80" s="1368"/>
      <c r="H80" s="1368"/>
      <c r="I80" s="1368"/>
      <c r="J80" s="1368"/>
      <c r="K80" s="1368"/>
      <c r="L80" s="1368"/>
      <c r="M80" s="1368"/>
      <c r="N80" s="1378">
        <v>2.2999999999999998</v>
      </c>
      <c r="O80" s="1379">
        <f>O79</f>
        <v>5.1308059369047792</v>
      </c>
      <c r="Q80" s="1373"/>
    </row>
    <row r="81" spans="1:22" x14ac:dyDescent="0.35">
      <c r="A81" s="1368"/>
      <c r="B81" s="1368"/>
      <c r="C81" s="1368"/>
      <c r="D81" s="1368"/>
      <c r="E81" s="1368"/>
      <c r="F81" s="1368"/>
      <c r="G81" s="1368"/>
      <c r="H81" s="1368"/>
      <c r="I81" s="1368"/>
      <c r="J81" s="1368"/>
      <c r="K81" s="1368"/>
      <c r="L81" s="1368"/>
      <c r="M81" s="1368"/>
    </row>
    <row r="82" spans="1:22" x14ac:dyDescent="0.35">
      <c r="A82" s="1368"/>
      <c r="B82" s="1368"/>
      <c r="C82" s="1368"/>
      <c r="D82" s="1368"/>
      <c r="E82" s="1368"/>
      <c r="F82" s="1368"/>
      <c r="G82" s="1368"/>
      <c r="H82" s="1368"/>
      <c r="I82" s="1368"/>
      <c r="J82" s="1368"/>
      <c r="K82" s="1368"/>
      <c r="L82" s="1368"/>
      <c r="M82" s="1368"/>
    </row>
    <row r="83" spans="1:22" x14ac:dyDescent="0.35">
      <c r="A83" s="1368"/>
      <c r="B83" s="1368"/>
      <c r="C83" s="1368"/>
      <c r="D83" s="1368"/>
      <c r="E83" s="1368"/>
      <c r="F83" s="1368"/>
      <c r="G83" s="1368"/>
      <c r="H83" s="1368"/>
      <c r="I83" s="1368"/>
      <c r="J83" s="1368"/>
      <c r="K83" s="1368"/>
      <c r="L83" s="1368"/>
      <c r="M83" s="1368"/>
    </row>
    <row r="84" spans="1:22" x14ac:dyDescent="0.35">
      <c r="A84" s="1368"/>
      <c r="B84" s="1368"/>
      <c r="C84" s="1368"/>
      <c r="D84" s="1368"/>
      <c r="E84" s="1368"/>
      <c r="F84" s="1368"/>
      <c r="G84" s="1368"/>
      <c r="H84" s="1368"/>
      <c r="I84" s="1368"/>
      <c r="J84" s="1368"/>
      <c r="K84" s="1368"/>
      <c r="L84" s="1368"/>
      <c r="M84" s="1368"/>
    </row>
    <row r="85" spans="1:22" ht="13.15" x14ac:dyDescent="0.4">
      <c r="A85" s="198" t="s">
        <v>710</v>
      </c>
      <c r="B85" s="198"/>
      <c r="C85" s="198"/>
      <c r="D85" s="198"/>
      <c r="E85" s="198"/>
      <c r="F85" s="198"/>
      <c r="G85" s="198"/>
      <c r="H85" s="198"/>
      <c r="I85" s="197"/>
      <c r="J85" s="197"/>
      <c r="K85" s="196"/>
      <c r="L85" s="196"/>
      <c r="M85" s="196"/>
      <c r="N85" s="196"/>
      <c r="O85" s="196"/>
      <c r="P85" s="196"/>
      <c r="Q85" s="196"/>
      <c r="R85" s="196"/>
      <c r="S85" s="196"/>
      <c r="T85" s="196"/>
      <c r="U85" s="196"/>
      <c r="V85" s="196"/>
    </row>
    <row r="86" spans="1:22" x14ac:dyDescent="0.35">
      <c r="A86" s="1368"/>
      <c r="B86" s="1368"/>
      <c r="C86" s="1368"/>
      <c r="D86" s="1368"/>
      <c r="E86" s="1368"/>
      <c r="F86" s="1368"/>
      <c r="G86" s="1368"/>
      <c r="H86" s="1368"/>
      <c r="I86" s="1368"/>
      <c r="J86" s="1368"/>
      <c r="K86" s="1368"/>
      <c r="L86" s="1368"/>
      <c r="M86" s="1368"/>
    </row>
    <row r="87" spans="1:22" x14ac:dyDescent="0.35">
      <c r="A87" s="1368"/>
      <c r="B87" s="1368"/>
      <c r="C87" s="1368"/>
      <c r="D87" s="1368"/>
      <c r="E87" s="1368"/>
      <c r="F87" s="1368"/>
      <c r="G87" s="1368"/>
      <c r="H87" s="1368"/>
      <c r="I87" s="1368"/>
      <c r="J87" s="1368"/>
      <c r="K87" s="1368"/>
      <c r="L87" s="1368"/>
      <c r="M87" s="1368"/>
    </row>
    <row r="88" spans="1:22" ht="13.15" x14ac:dyDescent="0.4">
      <c r="A88" s="1368"/>
      <c r="B88" s="1364"/>
      <c r="C88" s="1364"/>
      <c r="D88" s="1364"/>
      <c r="E88" s="1364"/>
      <c r="F88" s="1364"/>
      <c r="G88" s="1364"/>
      <c r="H88" s="1364"/>
      <c r="I88" s="1364"/>
      <c r="J88" s="1364"/>
      <c r="K88" s="1364"/>
      <c r="L88" s="1364"/>
      <c r="M88" s="1364"/>
    </row>
    <row r="89" spans="1:22" ht="13.15" x14ac:dyDescent="0.4">
      <c r="A89" s="1368"/>
      <c r="B89" s="1364"/>
      <c r="C89" s="1364"/>
      <c r="D89" s="1364"/>
      <c r="E89" s="1364"/>
      <c r="F89" s="1364"/>
      <c r="G89" s="1364"/>
      <c r="H89" s="1364"/>
      <c r="I89" s="1364"/>
      <c r="J89" s="1364"/>
      <c r="K89" s="1364"/>
      <c r="L89" s="1364"/>
      <c r="M89" s="1364"/>
    </row>
    <row r="90" spans="1:22" x14ac:dyDescent="0.35">
      <c r="A90" s="1368"/>
      <c r="B90" s="1368"/>
      <c r="C90" s="1368"/>
      <c r="D90" s="1368" t="s">
        <v>517</v>
      </c>
      <c r="E90" s="1368"/>
      <c r="F90" s="1368"/>
      <c r="G90" s="1368"/>
      <c r="H90" s="1368"/>
      <c r="I90" s="1368"/>
      <c r="J90" s="1368"/>
      <c r="K90" s="1368"/>
      <c r="L90" s="1368"/>
      <c r="M90" s="1368"/>
      <c r="N90" s="2346" t="s">
        <v>738</v>
      </c>
      <c r="O90" s="2347"/>
    </row>
    <row r="91" spans="1:22" ht="63.75" x14ac:dyDescent="0.35">
      <c r="A91" s="1368"/>
      <c r="B91" s="1371"/>
      <c r="C91" s="1371"/>
      <c r="D91" s="1371" t="s">
        <v>518</v>
      </c>
      <c r="E91" s="1371"/>
      <c r="F91" s="1371"/>
      <c r="G91" s="1371"/>
      <c r="H91" s="1371"/>
      <c r="I91" s="1371"/>
      <c r="J91" s="1371"/>
      <c r="K91" s="1371"/>
      <c r="L91" s="1371"/>
      <c r="M91" s="1371"/>
      <c r="N91" s="374" t="s">
        <v>768</v>
      </c>
      <c r="O91" s="376" t="s">
        <v>767</v>
      </c>
    </row>
    <row r="92" spans="1:22" x14ac:dyDescent="0.35">
      <c r="A92" s="1368"/>
      <c r="B92" s="1368"/>
      <c r="C92" s="1368"/>
      <c r="D92" s="1368" t="s">
        <v>537</v>
      </c>
      <c r="E92" s="1368"/>
      <c r="F92" s="1368"/>
      <c r="G92" s="1368"/>
      <c r="H92" s="1368"/>
      <c r="I92" s="1368"/>
      <c r="J92" s="1368"/>
      <c r="K92" s="1368"/>
      <c r="L92" s="1368"/>
      <c r="M92" s="1368"/>
      <c r="N92" s="261"/>
      <c r="O92" s="265">
        <f>'I. Summary Outputs'!N153</f>
        <v>-0.48803111882931416</v>
      </c>
    </row>
    <row r="93" spans="1:22" x14ac:dyDescent="0.35">
      <c r="A93" s="1368"/>
      <c r="B93" s="1368"/>
      <c r="C93" s="1368"/>
      <c r="D93" s="1368" t="s">
        <v>538</v>
      </c>
      <c r="E93" s="1368"/>
      <c r="F93" s="1368"/>
      <c r="G93" s="1368"/>
      <c r="H93" s="1368"/>
      <c r="I93" s="1368"/>
      <c r="J93" s="1368"/>
      <c r="K93" s="1368"/>
      <c r="L93" s="1368"/>
      <c r="M93" s="1368"/>
      <c r="N93" s="268">
        <f>'I. Summary Outputs'!L152</f>
        <v>19.367423741582634</v>
      </c>
      <c r="O93" s="269">
        <f>'I. Summary Outputs'!N152</f>
        <v>9.9155182641366384</v>
      </c>
    </row>
    <row r="94" spans="1:22" x14ac:dyDescent="0.35">
      <c r="A94" s="1368"/>
      <c r="B94" s="1368"/>
      <c r="C94" s="1368"/>
      <c r="D94" s="1368" t="s">
        <v>540</v>
      </c>
      <c r="E94" s="1368"/>
      <c r="F94" s="1368"/>
      <c r="G94" s="1368"/>
      <c r="H94" s="1368"/>
      <c r="I94" s="1368"/>
      <c r="J94" s="1368"/>
      <c r="K94" s="1368"/>
      <c r="L94" s="1368"/>
      <c r="M94" s="1368"/>
      <c r="N94" s="1381" t="str">
        <f>ROUND('I. Summary Outputs'!N154,1)&amp;" Mt CO2 (20 years)"</f>
        <v>10.6 Mt CO2 (20 years)</v>
      </c>
      <c r="O94" s="1374"/>
    </row>
    <row r="95" spans="1:22" x14ac:dyDescent="0.35">
      <c r="A95" s="1368"/>
      <c r="B95" s="1368"/>
      <c r="C95" s="1368"/>
      <c r="D95" s="1368"/>
      <c r="E95" s="1368"/>
      <c r="F95" s="1368"/>
      <c r="G95" s="1368"/>
      <c r="H95" s="1368"/>
      <c r="I95" s="1368"/>
      <c r="J95" s="1368"/>
      <c r="K95" s="1368"/>
      <c r="L95" s="1368"/>
      <c r="M95" s="1368"/>
    </row>
    <row r="96" spans="1:22" x14ac:dyDescent="0.35">
      <c r="A96" s="1368"/>
      <c r="B96" s="1368"/>
      <c r="C96" s="1368"/>
      <c r="D96" s="1368"/>
      <c r="E96" s="1368"/>
      <c r="F96" s="1368"/>
      <c r="G96" s="1368"/>
      <c r="H96" s="1368"/>
      <c r="I96" s="1368"/>
      <c r="J96" s="1368"/>
      <c r="K96" s="1368"/>
      <c r="L96" s="1368"/>
      <c r="M96" s="1368"/>
    </row>
    <row r="97" spans="1:13" x14ac:dyDescent="0.35">
      <c r="A97" s="1368"/>
      <c r="B97" s="1368"/>
      <c r="C97" s="1368"/>
      <c r="D97" s="1368"/>
      <c r="E97" s="1368"/>
      <c r="F97" s="1368"/>
      <c r="G97" s="1368"/>
      <c r="H97" s="1368"/>
      <c r="I97" s="1368"/>
      <c r="J97" s="1368"/>
      <c r="K97" s="1368"/>
      <c r="L97" s="1368"/>
      <c r="M97" s="1368"/>
    </row>
    <row r="98" spans="1:13" x14ac:dyDescent="0.35">
      <c r="A98" s="1368"/>
      <c r="B98" s="1368"/>
      <c r="C98" s="1368"/>
      <c r="D98" s="1368"/>
      <c r="E98" s="1368"/>
      <c r="F98" s="1368"/>
      <c r="G98" s="1368"/>
      <c r="H98" s="1368"/>
      <c r="I98" s="1368"/>
      <c r="J98" s="1368"/>
      <c r="K98" s="1368"/>
      <c r="L98" s="1368"/>
      <c r="M98" s="1368"/>
    </row>
    <row r="99" spans="1:13" x14ac:dyDescent="0.35">
      <c r="A99" s="1368"/>
      <c r="B99" s="1368"/>
      <c r="C99" s="1368"/>
      <c r="D99" s="1368"/>
      <c r="E99" s="1368"/>
      <c r="F99" s="1368"/>
      <c r="G99" s="1368"/>
      <c r="H99" s="1368"/>
      <c r="I99" s="1368"/>
      <c r="J99" s="1368"/>
      <c r="K99" s="1368"/>
      <c r="L99" s="1368"/>
      <c r="M99" s="1368"/>
    </row>
    <row r="100" spans="1:13" x14ac:dyDescent="0.35">
      <c r="A100" s="1368"/>
      <c r="B100" s="1368"/>
      <c r="C100" s="1368"/>
      <c r="D100" s="1368"/>
      <c r="E100" s="1368"/>
      <c r="F100" s="1368"/>
      <c r="G100" s="1368"/>
      <c r="H100" s="1368"/>
      <c r="I100" s="1368"/>
      <c r="J100" s="1368"/>
      <c r="K100" s="1368"/>
      <c r="L100" s="1368"/>
      <c r="M100" s="1368"/>
    </row>
    <row r="101" spans="1:13" x14ac:dyDescent="0.35">
      <c r="A101" s="1368"/>
      <c r="B101" s="1368"/>
      <c r="C101" s="1368"/>
      <c r="D101" s="1368"/>
      <c r="E101" s="1368"/>
      <c r="F101" s="1368"/>
      <c r="G101" s="1368"/>
      <c r="H101" s="1368"/>
      <c r="I101" s="1368"/>
      <c r="J101" s="1368"/>
      <c r="K101" s="1368"/>
      <c r="L101" s="1368"/>
      <c r="M101" s="1368"/>
    </row>
    <row r="102" spans="1:13" x14ac:dyDescent="0.35">
      <c r="A102" s="1368"/>
      <c r="B102" s="1368"/>
      <c r="C102" s="1368"/>
      <c r="D102" s="1368"/>
      <c r="E102" s="1368"/>
      <c r="F102" s="1368"/>
      <c r="G102" s="1368"/>
      <c r="H102" s="1368"/>
      <c r="I102" s="1368"/>
      <c r="J102" s="1368"/>
      <c r="K102" s="1368"/>
      <c r="L102" s="1368"/>
      <c r="M102" s="1368"/>
    </row>
    <row r="103" spans="1:13" x14ac:dyDescent="0.35">
      <c r="A103" s="1368"/>
      <c r="B103" s="1368"/>
      <c r="C103" s="1368"/>
      <c r="D103" s="1368"/>
      <c r="E103" s="1368"/>
      <c r="F103" s="1368"/>
      <c r="G103" s="1368"/>
      <c r="H103" s="1368"/>
      <c r="I103" s="1368"/>
      <c r="J103" s="1368"/>
      <c r="K103" s="1368"/>
      <c r="L103" s="1368"/>
      <c r="M103" s="1368"/>
    </row>
    <row r="104" spans="1:13" x14ac:dyDescent="0.35">
      <c r="A104" s="1368"/>
      <c r="B104" s="1368"/>
      <c r="C104" s="1368"/>
      <c r="D104" s="1368"/>
      <c r="E104" s="1368"/>
      <c r="F104" s="1368"/>
      <c r="G104" s="1368"/>
      <c r="H104" s="1368"/>
      <c r="I104" s="1368"/>
      <c r="J104" s="1368"/>
      <c r="K104" s="1368"/>
      <c r="L104" s="1368"/>
      <c r="M104" s="1368"/>
    </row>
    <row r="105" spans="1:13" x14ac:dyDescent="0.35">
      <c r="A105" s="1368"/>
      <c r="B105" s="1368"/>
      <c r="C105" s="1368"/>
      <c r="D105" s="1368"/>
      <c r="E105" s="1368"/>
      <c r="F105" s="1368"/>
      <c r="G105" s="1368"/>
      <c r="H105" s="1368"/>
      <c r="I105" s="1368"/>
      <c r="J105" s="1368"/>
      <c r="K105" s="1368"/>
      <c r="L105" s="1368"/>
      <c r="M105" s="1368"/>
    </row>
  </sheetData>
  <mergeCells count="5">
    <mergeCell ref="N90:O90"/>
    <mergeCell ref="N23:P23"/>
    <mergeCell ref="N38:P38"/>
    <mergeCell ref="N73:O73"/>
    <mergeCell ref="N53:Q53"/>
  </mergeCells>
  <pageMargins left="0.7" right="0.7" top="0.75" bottom="0.75" header="0.3" footer="0.3"/>
  <pageSetup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X561"/>
  <sheetViews>
    <sheetView zoomScale="75" zoomScaleNormal="75" workbookViewId="0"/>
  </sheetViews>
  <sheetFormatPr defaultColWidth="0" defaultRowHeight="12.75" customHeight="1" zeroHeight="1" outlineLevelRow="1" x14ac:dyDescent="0.35"/>
  <cols>
    <col min="1" max="7" width="2.86328125" style="142" customWidth="1"/>
    <col min="8" max="15" width="15.1328125" style="142" customWidth="1"/>
    <col min="16" max="16" width="2.73046875" style="142" customWidth="1"/>
    <col min="17" max="257" width="0" style="142" hidden="1"/>
    <col min="258" max="258" width="3.1328125" style="142" hidden="1" customWidth="1"/>
    <col min="259" max="261" width="2.86328125" style="142" hidden="1" customWidth="1"/>
    <col min="262" max="271" width="12.86328125" style="142" hidden="1" customWidth="1"/>
    <col min="272" max="272" width="2.86328125" style="142" hidden="1" customWidth="1"/>
    <col min="273" max="513" width="0" style="142" hidden="1"/>
    <col min="514" max="514" width="3.1328125" style="142" hidden="1" customWidth="1"/>
    <col min="515" max="517" width="2.86328125" style="142" hidden="1" customWidth="1"/>
    <col min="518" max="527" width="12.86328125" style="142" hidden="1" customWidth="1"/>
    <col min="528" max="528" width="2.86328125" style="142" hidden="1" customWidth="1"/>
    <col min="529" max="769" width="0" style="142" hidden="1"/>
    <col min="770" max="770" width="3.1328125" style="142" hidden="1" customWidth="1"/>
    <col min="771" max="773" width="2.86328125" style="142" hidden="1" customWidth="1"/>
    <col min="774" max="783" width="12.86328125" style="142" hidden="1" customWidth="1"/>
    <col min="784" max="784" width="2.86328125" style="142" hidden="1" customWidth="1"/>
    <col min="785" max="1025" width="0" style="142" hidden="1"/>
    <col min="1026" max="1026" width="3.1328125" style="142" hidden="1" customWidth="1"/>
    <col min="1027" max="1029" width="2.86328125" style="142" hidden="1" customWidth="1"/>
    <col min="1030" max="1039" width="12.86328125" style="142" hidden="1" customWidth="1"/>
    <col min="1040" max="1040" width="2.86328125" style="142" hidden="1" customWidth="1"/>
    <col min="1041" max="1281" width="0" style="142" hidden="1"/>
    <col min="1282" max="1282" width="3.1328125" style="142" hidden="1" customWidth="1"/>
    <col min="1283" max="1285" width="2.86328125" style="142" hidden="1" customWidth="1"/>
    <col min="1286" max="1295" width="12.86328125" style="142" hidden="1" customWidth="1"/>
    <col min="1296" max="1296" width="2.86328125" style="142" hidden="1" customWidth="1"/>
    <col min="1297" max="1537" width="0" style="142" hidden="1"/>
    <col min="1538" max="1538" width="3.1328125" style="142" hidden="1" customWidth="1"/>
    <col min="1539" max="1541" width="2.86328125" style="142" hidden="1" customWidth="1"/>
    <col min="1542" max="1551" width="12.86328125" style="142" hidden="1" customWidth="1"/>
    <col min="1552" max="1552" width="2.86328125" style="142" hidden="1" customWidth="1"/>
    <col min="1553" max="1793" width="0" style="142" hidden="1"/>
    <col min="1794" max="1794" width="3.1328125" style="142" hidden="1" customWidth="1"/>
    <col min="1795" max="1797" width="2.86328125" style="142" hidden="1" customWidth="1"/>
    <col min="1798" max="1807" width="12.86328125" style="142" hidden="1" customWidth="1"/>
    <col min="1808" max="1808" width="2.86328125" style="142" hidden="1" customWidth="1"/>
    <col min="1809" max="2049" width="0" style="142" hidden="1"/>
    <col min="2050" max="2050" width="3.1328125" style="142" hidden="1" customWidth="1"/>
    <col min="2051" max="2053" width="2.86328125" style="142" hidden="1" customWidth="1"/>
    <col min="2054" max="2063" width="12.86328125" style="142" hidden="1" customWidth="1"/>
    <col min="2064" max="2064" width="2.86328125" style="142" hidden="1" customWidth="1"/>
    <col min="2065" max="2305" width="0" style="142" hidden="1"/>
    <col min="2306" max="2306" width="3.1328125" style="142" hidden="1" customWidth="1"/>
    <col min="2307" max="2309" width="2.86328125" style="142" hidden="1" customWidth="1"/>
    <col min="2310" max="2319" width="12.86328125" style="142" hidden="1" customWidth="1"/>
    <col min="2320" max="2320" width="2.86328125" style="142" hidden="1" customWidth="1"/>
    <col min="2321" max="2561" width="0" style="142" hidden="1"/>
    <col min="2562" max="2562" width="3.1328125" style="142" hidden="1" customWidth="1"/>
    <col min="2563" max="2565" width="2.86328125" style="142" hidden="1" customWidth="1"/>
    <col min="2566" max="2575" width="12.86328125" style="142" hidden="1" customWidth="1"/>
    <col min="2576" max="2576" width="2.86328125" style="142" hidden="1" customWidth="1"/>
    <col min="2577" max="2817" width="0" style="142" hidden="1"/>
    <col min="2818" max="2818" width="3.1328125" style="142" hidden="1" customWidth="1"/>
    <col min="2819" max="2821" width="2.86328125" style="142" hidden="1" customWidth="1"/>
    <col min="2822" max="2831" width="12.86328125" style="142" hidden="1" customWidth="1"/>
    <col min="2832" max="2832" width="2.86328125" style="142" hidden="1" customWidth="1"/>
    <col min="2833" max="3073" width="0" style="142" hidden="1"/>
    <col min="3074" max="3074" width="3.1328125" style="142" hidden="1" customWidth="1"/>
    <col min="3075" max="3077" width="2.86328125" style="142" hidden="1" customWidth="1"/>
    <col min="3078" max="3087" width="12.86328125" style="142" hidden="1" customWidth="1"/>
    <col min="3088" max="3088" width="2.86328125" style="142" hidden="1" customWidth="1"/>
    <col min="3089" max="3329" width="0" style="142" hidden="1"/>
    <col min="3330" max="3330" width="3.1328125" style="142" hidden="1" customWidth="1"/>
    <col min="3331" max="3333" width="2.86328125" style="142" hidden="1" customWidth="1"/>
    <col min="3334" max="3343" width="12.86328125" style="142" hidden="1" customWidth="1"/>
    <col min="3344" max="3344" width="2.86328125" style="142" hidden="1" customWidth="1"/>
    <col min="3345" max="3585" width="0" style="142" hidden="1"/>
    <col min="3586" max="3586" width="3.1328125" style="142" hidden="1" customWidth="1"/>
    <col min="3587" max="3589" width="2.86328125" style="142" hidden="1" customWidth="1"/>
    <col min="3590" max="3599" width="12.86328125" style="142" hidden="1" customWidth="1"/>
    <col min="3600" max="3600" width="2.86328125" style="142" hidden="1" customWidth="1"/>
    <col min="3601" max="3841" width="0" style="142" hidden="1"/>
    <col min="3842" max="3842" width="3.1328125" style="142" hidden="1" customWidth="1"/>
    <col min="3843" max="3845" width="2.86328125" style="142" hidden="1" customWidth="1"/>
    <col min="3846" max="3855" width="12.86328125" style="142" hidden="1" customWidth="1"/>
    <col min="3856" max="3856" width="2.86328125" style="142" hidden="1" customWidth="1"/>
    <col min="3857" max="4097" width="0" style="142" hidden="1"/>
    <col min="4098" max="4098" width="3.1328125" style="142" hidden="1" customWidth="1"/>
    <col min="4099" max="4101" width="2.86328125" style="142" hidden="1" customWidth="1"/>
    <col min="4102" max="4111" width="12.86328125" style="142" hidden="1" customWidth="1"/>
    <col min="4112" max="4112" width="2.86328125" style="142" hidden="1" customWidth="1"/>
    <col min="4113" max="4353" width="0" style="142" hidden="1"/>
    <col min="4354" max="4354" width="3.1328125" style="142" hidden="1" customWidth="1"/>
    <col min="4355" max="4357" width="2.86328125" style="142" hidden="1" customWidth="1"/>
    <col min="4358" max="4367" width="12.86328125" style="142" hidden="1" customWidth="1"/>
    <col min="4368" max="4368" width="2.86328125" style="142" hidden="1" customWidth="1"/>
    <col min="4369" max="4609" width="0" style="142" hidden="1"/>
    <col min="4610" max="4610" width="3.1328125" style="142" hidden="1" customWidth="1"/>
    <col min="4611" max="4613" width="2.86328125" style="142" hidden="1" customWidth="1"/>
    <col min="4614" max="4623" width="12.86328125" style="142" hidden="1" customWidth="1"/>
    <col min="4624" max="4624" width="2.86328125" style="142" hidden="1" customWidth="1"/>
    <col min="4625" max="4865" width="0" style="142" hidden="1"/>
    <col min="4866" max="4866" width="3.1328125" style="142" hidden="1" customWidth="1"/>
    <col min="4867" max="4869" width="2.86328125" style="142" hidden="1" customWidth="1"/>
    <col min="4870" max="4879" width="12.86328125" style="142" hidden="1" customWidth="1"/>
    <col min="4880" max="4880" width="2.86328125" style="142" hidden="1" customWidth="1"/>
    <col min="4881" max="5121" width="0" style="142" hidden="1"/>
    <col min="5122" max="5122" width="3.1328125" style="142" hidden="1" customWidth="1"/>
    <col min="5123" max="5125" width="2.86328125" style="142" hidden="1" customWidth="1"/>
    <col min="5126" max="5135" width="12.86328125" style="142" hidden="1" customWidth="1"/>
    <col min="5136" max="5136" width="2.86328125" style="142" hidden="1" customWidth="1"/>
    <col min="5137" max="5377" width="0" style="142" hidden="1"/>
    <col min="5378" max="5378" width="3.1328125" style="142" hidden="1" customWidth="1"/>
    <col min="5379" max="5381" width="2.86328125" style="142" hidden="1" customWidth="1"/>
    <col min="5382" max="5391" width="12.86328125" style="142" hidden="1" customWidth="1"/>
    <col min="5392" max="5392" width="2.86328125" style="142" hidden="1" customWidth="1"/>
    <col min="5393" max="5633" width="0" style="142" hidden="1"/>
    <col min="5634" max="5634" width="3.1328125" style="142" hidden="1" customWidth="1"/>
    <col min="5635" max="5637" width="2.86328125" style="142" hidden="1" customWidth="1"/>
    <col min="5638" max="5647" width="12.86328125" style="142" hidden="1" customWidth="1"/>
    <col min="5648" max="5648" width="2.86328125" style="142" hidden="1" customWidth="1"/>
    <col min="5649" max="5889" width="0" style="142" hidden="1"/>
    <col min="5890" max="5890" width="3.1328125" style="142" hidden="1" customWidth="1"/>
    <col min="5891" max="5893" width="2.86328125" style="142" hidden="1" customWidth="1"/>
    <col min="5894" max="5903" width="12.86328125" style="142" hidden="1" customWidth="1"/>
    <col min="5904" max="5904" width="2.86328125" style="142" hidden="1" customWidth="1"/>
    <col min="5905" max="6145" width="0" style="142" hidden="1"/>
    <col min="6146" max="6146" width="3.1328125" style="142" hidden="1" customWidth="1"/>
    <col min="6147" max="6149" width="2.86328125" style="142" hidden="1" customWidth="1"/>
    <col min="6150" max="6159" width="12.86328125" style="142" hidden="1" customWidth="1"/>
    <col min="6160" max="6160" width="2.86328125" style="142" hidden="1" customWidth="1"/>
    <col min="6161" max="6401" width="0" style="142" hidden="1"/>
    <col min="6402" max="6402" width="3.1328125" style="142" hidden="1" customWidth="1"/>
    <col min="6403" max="6405" width="2.86328125" style="142" hidden="1" customWidth="1"/>
    <col min="6406" max="6415" width="12.86328125" style="142" hidden="1" customWidth="1"/>
    <col min="6416" max="6416" width="2.86328125" style="142" hidden="1" customWidth="1"/>
    <col min="6417" max="6657" width="0" style="142" hidden="1"/>
    <col min="6658" max="6658" width="3.1328125" style="142" hidden="1" customWidth="1"/>
    <col min="6659" max="6661" width="2.86328125" style="142" hidden="1" customWidth="1"/>
    <col min="6662" max="6671" width="12.86328125" style="142" hidden="1" customWidth="1"/>
    <col min="6672" max="6672" width="2.86328125" style="142" hidden="1" customWidth="1"/>
    <col min="6673" max="6913" width="0" style="142" hidden="1"/>
    <col min="6914" max="6914" width="3.1328125" style="142" hidden="1" customWidth="1"/>
    <col min="6915" max="6917" width="2.86328125" style="142" hidden="1" customWidth="1"/>
    <col min="6918" max="6927" width="12.86328125" style="142" hidden="1" customWidth="1"/>
    <col min="6928" max="6928" width="2.86328125" style="142" hidden="1" customWidth="1"/>
    <col min="6929" max="7169" width="0" style="142" hidden="1"/>
    <col min="7170" max="7170" width="3.1328125" style="142" hidden="1" customWidth="1"/>
    <col min="7171" max="7173" width="2.86328125" style="142" hidden="1" customWidth="1"/>
    <col min="7174" max="7183" width="12.86328125" style="142" hidden="1" customWidth="1"/>
    <col min="7184" max="7184" width="2.86328125" style="142" hidden="1" customWidth="1"/>
    <col min="7185" max="7425" width="0" style="142" hidden="1"/>
    <col min="7426" max="7426" width="3.1328125" style="142" hidden="1" customWidth="1"/>
    <col min="7427" max="7429" width="2.86328125" style="142" hidden="1" customWidth="1"/>
    <col min="7430" max="7439" width="12.86328125" style="142" hidden="1" customWidth="1"/>
    <col min="7440" max="7440" width="2.86328125" style="142" hidden="1" customWidth="1"/>
    <col min="7441" max="7681" width="0" style="142" hidden="1"/>
    <col min="7682" max="7682" width="3.1328125" style="142" hidden="1" customWidth="1"/>
    <col min="7683" max="7685" width="2.86328125" style="142" hidden="1" customWidth="1"/>
    <col min="7686" max="7695" width="12.86328125" style="142" hidden="1" customWidth="1"/>
    <col min="7696" max="7696" width="2.86328125" style="142" hidden="1" customWidth="1"/>
    <col min="7697" max="7937" width="0" style="142" hidden="1"/>
    <col min="7938" max="7938" width="3.1328125" style="142" hidden="1" customWidth="1"/>
    <col min="7939" max="7941" width="2.86328125" style="142" hidden="1" customWidth="1"/>
    <col min="7942" max="7951" width="12.86328125" style="142" hidden="1" customWidth="1"/>
    <col min="7952" max="7952" width="2.86328125" style="142" hidden="1" customWidth="1"/>
    <col min="7953" max="8193" width="0" style="142" hidden="1"/>
    <col min="8194" max="8194" width="3.1328125" style="142" hidden="1" customWidth="1"/>
    <col min="8195" max="8197" width="2.86328125" style="142" hidden="1" customWidth="1"/>
    <col min="8198" max="8207" width="12.86328125" style="142" hidden="1" customWidth="1"/>
    <col min="8208" max="8208" width="2.86328125" style="142" hidden="1" customWidth="1"/>
    <col min="8209" max="8449" width="0" style="142" hidden="1"/>
    <col min="8450" max="8450" width="3.1328125" style="142" hidden="1" customWidth="1"/>
    <col min="8451" max="8453" width="2.86328125" style="142" hidden="1" customWidth="1"/>
    <col min="8454" max="8463" width="12.86328125" style="142" hidden="1" customWidth="1"/>
    <col min="8464" max="8464" width="2.86328125" style="142" hidden="1" customWidth="1"/>
    <col min="8465" max="8705" width="0" style="142" hidden="1"/>
    <col min="8706" max="8706" width="3.1328125" style="142" hidden="1" customWidth="1"/>
    <col min="8707" max="8709" width="2.86328125" style="142" hidden="1" customWidth="1"/>
    <col min="8710" max="8719" width="12.86328125" style="142" hidden="1" customWidth="1"/>
    <col min="8720" max="8720" width="2.86328125" style="142" hidden="1" customWidth="1"/>
    <col min="8721" max="8961" width="0" style="142" hidden="1"/>
    <col min="8962" max="8962" width="3.1328125" style="142" hidden="1" customWidth="1"/>
    <col min="8963" max="8965" width="2.86328125" style="142" hidden="1" customWidth="1"/>
    <col min="8966" max="8975" width="12.86328125" style="142" hidden="1" customWidth="1"/>
    <col min="8976" max="8976" width="2.86328125" style="142" hidden="1" customWidth="1"/>
    <col min="8977" max="9217" width="0" style="142" hidden="1"/>
    <col min="9218" max="9218" width="3.1328125" style="142" hidden="1" customWidth="1"/>
    <col min="9219" max="9221" width="2.86328125" style="142" hidden="1" customWidth="1"/>
    <col min="9222" max="9231" width="12.86328125" style="142" hidden="1" customWidth="1"/>
    <col min="9232" max="9232" width="2.86328125" style="142" hidden="1" customWidth="1"/>
    <col min="9233" max="9473" width="0" style="142" hidden="1"/>
    <col min="9474" max="9474" width="3.1328125" style="142" hidden="1" customWidth="1"/>
    <col min="9475" max="9477" width="2.86328125" style="142" hidden="1" customWidth="1"/>
    <col min="9478" max="9487" width="12.86328125" style="142" hidden="1" customWidth="1"/>
    <col min="9488" max="9488" width="2.86328125" style="142" hidden="1" customWidth="1"/>
    <col min="9489" max="9729" width="0" style="142" hidden="1"/>
    <col min="9730" max="9730" width="3.1328125" style="142" hidden="1" customWidth="1"/>
    <col min="9731" max="9733" width="2.86328125" style="142" hidden="1" customWidth="1"/>
    <col min="9734" max="9743" width="12.86328125" style="142" hidden="1" customWidth="1"/>
    <col min="9744" max="9744" width="2.86328125" style="142" hidden="1" customWidth="1"/>
    <col min="9745" max="9985" width="0" style="142" hidden="1"/>
    <col min="9986" max="9986" width="3.1328125" style="142" hidden="1" customWidth="1"/>
    <col min="9987" max="9989" width="2.86328125" style="142" hidden="1" customWidth="1"/>
    <col min="9990" max="9999" width="12.86328125" style="142" hidden="1" customWidth="1"/>
    <col min="10000" max="10000" width="2.86328125" style="142" hidden="1" customWidth="1"/>
    <col min="10001" max="10241" width="0" style="142" hidden="1"/>
    <col min="10242" max="10242" width="3.1328125" style="142" hidden="1" customWidth="1"/>
    <col min="10243" max="10245" width="2.86328125" style="142" hidden="1" customWidth="1"/>
    <col min="10246" max="10255" width="12.86328125" style="142" hidden="1" customWidth="1"/>
    <col min="10256" max="10256" width="2.86328125" style="142" hidden="1" customWidth="1"/>
    <col min="10257" max="10497" width="0" style="142" hidden="1"/>
    <col min="10498" max="10498" width="3.1328125" style="142" hidden="1" customWidth="1"/>
    <col min="10499" max="10501" width="2.86328125" style="142" hidden="1" customWidth="1"/>
    <col min="10502" max="10511" width="12.86328125" style="142" hidden="1" customWidth="1"/>
    <col min="10512" max="10512" width="2.86328125" style="142" hidden="1" customWidth="1"/>
    <col min="10513" max="10753" width="0" style="142" hidden="1"/>
    <col min="10754" max="10754" width="3.1328125" style="142" hidden="1" customWidth="1"/>
    <col min="10755" max="10757" width="2.86328125" style="142" hidden="1" customWidth="1"/>
    <col min="10758" max="10767" width="12.86328125" style="142" hidden="1" customWidth="1"/>
    <col min="10768" max="10768" width="2.86328125" style="142" hidden="1" customWidth="1"/>
    <col min="10769" max="11009" width="0" style="142" hidden="1"/>
    <col min="11010" max="11010" width="3.1328125" style="142" hidden="1" customWidth="1"/>
    <col min="11011" max="11013" width="2.86328125" style="142" hidden="1" customWidth="1"/>
    <col min="11014" max="11023" width="12.86328125" style="142" hidden="1" customWidth="1"/>
    <col min="11024" max="11024" width="2.86328125" style="142" hidden="1" customWidth="1"/>
    <col min="11025" max="11265" width="0" style="142" hidden="1"/>
    <col min="11266" max="11266" width="3.1328125" style="142" hidden="1" customWidth="1"/>
    <col min="11267" max="11269" width="2.86328125" style="142" hidden="1" customWidth="1"/>
    <col min="11270" max="11279" width="12.86328125" style="142" hidden="1" customWidth="1"/>
    <col min="11280" max="11280" width="2.86328125" style="142" hidden="1" customWidth="1"/>
    <col min="11281" max="11521" width="0" style="142" hidden="1"/>
    <col min="11522" max="11522" width="3.1328125" style="142" hidden="1" customWidth="1"/>
    <col min="11523" max="11525" width="2.86328125" style="142" hidden="1" customWidth="1"/>
    <col min="11526" max="11535" width="12.86328125" style="142" hidden="1" customWidth="1"/>
    <col min="11536" max="11536" width="2.86328125" style="142" hidden="1" customWidth="1"/>
    <col min="11537" max="11777" width="0" style="142" hidden="1"/>
    <col min="11778" max="11778" width="3.1328125" style="142" hidden="1" customWidth="1"/>
    <col min="11779" max="11781" width="2.86328125" style="142" hidden="1" customWidth="1"/>
    <col min="11782" max="11791" width="12.86328125" style="142" hidden="1" customWidth="1"/>
    <col min="11792" max="11792" width="2.86328125" style="142" hidden="1" customWidth="1"/>
    <col min="11793" max="12033" width="0" style="142" hidden="1"/>
    <col min="12034" max="12034" width="3.1328125" style="142" hidden="1" customWidth="1"/>
    <col min="12035" max="12037" width="2.86328125" style="142" hidden="1" customWidth="1"/>
    <col min="12038" max="12047" width="12.86328125" style="142" hidden="1" customWidth="1"/>
    <col min="12048" max="12048" width="2.86328125" style="142" hidden="1" customWidth="1"/>
    <col min="12049" max="12289" width="0" style="142" hidden="1"/>
    <col min="12290" max="12290" width="3.1328125" style="142" hidden="1" customWidth="1"/>
    <col min="12291" max="12293" width="2.86328125" style="142" hidden="1" customWidth="1"/>
    <col min="12294" max="12303" width="12.86328125" style="142" hidden="1" customWidth="1"/>
    <col min="12304" max="12304" width="2.86328125" style="142" hidden="1" customWidth="1"/>
    <col min="12305" max="12545" width="0" style="142" hidden="1"/>
    <col min="12546" max="12546" width="3.1328125" style="142" hidden="1" customWidth="1"/>
    <col min="12547" max="12549" width="2.86328125" style="142" hidden="1" customWidth="1"/>
    <col min="12550" max="12559" width="12.86328125" style="142" hidden="1" customWidth="1"/>
    <col min="12560" max="12560" width="2.86328125" style="142" hidden="1" customWidth="1"/>
    <col min="12561" max="12801" width="0" style="142" hidden="1"/>
    <col min="12802" max="12802" width="3.1328125" style="142" hidden="1" customWidth="1"/>
    <col min="12803" max="12805" width="2.86328125" style="142" hidden="1" customWidth="1"/>
    <col min="12806" max="12815" width="12.86328125" style="142" hidden="1" customWidth="1"/>
    <col min="12816" max="12816" width="2.86328125" style="142" hidden="1" customWidth="1"/>
    <col min="12817" max="13057" width="0" style="142" hidden="1"/>
    <col min="13058" max="13058" width="3.1328125" style="142" hidden="1" customWidth="1"/>
    <col min="13059" max="13061" width="2.86328125" style="142" hidden="1" customWidth="1"/>
    <col min="13062" max="13071" width="12.86328125" style="142" hidden="1" customWidth="1"/>
    <col min="13072" max="13072" width="2.86328125" style="142" hidden="1" customWidth="1"/>
    <col min="13073" max="13313" width="0" style="142" hidden="1"/>
    <col min="13314" max="13314" width="3.1328125" style="142" hidden="1" customWidth="1"/>
    <col min="13315" max="13317" width="2.86328125" style="142" hidden="1" customWidth="1"/>
    <col min="13318" max="13327" width="12.86328125" style="142" hidden="1" customWidth="1"/>
    <col min="13328" max="13328" width="2.86328125" style="142" hidden="1" customWidth="1"/>
    <col min="13329" max="13569" width="0" style="142" hidden="1"/>
    <col min="13570" max="13570" width="3.1328125" style="142" hidden="1" customWidth="1"/>
    <col min="13571" max="13573" width="2.86328125" style="142" hidden="1" customWidth="1"/>
    <col min="13574" max="13583" width="12.86328125" style="142" hidden="1" customWidth="1"/>
    <col min="13584" max="13584" width="2.86328125" style="142" hidden="1" customWidth="1"/>
    <col min="13585" max="13825" width="0" style="142" hidden="1"/>
    <col min="13826" max="13826" width="3.1328125" style="142" hidden="1" customWidth="1"/>
    <col min="13827" max="13829" width="2.86328125" style="142" hidden="1" customWidth="1"/>
    <col min="13830" max="13839" width="12.86328125" style="142" hidden="1" customWidth="1"/>
    <col min="13840" max="13840" width="2.86328125" style="142" hidden="1" customWidth="1"/>
    <col min="13841" max="14081" width="0" style="142" hidden="1"/>
    <col min="14082" max="14082" width="3.1328125" style="142" hidden="1" customWidth="1"/>
    <col min="14083" max="14085" width="2.86328125" style="142" hidden="1" customWidth="1"/>
    <col min="14086" max="14095" width="12.86328125" style="142" hidden="1" customWidth="1"/>
    <col min="14096" max="14096" width="2.86328125" style="142" hidden="1" customWidth="1"/>
    <col min="14097" max="14337" width="0" style="142" hidden="1"/>
    <col min="14338" max="14338" width="3.1328125" style="142" hidden="1" customWidth="1"/>
    <col min="14339" max="14341" width="2.86328125" style="142" hidden="1" customWidth="1"/>
    <col min="14342" max="14351" width="12.86328125" style="142" hidden="1" customWidth="1"/>
    <col min="14352" max="14352" width="2.86328125" style="142" hidden="1" customWidth="1"/>
    <col min="14353" max="14593" width="0" style="142" hidden="1"/>
    <col min="14594" max="14594" width="3.1328125" style="142" hidden="1" customWidth="1"/>
    <col min="14595" max="14597" width="2.86328125" style="142" hidden="1" customWidth="1"/>
    <col min="14598" max="14607" width="12.86328125" style="142" hidden="1" customWidth="1"/>
    <col min="14608" max="14608" width="2.86328125" style="142" hidden="1" customWidth="1"/>
    <col min="14609" max="14849" width="0" style="142" hidden="1"/>
    <col min="14850" max="14850" width="3.1328125" style="142" hidden="1" customWidth="1"/>
    <col min="14851" max="14853" width="2.86328125" style="142" hidden="1" customWidth="1"/>
    <col min="14854" max="14863" width="12.86328125" style="142" hidden="1" customWidth="1"/>
    <col min="14864" max="14864" width="2.86328125" style="142" hidden="1" customWidth="1"/>
    <col min="14865" max="15105" width="0" style="142" hidden="1"/>
    <col min="15106" max="15106" width="3.1328125" style="142" hidden="1" customWidth="1"/>
    <col min="15107" max="15109" width="2.86328125" style="142" hidden="1" customWidth="1"/>
    <col min="15110" max="15119" width="12.86328125" style="142" hidden="1" customWidth="1"/>
    <col min="15120" max="15120" width="2.86328125" style="142" hidden="1" customWidth="1"/>
    <col min="15121" max="15361" width="0" style="142" hidden="1"/>
    <col min="15362" max="15362" width="3.1328125" style="142" hidden="1" customWidth="1"/>
    <col min="15363" max="15365" width="2.86328125" style="142" hidden="1" customWidth="1"/>
    <col min="15366" max="15375" width="12.86328125" style="142" hidden="1" customWidth="1"/>
    <col min="15376" max="15376" width="2.86328125" style="142" hidden="1" customWidth="1"/>
    <col min="15377" max="15617" width="0" style="142" hidden="1"/>
    <col min="15618" max="15618" width="3.1328125" style="142" hidden="1" customWidth="1"/>
    <col min="15619" max="15621" width="2.86328125" style="142" hidden="1" customWidth="1"/>
    <col min="15622" max="15631" width="12.86328125" style="142" hidden="1" customWidth="1"/>
    <col min="15632" max="15632" width="2.86328125" style="142" hidden="1" customWidth="1"/>
    <col min="15633" max="15873" width="0" style="142" hidden="1"/>
    <col min="15874" max="15874" width="3.1328125" style="142" hidden="1" customWidth="1"/>
    <col min="15875" max="15877" width="2.86328125" style="142" hidden="1" customWidth="1"/>
    <col min="15878" max="15887" width="12.86328125" style="142" hidden="1" customWidth="1"/>
    <col min="15888" max="15888" width="2.86328125" style="142" hidden="1" customWidth="1"/>
    <col min="15889" max="16129" width="0" style="142" hidden="1"/>
    <col min="16130" max="16130" width="3.1328125" style="142" hidden="1" customWidth="1"/>
    <col min="16131" max="16133" width="2.86328125" style="142" hidden="1" customWidth="1"/>
    <col min="16134" max="16143" width="12.86328125" style="142" hidden="1" customWidth="1"/>
    <col min="16144" max="16144" width="2.86328125" style="142" hidden="1" customWidth="1"/>
    <col min="16145" max="16145" width="2.86328125" style="142" hidden="1"/>
    <col min="16146" max="16154" width="12.86328125" style="142" hidden="1"/>
    <col min="16155" max="16156" width="2.86328125" style="142" hidden="1"/>
    <col min="16157" max="16164" width="12.86328125" style="142" hidden="1"/>
    <col min="16165" max="16170" width="2.86328125" style="142" hidden="1"/>
    <col min="16171" max="16384" width="0" style="142" hidden="1"/>
  </cols>
  <sheetData>
    <row r="1" spans="1:19" s="134" customFormat="1" x14ac:dyDescent="0.35">
      <c r="A1" s="1354" t="s">
        <v>584</v>
      </c>
      <c r="B1" s="1354"/>
      <c r="C1" s="1354"/>
      <c r="D1" s="1355"/>
      <c r="E1" s="1355"/>
      <c r="F1" s="1355"/>
      <c r="G1" s="1355"/>
      <c r="H1" s="1355"/>
      <c r="I1" s="1355"/>
      <c r="J1" s="1355"/>
      <c r="K1" s="1355"/>
      <c r="L1" s="1355"/>
      <c r="M1" s="1355"/>
      <c r="N1" s="1355"/>
      <c r="O1" s="1355"/>
      <c r="P1" s="1355"/>
    </row>
    <row r="2" spans="1:19" s="134" customFormat="1" x14ac:dyDescent="0.35">
      <c r="A2" s="1356"/>
      <c r="B2" s="1356"/>
      <c r="C2" s="1356"/>
      <c r="D2" s="1355"/>
      <c r="E2" s="1355"/>
      <c r="F2" s="1355"/>
      <c r="G2" s="1355"/>
      <c r="H2" s="1355"/>
      <c r="I2" s="1355"/>
      <c r="J2" s="1355"/>
      <c r="K2" s="1355"/>
      <c r="L2" s="1355"/>
      <c r="M2" s="1355"/>
      <c r="N2" s="1355"/>
      <c r="O2" s="1355"/>
      <c r="P2" s="1355"/>
    </row>
    <row r="3" spans="1:19" s="136" customFormat="1" ht="12.75" customHeight="1" x14ac:dyDescent="0.4">
      <c r="A3" s="138" t="s">
        <v>715</v>
      </c>
      <c r="B3" s="138"/>
      <c r="C3" s="138"/>
      <c r="D3" s="139"/>
      <c r="E3" s="139"/>
      <c r="F3" s="140"/>
      <c r="G3" s="140"/>
      <c r="H3" s="141"/>
      <c r="I3" s="141"/>
      <c r="J3" s="141"/>
      <c r="K3" s="141"/>
      <c r="L3" s="141"/>
      <c r="M3" s="141"/>
      <c r="N3" s="141"/>
      <c r="O3" s="141"/>
      <c r="P3" s="1361"/>
      <c r="Q3" s="137"/>
      <c r="R3" s="134"/>
      <c r="S3" s="134"/>
    </row>
    <row r="4" spans="1:19" s="1358" customFormat="1" ht="12.75" customHeight="1" x14ac:dyDescent="0.4">
      <c r="A4" s="1357"/>
      <c r="B4" s="1357"/>
      <c r="C4" s="1357"/>
      <c r="D4" s="1355"/>
      <c r="H4" s="1359"/>
      <c r="I4" s="1359"/>
      <c r="J4" s="1359"/>
      <c r="K4" s="1360"/>
      <c r="L4" s="1360"/>
      <c r="M4" s="1360"/>
      <c r="N4" s="1360"/>
      <c r="O4" s="1360"/>
      <c r="P4" s="1361"/>
      <c r="Q4" s="1362"/>
      <c r="R4" s="1355"/>
      <c r="S4" s="1355"/>
    </row>
    <row r="5" spans="1:19" s="1358" customFormat="1" ht="12.75" customHeight="1" x14ac:dyDescent="0.4">
      <c r="A5" s="1357"/>
      <c r="B5" s="1357"/>
      <c r="C5" s="1357"/>
      <c r="D5" s="1363" t="s">
        <v>717</v>
      </c>
      <c r="E5" s="1363"/>
      <c r="H5" s="1359"/>
      <c r="I5" s="1359"/>
      <c r="J5" s="1359"/>
      <c r="K5" s="1360"/>
      <c r="L5" s="1360"/>
      <c r="M5" s="1360"/>
      <c r="N5" s="1360"/>
      <c r="O5" s="1360"/>
      <c r="P5" s="1361"/>
      <c r="Q5" s="1362"/>
      <c r="R5" s="1355"/>
      <c r="S5" s="1355"/>
    </row>
    <row r="6" spans="1:19" s="1358" customFormat="1" ht="12.75" customHeight="1" x14ac:dyDescent="0.4">
      <c r="A6" s="1357"/>
      <c r="B6" s="1357"/>
      <c r="C6" s="1357"/>
      <c r="D6" s="1364"/>
      <c r="E6" s="1365" t="s">
        <v>718</v>
      </c>
      <c r="H6" s="1359"/>
      <c r="I6" s="1359"/>
      <c r="J6" s="1359"/>
      <c r="K6" s="1360"/>
      <c r="L6" s="1360"/>
      <c r="M6" s="1360"/>
      <c r="N6" s="1360"/>
      <c r="O6" s="1360"/>
      <c r="P6" s="1361"/>
      <c r="Q6" s="1362"/>
      <c r="R6" s="1355"/>
      <c r="S6" s="1355"/>
    </row>
    <row r="7" spans="1:19" s="1358" customFormat="1" ht="12.75" customHeight="1" x14ac:dyDescent="0.4">
      <c r="A7" s="1357"/>
      <c r="B7" s="1357"/>
      <c r="C7" s="1357"/>
      <c r="D7" s="1355"/>
      <c r="H7" s="1359"/>
      <c r="I7" s="1359"/>
      <c r="J7" s="1359"/>
      <c r="K7" s="1360"/>
      <c r="L7" s="1360"/>
      <c r="M7" s="1360"/>
      <c r="N7" s="1360"/>
      <c r="O7" s="1360"/>
      <c r="P7" s="1361"/>
      <c r="Q7" s="1362"/>
      <c r="R7" s="1355"/>
      <c r="S7" s="1355"/>
    </row>
    <row r="8" spans="1:19" s="1358" customFormat="1" ht="12.75" customHeight="1" x14ac:dyDescent="0.4">
      <c r="A8" s="1357"/>
      <c r="B8" s="1357"/>
      <c r="C8" s="1357"/>
      <c r="D8" s="1366" t="s">
        <v>655</v>
      </c>
      <c r="H8" s="1359"/>
      <c r="I8" s="1359"/>
      <c r="J8" s="1359"/>
      <c r="K8" s="1360"/>
      <c r="L8" s="1360"/>
      <c r="M8" s="1360"/>
      <c r="N8" s="1360"/>
      <c r="O8" s="1360"/>
      <c r="P8" s="1361"/>
      <c r="Q8" s="1362"/>
      <c r="R8" s="1355"/>
      <c r="S8" s="1355"/>
    </row>
    <row r="9" spans="1:19" s="1358" customFormat="1" ht="12.75" hidden="1" customHeight="1" outlineLevel="1" x14ac:dyDescent="0.4">
      <c r="A9" s="1357"/>
      <c r="B9" s="1357"/>
      <c r="C9" s="1357"/>
      <c r="D9" s="1367" t="s">
        <v>719</v>
      </c>
      <c r="H9" s="1359"/>
      <c r="I9" s="1359"/>
      <c r="J9" s="1359"/>
      <c r="K9" s="1360"/>
      <c r="L9" s="1360"/>
      <c r="M9" s="1360"/>
      <c r="N9" s="1360"/>
      <c r="O9" s="1360"/>
      <c r="P9" s="1361"/>
      <c r="Q9" s="1362"/>
      <c r="R9" s="1355"/>
      <c r="S9" s="1355"/>
    </row>
    <row r="10" spans="1:19" s="1358" customFormat="1" ht="12.75" hidden="1" customHeight="1" outlineLevel="1" x14ac:dyDescent="0.4">
      <c r="A10" s="1357"/>
      <c r="B10" s="1357"/>
      <c r="C10" s="1357"/>
      <c r="D10" s="1367" t="s">
        <v>720</v>
      </c>
      <c r="H10" s="1359"/>
      <c r="I10" s="1359"/>
      <c r="J10" s="1359"/>
      <c r="K10" s="1360"/>
      <c r="L10" s="1360"/>
      <c r="M10" s="1360"/>
      <c r="N10" s="1360"/>
      <c r="O10" s="1360"/>
      <c r="P10" s="1361"/>
      <c r="Q10" s="1362"/>
      <c r="R10" s="1355"/>
      <c r="S10" s="1355"/>
    </row>
    <row r="11" spans="1:19" s="1358" customFormat="1" ht="12.75" customHeight="1" collapsed="1" x14ac:dyDescent="0.4">
      <c r="A11" s="1357"/>
      <c r="B11" s="1357"/>
      <c r="C11" s="1357"/>
      <c r="D11" s="1355"/>
      <c r="H11" s="1359"/>
      <c r="I11" s="1359"/>
      <c r="J11" s="1359"/>
      <c r="K11" s="1360"/>
      <c r="L11" s="1360"/>
      <c r="M11" s="1360"/>
      <c r="N11" s="1360"/>
      <c r="O11" s="1360"/>
      <c r="P11" s="1361"/>
      <c r="Q11" s="1362"/>
      <c r="R11" s="1355"/>
      <c r="S11" s="1355"/>
    </row>
    <row r="12" spans="1:19" s="1358" customFormat="1" ht="12.75" customHeight="1" x14ac:dyDescent="0.4">
      <c r="A12" s="1357"/>
      <c r="B12" s="1357"/>
      <c r="C12" s="1357"/>
      <c r="D12" s="1355"/>
      <c r="H12" s="1359"/>
      <c r="I12" s="1359"/>
      <c r="J12" s="1359"/>
      <c r="K12" s="1360"/>
      <c r="L12" s="1360"/>
      <c r="M12" s="1360"/>
      <c r="N12" s="1360"/>
      <c r="O12" s="1360"/>
      <c r="P12" s="1361"/>
      <c r="Q12" s="1362"/>
      <c r="R12" s="1355"/>
      <c r="S12" s="1355"/>
    </row>
    <row r="13" spans="1:19" s="200" customFormat="1" ht="13.15" x14ac:dyDescent="0.4">
      <c r="A13" s="198" t="s">
        <v>721</v>
      </c>
      <c r="B13" s="198"/>
      <c r="C13" s="198"/>
      <c r="D13" s="198"/>
      <c r="E13" s="198"/>
      <c r="F13" s="198"/>
      <c r="G13" s="198"/>
      <c r="H13" s="198"/>
      <c r="I13" s="198"/>
      <c r="J13" s="198"/>
      <c r="K13" s="197"/>
      <c r="L13" s="197"/>
      <c r="M13" s="196"/>
      <c r="N13" s="196"/>
      <c r="O13" s="196"/>
      <c r="P13" s="1368"/>
    </row>
    <row r="14" spans="1:19" s="136" customFormat="1" ht="12.75" customHeight="1" x14ac:dyDescent="0.4">
      <c r="A14" s="1357"/>
      <c r="B14" s="1357"/>
      <c r="C14" s="1357"/>
      <c r="D14" s="1355"/>
      <c r="E14" s="1358"/>
      <c r="F14" s="1358"/>
      <c r="G14" s="1358"/>
      <c r="H14" s="1359"/>
      <c r="I14" s="1359"/>
      <c r="J14" s="1359"/>
      <c r="K14" s="1360"/>
      <c r="L14" s="1360"/>
      <c r="M14" s="1360"/>
      <c r="N14" s="1360"/>
      <c r="O14" s="1360"/>
      <c r="P14" s="1361"/>
      <c r="Q14" s="137"/>
      <c r="R14" s="134"/>
      <c r="S14" s="134"/>
    </row>
    <row r="15" spans="1:19" ht="12.75" customHeight="1" x14ac:dyDescent="0.35">
      <c r="A15" s="1369"/>
      <c r="B15" s="1369"/>
      <c r="C15" s="1369"/>
      <c r="D15" s="1369"/>
      <c r="E15" s="1369"/>
      <c r="F15" s="1369"/>
      <c r="G15" s="1369"/>
      <c r="H15" s="1369"/>
      <c r="I15" s="1369"/>
      <c r="J15" s="1369"/>
      <c r="K15" s="1369"/>
      <c r="L15" s="1369"/>
      <c r="M15" s="1369"/>
      <c r="N15" s="1369"/>
      <c r="O15" s="1369"/>
      <c r="P15" s="1369"/>
    </row>
    <row r="16" spans="1:19" ht="12.75" customHeight="1" x14ac:dyDescent="0.35">
      <c r="A16" s="1369"/>
      <c r="B16" s="1369"/>
      <c r="C16" s="1369"/>
      <c r="D16" s="220"/>
      <c r="E16" s="221"/>
      <c r="F16" s="221"/>
      <c r="G16" s="221"/>
      <c r="H16" s="221"/>
      <c r="I16" s="221"/>
      <c r="J16" s="221"/>
      <c r="K16" s="221"/>
      <c r="L16" s="222"/>
      <c r="M16" s="222"/>
      <c r="N16" s="222"/>
      <c r="O16" s="223"/>
      <c r="P16" s="1369"/>
    </row>
    <row r="17" spans="1:16" ht="12.75" customHeight="1" x14ac:dyDescent="0.35">
      <c r="A17" s="1369"/>
      <c r="B17" s="1369"/>
      <c r="C17" s="1369"/>
      <c r="D17" s="224"/>
      <c r="E17" s="225" t="s">
        <v>415</v>
      </c>
      <c r="F17" s="225"/>
      <c r="G17" s="225"/>
      <c r="H17" s="225"/>
      <c r="I17" s="225"/>
      <c r="J17" s="225"/>
      <c r="K17" s="225"/>
      <c r="L17" s="225"/>
      <c r="M17" s="225"/>
      <c r="N17" s="225"/>
      <c r="O17" s="226"/>
      <c r="P17" s="1369"/>
    </row>
    <row r="18" spans="1:16" ht="12.75" customHeight="1" x14ac:dyDescent="0.35">
      <c r="A18" s="1369"/>
      <c r="B18" s="1369"/>
      <c r="C18" s="1369"/>
      <c r="D18" s="224"/>
      <c r="E18" s="225"/>
      <c r="F18" s="225" t="s">
        <v>440</v>
      </c>
      <c r="G18" s="225"/>
      <c r="H18" s="225"/>
      <c r="I18" s="225"/>
      <c r="J18" s="225"/>
      <c r="K18" s="225"/>
      <c r="L18" s="2356">
        <f>'I. Summary Outputs'!L23</f>
        <v>835</v>
      </c>
      <c r="M18" s="2356"/>
      <c r="N18" s="2353"/>
      <c r="O18" s="226"/>
      <c r="P18" s="1369"/>
    </row>
    <row r="19" spans="1:16" ht="12.75" customHeight="1" x14ac:dyDescent="0.35">
      <c r="A19" s="1369"/>
      <c r="B19" s="1369"/>
      <c r="C19" s="1369"/>
      <c r="D19" s="224"/>
      <c r="E19" s="225"/>
      <c r="F19" s="225" t="s">
        <v>441</v>
      </c>
      <c r="G19" s="225"/>
      <c r="H19" s="225"/>
      <c r="I19" s="225"/>
      <c r="J19" s="225"/>
      <c r="K19" s="225"/>
      <c r="L19" s="2357">
        <f>'I. Summary Outputs'!L25</f>
        <v>0.19400000000000001</v>
      </c>
      <c r="M19" s="2357"/>
      <c r="N19" s="2357"/>
      <c r="O19" s="226"/>
      <c r="P19" s="1369"/>
    </row>
    <row r="20" spans="1:16" ht="12.75" customHeight="1" x14ac:dyDescent="0.35">
      <c r="A20" s="1369"/>
      <c r="B20" s="1369"/>
      <c r="C20" s="1369"/>
      <c r="D20" s="224"/>
      <c r="E20" s="225"/>
      <c r="F20" s="225" t="s">
        <v>416</v>
      </c>
      <c r="G20" s="225"/>
      <c r="H20" s="225"/>
      <c r="I20" s="225"/>
      <c r="J20" s="225"/>
      <c r="K20" s="225"/>
      <c r="L20" s="2356">
        <f>'I. Summary Outputs'!L26</f>
        <v>1419032.4000000001</v>
      </c>
      <c r="M20" s="2356"/>
      <c r="N20" s="2353"/>
      <c r="O20" s="226"/>
      <c r="P20" s="1369"/>
    </row>
    <row r="21" spans="1:16" ht="12.75" customHeight="1" x14ac:dyDescent="0.35">
      <c r="A21" s="1369"/>
      <c r="B21" s="1369"/>
      <c r="C21" s="1369"/>
      <c r="D21" s="224"/>
      <c r="E21" s="225"/>
      <c r="F21" s="225"/>
      <c r="G21" s="225"/>
      <c r="H21" s="225"/>
      <c r="I21" s="225"/>
      <c r="J21" s="225"/>
      <c r="K21" s="225"/>
      <c r="L21" s="225"/>
      <c r="M21" s="225"/>
      <c r="N21" s="225"/>
      <c r="O21" s="226"/>
      <c r="P21" s="1369"/>
    </row>
    <row r="22" spans="1:16" ht="12.75" customHeight="1" x14ac:dyDescent="0.35">
      <c r="A22" s="1369"/>
      <c r="B22" s="1369"/>
      <c r="C22" s="1369"/>
      <c r="D22" s="224"/>
      <c r="E22" s="225" t="s">
        <v>643</v>
      </c>
      <c r="F22" s="225"/>
      <c r="G22" s="225"/>
      <c r="H22" s="225"/>
      <c r="I22" s="225"/>
      <c r="J22" s="225"/>
      <c r="K22" s="225"/>
      <c r="L22" s="2353"/>
      <c r="M22" s="2353"/>
      <c r="N22" s="2353"/>
      <c r="O22" s="226"/>
      <c r="P22" s="1369"/>
    </row>
    <row r="23" spans="1:16" ht="12.75" customHeight="1" x14ac:dyDescent="0.35">
      <c r="A23" s="1369"/>
      <c r="B23" s="1369"/>
      <c r="C23" s="1369"/>
      <c r="D23" s="224"/>
      <c r="E23" s="225"/>
      <c r="F23" s="225" t="str">
        <f>'II. Inputs, Baseline Energy Mix'!N18</f>
        <v>CCGT</v>
      </c>
      <c r="G23" s="225"/>
      <c r="H23" s="225"/>
      <c r="I23" s="225"/>
      <c r="J23" s="225"/>
      <c r="K23" s="225"/>
      <c r="L23" s="225"/>
      <c r="M23" s="381">
        <f>'II. Inputs, Baseline Energy Mix'!N19</f>
        <v>1</v>
      </c>
      <c r="N23" s="225"/>
      <c r="O23" s="226"/>
      <c r="P23" s="1369"/>
    </row>
    <row r="24" spans="1:16" s="216" customFormat="1" ht="12.75" customHeight="1" x14ac:dyDescent="0.35">
      <c r="A24" s="1370"/>
      <c r="B24" s="1370"/>
      <c r="C24" s="1370"/>
      <c r="D24" s="224"/>
      <c r="E24" s="225"/>
      <c r="F24" s="225" t="str">
        <f>'II. Inputs, Baseline Energy Mix'!O18</f>
        <v>Technology #2</v>
      </c>
      <c r="G24" s="225"/>
      <c r="H24" s="225"/>
      <c r="I24" s="225"/>
      <c r="J24" s="225"/>
      <c r="K24" s="225"/>
      <c r="L24" s="225"/>
      <c r="M24" s="381">
        <f>'II. Inputs, Baseline Energy Mix'!O19</f>
        <v>0</v>
      </c>
      <c r="N24" s="225"/>
      <c r="O24" s="226"/>
      <c r="P24" s="1370"/>
    </row>
    <row r="25" spans="1:16" s="216" customFormat="1" ht="12.75" customHeight="1" x14ac:dyDescent="0.35">
      <c r="A25" s="1370"/>
      <c r="B25" s="1370"/>
      <c r="C25" s="1370"/>
      <c r="D25" s="224"/>
      <c r="E25" s="225"/>
      <c r="F25" s="225" t="str">
        <f>'II. Inputs, Baseline Energy Mix'!P18</f>
        <v>Technology #3</v>
      </c>
      <c r="G25" s="225"/>
      <c r="H25" s="225"/>
      <c r="I25" s="225"/>
      <c r="J25" s="225"/>
      <c r="K25" s="225"/>
      <c r="L25" s="225"/>
      <c r="M25" s="381">
        <f>'II. Inputs, Baseline Energy Mix'!P19</f>
        <v>0</v>
      </c>
      <c r="N25" s="225"/>
      <c r="O25" s="226"/>
      <c r="P25" s="1370"/>
    </row>
    <row r="26" spans="1:16" s="216" customFormat="1" ht="12.75" customHeight="1" x14ac:dyDescent="0.35">
      <c r="A26" s="1370"/>
      <c r="B26" s="1370"/>
      <c r="C26" s="1370"/>
      <c r="D26" s="224"/>
      <c r="E26" s="225"/>
      <c r="F26" s="225" t="str">
        <f>'II. Inputs, Baseline Energy Mix'!Q18</f>
        <v>Technology #4</v>
      </c>
      <c r="G26" s="225"/>
      <c r="H26" s="225"/>
      <c r="I26" s="225"/>
      <c r="J26" s="225"/>
      <c r="K26" s="225"/>
      <c r="L26" s="225"/>
      <c r="M26" s="381">
        <f>'II. Inputs, Baseline Energy Mix'!Q19</f>
        <v>0</v>
      </c>
      <c r="N26" s="225"/>
      <c r="O26" s="226"/>
      <c r="P26" s="1370"/>
    </row>
    <row r="27" spans="1:16" s="216" customFormat="1" ht="12.75" customHeight="1" x14ac:dyDescent="0.35">
      <c r="A27" s="1370"/>
      <c r="B27" s="1370"/>
      <c r="C27" s="1370"/>
      <c r="D27" s="224"/>
      <c r="E27" s="225"/>
      <c r="F27" s="225" t="str">
        <f>'II. Inputs, Baseline Energy Mix'!R18</f>
        <v>Technology #5</v>
      </c>
      <c r="G27" s="225"/>
      <c r="H27" s="225"/>
      <c r="I27" s="225"/>
      <c r="J27" s="225"/>
      <c r="K27" s="225"/>
      <c r="L27" s="225"/>
      <c r="M27" s="381">
        <f>'II. Inputs, Baseline Energy Mix'!R19</f>
        <v>0</v>
      </c>
      <c r="N27" s="225"/>
      <c r="O27" s="226"/>
      <c r="P27" s="1370"/>
    </row>
    <row r="28" spans="1:16" s="216" customFormat="1" ht="12.75" customHeight="1" x14ac:dyDescent="0.35">
      <c r="A28" s="1370"/>
      <c r="B28" s="1370"/>
      <c r="C28" s="1370"/>
      <c r="D28" s="224"/>
      <c r="E28" s="225"/>
      <c r="F28" s="225" t="str">
        <f>'II. Inputs, Baseline Energy Mix'!S18</f>
        <v>Technology #6</v>
      </c>
      <c r="G28" s="225"/>
      <c r="H28" s="225"/>
      <c r="I28" s="225"/>
      <c r="J28" s="225"/>
      <c r="K28" s="225"/>
      <c r="L28" s="225"/>
      <c r="M28" s="381">
        <f>'II. Inputs, Baseline Energy Mix'!S19</f>
        <v>0</v>
      </c>
      <c r="N28" s="225"/>
      <c r="O28" s="226"/>
      <c r="P28" s="1370"/>
    </row>
    <row r="29" spans="1:16" ht="12.75" customHeight="1" x14ac:dyDescent="0.35">
      <c r="A29" s="1369"/>
      <c r="B29" s="1369"/>
      <c r="C29" s="1369"/>
      <c r="D29" s="224"/>
      <c r="E29" s="225"/>
      <c r="F29" s="225"/>
      <c r="G29" s="225"/>
      <c r="H29" s="225"/>
      <c r="I29" s="225"/>
      <c r="J29" s="225"/>
      <c r="K29" s="225"/>
      <c r="L29" s="2354"/>
      <c r="M29" s="2354"/>
      <c r="N29" s="2355"/>
      <c r="O29" s="226"/>
      <c r="P29" s="1369"/>
    </row>
    <row r="30" spans="1:16" ht="12.75" customHeight="1" x14ac:dyDescent="0.35">
      <c r="A30" s="1369"/>
      <c r="B30" s="1369"/>
      <c r="C30" s="1369"/>
      <c r="D30" s="224"/>
      <c r="E30" s="225"/>
      <c r="F30" s="225" t="s">
        <v>417</v>
      </c>
      <c r="G30" s="225"/>
      <c r="H30" s="225"/>
      <c r="I30" s="225"/>
      <c r="J30" s="225"/>
      <c r="K30" s="225"/>
      <c r="L30" s="2358">
        <f>'II. Inputs, Baseline Energy Mix'!T24</f>
        <v>0.374</v>
      </c>
      <c r="M30" s="2358"/>
      <c r="N30" s="2358"/>
      <c r="O30" s="226"/>
      <c r="P30" s="1369"/>
    </row>
    <row r="31" spans="1:16" ht="12.75" customHeight="1" x14ac:dyDescent="0.35">
      <c r="A31" s="1369"/>
      <c r="B31" s="1369"/>
      <c r="C31" s="1369"/>
      <c r="D31" s="224"/>
      <c r="E31" s="225"/>
      <c r="F31" s="225"/>
      <c r="G31" s="225"/>
      <c r="H31" s="225"/>
      <c r="I31" s="225"/>
      <c r="J31" s="225"/>
      <c r="K31" s="225"/>
      <c r="L31" s="225"/>
      <c r="M31" s="225"/>
      <c r="N31" s="225"/>
      <c r="O31" s="226"/>
      <c r="P31" s="1369"/>
    </row>
    <row r="32" spans="1:16" ht="12.75" customHeight="1" x14ac:dyDescent="0.35">
      <c r="A32" s="1369"/>
      <c r="B32" s="1369"/>
      <c r="C32" s="1369"/>
      <c r="D32" s="224"/>
      <c r="E32" s="225" t="s">
        <v>418</v>
      </c>
      <c r="F32" s="225"/>
      <c r="G32" s="225"/>
      <c r="H32" s="225"/>
      <c r="I32" s="225"/>
      <c r="J32" s="225"/>
      <c r="K32" s="225"/>
      <c r="L32" s="225"/>
      <c r="M32" s="225"/>
      <c r="N32" s="225"/>
      <c r="O32" s="226"/>
      <c r="P32" s="1369"/>
    </row>
    <row r="33" spans="1:16" ht="12.75" customHeight="1" x14ac:dyDescent="0.35">
      <c r="A33" s="1369"/>
      <c r="B33" s="1369"/>
      <c r="C33" s="1369"/>
      <c r="D33" s="224"/>
      <c r="E33" s="225"/>
      <c r="F33" s="225" t="s">
        <v>419</v>
      </c>
      <c r="G33" s="225"/>
      <c r="H33" s="225"/>
      <c r="I33" s="225"/>
      <c r="J33" s="225"/>
      <c r="K33" s="225"/>
      <c r="L33" s="2352">
        <f>'I. Summary Outputs'!L31</f>
        <v>0.25</v>
      </c>
      <c r="M33" s="2352"/>
      <c r="N33" s="2353"/>
      <c r="O33" s="226"/>
      <c r="P33" s="1369"/>
    </row>
    <row r="34" spans="1:16" ht="12.75" customHeight="1" x14ac:dyDescent="0.35">
      <c r="A34" s="1369"/>
      <c r="B34" s="1369"/>
      <c r="C34" s="1369"/>
      <c r="D34" s="224"/>
      <c r="E34" s="225"/>
      <c r="F34" s="225" t="s">
        <v>420</v>
      </c>
      <c r="G34" s="225"/>
      <c r="H34" s="225"/>
      <c r="I34" s="225"/>
      <c r="J34" s="225"/>
      <c r="K34" s="225"/>
      <c r="L34" s="2354">
        <f>'I. Summary Outputs'!L32</f>
        <v>7.0000000000000007E-2</v>
      </c>
      <c r="M34" s="2354"/>
      <c r="N34" s="2355"/>
      <c r="O34" s="226"/>
      <c r="P34" s="1369"/>
    </row>
    <row r="35" spans="1:16" ht="12.75" customHeight="1" x14ac:dyDescent="0.35">
      <c r="A35" s="1369"/>
      <c r="B35" s="1369"/>
      <c r="C35" s="1369"/>
      <c r="D35" s="228"/>
      <c r="E35" s="229"/>
      <c r="F35" s="229"/>
      <c r="G35" s="229"/>
      <c r="H35" s="229"/>
      <c r="I35" s="229"/>
      <c r="J35" s="229"/>
      <c r="K35" s="229"/>
      <c r="L35" s="229"/>
      <c r="M35" s="229"/>
      <c r="N35" s="229"/>
      <c r="O35" s="230"/>
      <c r="P35" s="1369"/>
    </row>
    <row r="36" spans="1:16" ht="12.75" customHeight="1" x14ac:dyDescent="0.35">
      <c r="A36" s="1369"/>
      <c r="B36" s="1369"/>
      <c r="C36" s="1369"/>
      <c r="D36" s="1368"/>
      <c r="E36" s="1368"/>
      <c r="F36" s="1368"/>
      <c r="G36" s="1368"/>
      <c r="H36" s="1368"/>
      <c r="I36" s="1368"/>
      <c r="J36" s="1368"/>
      <c r="K36" s="1368"/>
      <c r="L36" s="1368"/>
      <c r="M36" s="1368"/>
      <c r="N36" s="1368"/>
      <c r="O36" s="1368"/>
      <c r="P36" s="1369"/>
    </row>
    <row r="37" spans="1:16" ht="12.75" customHeight="1" x14ac:dyDescent="0.35">
      <c r="A37" s="1369"/>
      <c r="B37" s="1369"/>
      <c r="C37" s="1369"/>
      <c r="D37" s="220"/>
      <c r="E37" s="221"/>
      <c r="F37" s="221"/>
      <c r="G37" s="221"/>
      <c r="H37" s="221"/>
      <c r="I37" s="221"/>
      <c r="J37" s="221"/>
      <c r="K37" s="221"/>
      <c r="L37" s="221"/>
      <c r="M37" s="221"/>
      <c r="N37" s="221"/>
      <c r="O37" s="223"/>
      <c r="P37" s="1369"/>
    </row>
    <row r="38" spans="1:16" ht="12.75" customHeight="1" x14ac:dyDescent="0.35">
      <c r="A38" s="1369"/>
      <c r="B38" s="1369"/>
      <c r="C38" s="1369"/>
      <c r="D38" s="224"/>
      <c r="E38" s="225"/>
      <c r="F38" s="225"/>
      <c r="G38" s="225"/>
      <c r="H38" s="225"/>
      <c r="I38" s="225"/>
      <c r="J38" s="225"/>
      <c r="K38" s="225"/>
      <c r="L38" s="231" t="s">
        <v>421</v>
      </c>
      <c r="M38" s="232"/>
      <c r="N38" s="231" t="s">
        <v>422</v>
      </c>
      <c r="O38" s="226"/>
      <c r="P38" s="1369"/>
    </row>
    <row r="39" spans="1:16" ht="12.75" customHeight="1" x14ac:dyDescent="0.35">
      <c r="A39" s="1369"/>
      <c r="B39" s="1369"/>
      <c r="C39" s="1369"/>
      <c r="D39" s="224"/>
      <c r="E39" s="225"/>
      <c r="F39" s="225"/>
      <c r="G39" s="225"/>
      <c r="H39" s="225"/>
      <c r="I39" s="225"/>
      <c r="J39" s="225"/>
      <c r="K39" s="225"/>
      <c r="L39" s="233" t="s">
        <v>423</v>
      </c>
      <c r="M39" s="232"/>
      <c r="N39" s="233" t="s">
        <v>423</v>
      </c>
      <c r="O39" s="226"/>
      <c r="P39" s="1369"/>
    </row>
    <row r="40" spans="1:16" ht="12.75" customHeight="1" x14ac:dyDescent="0.35">
      <c r="A40" s="1369"/>
      <c r="B40" s="1369"/>
      <c r="C40" s="1369"/>
      <c r="D40" s="224"/>
      <c r="E40" s="225" t="s">
        <v>424</v>
      </c>
      <c r="F40" s="225"/>
      <c r="G40" s="225"/>
      <c r="H40" s="225"/>
      <c r="I40" s="225"/>
      <c r="J40" s="225"/>
      <c r="K40" s="225"/>
      <c r="L40" s="234"/>
      <c r="M40" s="225"/>
      <c r="N40" s="234"/>
      <c r="O40" s="226"/>
      <c r="P40" s="1369"/>
    </row>
    <row r="41" spans="1:16" ht="12.75" customHeight="1" x14ac:dyDescent="0.35">
      <c r="A41" s="1369"/>
      <c r="B41" s="1369"/>
      <c r="C41" s="1369"/>
      <c r="D41" s="224"/>
      <c r="E41" s="225"/>
      <c r="F41" s="225" t="s">
        <v>23</v>
      </c>
      <c r="G41" s="225"/>
      <c r="H41" s="225"/>
      <c r="I41" s="225"/>
      <c r="J41" s="225"/>
      <c r="K41" s="225"/>
      <c r="L41" s="234"/>
      <c r="M41" s="225"/>
      <c r="N41" s="234"/>
      <c r="O41" s="226"/>
      <c r="P41" s="1369"/>
    </row>
    <row r="42" spans="1:16" ht="12.75" customHeight="1" x14ac:dyDescent="0.35">
      <c r="A42" s="1369"/>
      <c r="B42" s="1369"/>
      <c r="C42" s="1369"/>
      <c r="D42" s="224"/>
      <c r="E42" s="225"/>
      <c r="F42" s="225"/>
      <c r="G42" s="225" t="s">
        <v>425</v>
      </c>
      <c r="H42" s="225"/>
      <c r="I42" s="225"/>
      <c r="J42" s="225"/>
      <c r="K42" s="225"/>
      <c r="L42" s="235" t="str">
        <f>'I. Summary Outputs'!L40</f>
        <v>70%/30%</v>
      </c>
      <c r="M42" s="227"/>
      <c r="N42" s="235" t="str">
        <f>'I. Summary Outputs'!N40</f>
        <v>72.5%/27.5%</v>
      </c>
      <c r="O42" s="226"/>
      <c r="P42" s="1369"/>
    </row>
    <row r="43" spans="1:16" ht="12.75" customHeight="1" x14ac:dyDescent="0.35">
      <c r="A43" s="1369"/>
      <c r="B43" s="1369"/>
      <c r="C43" s="1369"/>
      <c r="D43" s="224"/>
      <c r="E43" s="225"/>
      <c r="F43" s="225"/>
      <c r="G43" s="225"/>
      <c r="H43" s="225"/>
      <c r="I43" s="225"/>
      <c r="J43" s="225"/>
      <c r="K43" s="225"/>
      <c r="L43" s="234"/>
      <c r="M43" s="225"/>
      <c r="N43" s="234"/>
      <c r="O43" s="226"/>
      <c r="P43" s="1369"/>
    </row>
    <row r="44" spans="1:16" ht="12.75" customHeight="1" x14ac:dyDescent="0.35">
      <c r="A44" s="1369"/>
      <c r="B44" s="1369"/>
      <c r="C44" s="1369"/>
      <c r="D44" s="224"/>
      <c r="E44" s="225"/>
      <c r="F44" s="225" t="s">
        <v>47</v>
      </c>
      <c r="G44" s="225"/>
      <c r="H44" s="225"/>
      <c r="I44" s="225"/>
      <c r="J44" s="225"/>
      <c r="K44" s="225"/>
      <c r="L44" s="234"/>
      <c r="M44" s="225"/>
      <c r="N44" s="234"/>
      <c r="O44" s="226"/>
      <c r="P44" s="1369"/>
    </row>
    <row r="45" spans="1:16" ht="12.75" customHeight="1" x14ac:dyDescent="0.35">
      <c r="A45" s="1369"/>
      <c r="B45" s="1369"/>
      <c r="C45" s="1369"/>
      <c r="D45" s="224"/>
      <c r="E45" s="225"/>
      <c r="F45" s="225"/>
      <c r="G45" s="225" t="s">
        <v>437</v>
      </c>
      <c r="H45" s="225"/>
      <c r="I45" s="225"/>
      <c r="J45" s="225"/>
      <c r="K45" s="225"/>
      <c r="L45" s="236" t="str">
        <f>'I. Summary Outputs'!L45</f>
        <v>NA</v>
      </c>
      <c r="M45" s="237"/>
      <c r="N45" s="236">
        <f>'I. Summary Outputs'!N45</f>
        <v>0.04</v>
      </c>
      <c r="O45" s="226"/>
      <c r="P45" s="1369"/>
    </row>
    <row r="46" spans="1:16" ht="12.75" customHeight="1" x14ac:dyDescent="0.35">
      <c r="A46" s="1369"/>
      <c r="B46" s="1369"/>
      <c r="C46" s="1369"/>
      <c r="D46" s="224"/>
      <c r="E46" s="225"/>
      <c r="F46" s="225"/>
      <c r="G46" s="225" t="s">
        <v>151</v>
      </c>
      <c r="H46" s="225"/>
      <c r="I46" s="225"/>
      <c r="J46" s="225"/>
      <c r="K46" s="225"/>
      <c r="L46" s="236" t="str">
        <f>'I. Summary Outputs'!L46</f>
        <v>NA</v>
      </c>
      <c r="M46" s="237"/>
      <c r="N46" s="236" t="str">
        <f>'I. Summary Outputs'!N46</f>
        <v>NA</v>
      </c>
      <c r="O46" s="226"/>
      <c r="P46" s="1369"/>
    </row>
    <row r="47" spans="1:16" ht="12.75" customHeight="1" x14ac:dyDescent="0.35">
      <c r="A47" s="1369"/>
      <c r="B47" s="1369"/>
      <c r="C47" s="1369"/>
      <c r="D47" s="224"/>
      <c r="E47" s="225"/>
      <c r="F47" s="225"/>
      <c r="G47" s="225" t="s">
        <v>152</v>
      </c>
      <c r="H47" s="225"/>
      <c r="I47" s="225"/>
      <c r="J47" s="225"/>
      <c r="K47" s="225"/>
      <c r="L47" s="236">
        <f>'I. Summary Outputs'!L47</f>
        <v>0.08</v>
      </c>
      <c r="M47" s="237"/>
      <c r="N47" s="236">
        <f>'I. Summary Outputs'!N47</f>
        <v>5.8339140534262486E-2</v>
      </c>
      <c r="O47" s="226"/>
      <c r="P47" s="1369"/>
    </row>
    <row r="48" spans="1:16" ht="12.75" customHeight="1" x14ac:dyDescent="0.35">
      <c r="A48" s="1369"/>
      <c r="B48" s="1369"/>
      <c r="C48" s="1369"/>
      <c r="D48" s="224"/>
      <c r="E48" s="225"/>
      <c r="F48" s="225"/>
      <c r="G48" s="225"/>
      <c r="H48" s="225"/>
      <c r="I48" s="225"/>
      <c r="J48" s="225"/>
      <c r="K48" s="225"/>
      <c r="L48" s="234"/>
      <c r="M48" s="225"/>
      <c r="N48" s="234"/>
      <c r="O48" s="226"/>
      <c r="P48" s="1369"/>
    </row>
    <row r="49" spans="1:16" ht="12.75" customHeight="1" x14ac:dyDescent="0.35">
      <c r="A49" s="1369"/>
      <c r="B49" s="1369"/>
      <c r="C49" s="1369"/>
      <c r="D49" s="224"/>
      <c r="E49" s="225"/>
      <c r="F49" s="225" t="s">
        <v>126</v>
      </c>
      <c r="G49" s="225"/>
      <c r="H49" s="225"/>
      <c r="I49" s="225"/>
      <c r="J49" s="225"/>
      <c r="K49" s="225"/>
      <c r="L49" s="234"/>
      <c r="M49" s="225"/>
      <c r="N49" s="234"/>
      <c r="O49" s="226"/>
      <c r="P49" s="1369"/>
    </row>
    <row r="50" spans="1:16" ht="12.75" customHeight="1" x14ac:dyDescent="0.35">
      <c r="A50" s="1369"/>
      <c r="B50" s="1369"/>
      <c r="C50" s="1369"/>
      <c r="D50" s="224"/>
      <c r="E50" s="225"/>
      <c r="F50" s="225"/>
      <c r="G50" s="225" t="s">
        <v>437</v>
      </c>
      <c r="H50" s="225"/>
      <c r="I50" s="225"/>
      <c r="J50" s="225"/>
      <c r="K50" s="225"/>
      <c r="L50" s="238" t="str">
        <f>'I. Summary Outputs'!L52</f>
        <v>NA</v>
      </c>
      <c r="M50" s="239"/>
      <c r="N50" s="238" t="str">
        <f>'I. Summary Outputs'!N52&amp;" years"</f>
        <v>20 years</v>
      </c>
      <c r="O50" s="226"/>
      <c r="P50" s="1369"/>
    </row>
    <row r="51" spans="1:16" ht="12.75" customHeight="1" x14ac:dyDescent="0.35">
      <c r="A51" s="1369"/>
      <c r="B51" s="1369"/>
      <c r="C51" s="1369"/>
      <c r="D51" s="224"/>
      <c r="E51" s="225"/>
      <c r="F51" s="225"/>
      <c r="G51" s="225" t="s">
        <v>151</v>
      </c>
      <c r="H51" s="225"/>
      <c r="I51" s="225"/>
      <c r="J51" s="225"/>
      <c r="K51" s="225"/>
      <c r="L51" s="233" t="str">
        <f>'I. Summary Outputs'!L53</f>
        <v>NA</v>
      </c>
      <c r="M51" s="232"/>
      <c r="N51" s="238" t="str">
        <f>'I. Summary Outputs'!N53</f>
        <v>NA</v>
      </c>
      <c r="O51" s="226"/>
      <c r="P51" s="1369"/>
    </row>
    <row r="52" spans="1:16" ht="12.75" customHeight="1" x14ac:dyDescent="0.35">
      <c r="A52" s="1369"/>
      <c r="B52" s="1369"/>
      <c r="C52" s="1369"/>
      <c r="D52" s="224"/>
      <c r="E52" s="225"/>
      <c r="F52" s="225"/>
      <c r="G52" s="225" t="s">
        <v>152</v>
      </c>
      <c r="H52" s="225"/>
      <c r="I52" s="225"/>
      <c r="J52" s="225"/>
      <c r="K52" s="225"/>
      <c r="L52" s="238" t="str">
        <f>'I. Summary Outputs'!L54&amp;" years"</f>
        <v>11 years</v>
      </c>
      <c r="M52" s="232"/>
      <c r="N52" s="238" t="str">
        <f>'I. Summary Outputs'!N54&amp;" years"</f>
        <v>12 years</v>
      </c>
      <c r="O52" s="226"/>
      <c r="P52" s="1369"/>
    </row>
    <row r="53" spans="1:16" ht="12.75" customHeight="1" x14ac:dyDescent="0.35">
      <c r="A53" s="1369"/>
      <c r="B53" s="1369"/>
      <c r="C53" s="1369"/>
      <c r="D53" s="224"/>
      <c r="E53" s="225"/>
      <c r="F53" s="225"/>
      <c r="G53" s="225"/>
      <c r="H53" s="225"/>
      <c r="I53" s="225"/>
      <c r="J53" s="225"/>
      <c r="K53" s="225"/>
      <c r="L53" s="234"/>
      <c r="M53" s="225"/>
      <c r="N53" s="234"/>
      <c r="O53" s="226"/>
      <c r="P53" s="1369"/>
    </row>
    <row r="54" spans="1:16" ht="12.75" customHeight="1" x14ac:dyDescent="0.35">
      <c r="A54" s="1369"/>
      <c r="B54" s="1369"/>
      <c r="C54" s="1369"/>
      <c r="D54" s="224"/>
      <c r="E54" s="225"/>
      <c r="F54" s="225" t="s">
        <v>72</v>
      </c>
      <c r="G54" s="225"/>
      <c r="H54" s="225"/>
      <c r="I54" s="225"/>
      <c r="J54" s="225"/>
      <c r="K54" s="225"/>
      <c r="L54" s="236">
        <f>'I. Summary Outputs'!L42</f>
        <v>0.17</v>
      </c>
      <c r="M54" s="237"/>
      <c r="N54" s="236">
        <f>'I. Summary Outputs'!N42</f>
        <v>0.12994976297665545</v>
      </c>
      <c r="O54" s="226"/>
      <c r="P54" s="1369"/>
    </row>
    <row r="55" spans="1:16" ht="12.75" customHeight="1" x14ac:dyDescent="0.35">
      <c r="A55" s="1369"/>
      <c r="B55" s="1369"/>
      <c r="C55" s="1369"/>
      <c r="D55" s="224"/>
      <c r="E55" s="225"/>
      <c r="F55" s="225"/>
      <c r="G55" s="225"/>
      <c r="H55" s="225"/>
      <c r="I55" s="225"/>
      <c r="J55" s="225"/>
      <c r="K55" s="225"/>
      <c r="L55" s="236"/>
      <c r="M55" s="237"/>
      <c r="N55" s="236"/>
      <c r="O55" s="226"/>
      <c r="P55" s="1369"/>
    </row>
    <row r="56" spans="1:16" ht="12.75" customHeight="1" x14ac:dyDescent="0.35">
      <c r="A56" s="1369"/>
      <c r="B56" s="1369"/>
      <c r="C56" s="1369"/>
      <c r="D56" s="224"/>
      <c r="E56" s="225"/>
      <c r="F56" s="225" t="s">
        <v>426</v>
      </c>
      <c r="G56" s="225"/>
      <c r="H56" s="225"/>
      <c r="I56" s="225"/>
      <c r="J56" s="225"/>
      <c r="K56" s="225"/>
      <c r="L56" s="236">
        <f>'I. Summary Outputs'!L49</f>
        <v>9.2999999999999999E-2</v>
      </c>
      <c r="M56" s="237"/>
      <c r="N56" s="236">
        <f>'I. Summary Outputs'!N49</f>
        <v>6.4466520184433912E-2</v>
      </c>
      <c r="O56" s="226"/>
      <c r="P56" s="1369"/>
    </row>
    <row r="57" spans="1:16" ht="12.75" customHeight="1" x14ac:dyDescent="0.35">
      <c r="A57" s="1369"/>
      <c r="B57" s="1369"/>
      <c r="C57" s="1369"/>
      <c r="D57" s="224"/>
      <c r="E57" s="225"/>
      <c r="F57" s="225"/>
      <c r="G57" s="225"/>
      <c r="H57" s="225"/>
      <c r="I57" s="225"/>
      <c r="J57" s="225"/>
      <c r="K57" s="225"/>
      <c r="L57" s="234"/>
      <c r="M57" s="225"/>
      <c r="N57" s="234"/>
      <c r="O57" s="226"/>
      <c r="P57" s="1369"/>
    </row>
    <row r="58" spans="1:16" ht="12.75" customHeight="1" x14ac:dyDescent="0.35">
      <c r="A58" s="1369"/>
      <c r="B58" s="1369"/>
      <c r="C58" s="1369"/>
      <c r="D58" s="224"/>
      <c r="E58" s="225" t="s">
        <v>427</v>
      </c>
      <c r="F58" s="225"/>
      <c r="G58" s="225"/>
      <c r="H58" s="225"/>
      <c r="I58" s="225"/>
      <c r="J58" s="225"/>
      <c r="K58" s="225"/>
      <c r="L58" s="234"/>
      <c r="M58" s="225"/>
      <c r="N58" s="234"/>
      <c r="O58" s="226"/>
      <c r="P58" s="1369"/>
    </row>
    <row r="59" spans="1:16" ht="12.75" customHeight="1" x14ac:dyDescent="0.35">
      <c r="A59" s="1369"/>
      <c r="B59" s="1369"/>
      <c r="C59" s="1369"/>
      <c r="D59" s="224"/>
      <c r="E59" s="225"/>
      <c r="F59" s="225" t="s">
        <v>740</v>
      </c>
      <c r="G59" s="225"/>
      <c r="H59" s="225"/>
      <c r="I59" s="225"/>
      <c r="J59" s="225"/>
      <c r="K59" s="225"/>
      <c r="L59" s="240">
        <f>'I. Summary Outputs'!L81/1000000</f>
        <v>531.58371587339934</v>
      </c>
      <c r="M59" s="241"/>
      <c r="N59" s="240">
        <f>'I. Summary Outputs'!N81/1000000</f>
        <v>531.58371587339934</v>
      </c>
      <c r="O59" s="226"/>
      <c r="P59" s="1369"/>
    </row>
    <row r="60" spans="1:16" ht="12.75" customHeight="1" x14ac:dyDescent="0.35">
      <c r="A60" s="1369"/>
      <c r="B60" s="1369"/>
      <c r="C60" s="1369"/>
      <c r="D60" s="224"/>
      <c r="E60" s="225"/>
      <c r="F60" s="225"/>
      <c r="G60" s="225"/>
      <c r="H60" s="225"/>
      <c r="I60" s="225"/>
      <c r="J60" s="225"/>
      <c r="K60" s="225"/>
      <c r="L60" s="242"/>
      <c r="M60" s="243"/>
      <c r="N60" s="242"/>
      <c r="O60" s="226"/>
      <c r="P60" s="1369"/>
    </row>
    <row r="61" spans="1:16" ht="12.75" customHeight="1" x14ac:dyDescent="0.35">
      <c r="A61" s="1369"/>
      <c r="B61" s="1369"/>
      <c r="C61" s="1369"/>
      <c r="D61" s="224"/>
      <c r="E61" s="225"/>
      <c r="F61" s="225" t="s">
        <v>741</v>
      </c>
      <c r="G61" s="225"/>
      <c r="H61" s="225"/>
      <c r="I61" s="225"/>
      <c r="J61" s="225"/>
      <c r="K61" s="225"/>
      <c r="L61" s="242"/>
      <c r="M61" s="243"/>
      <c r="N61" s="242"/>
      <c r="O61" s="226"/>
      <c r="P61" s="1369"/>
    </row>
    <row r="62" spans="1:16" ht="12.75" customHeight="1" x14ac:dyDescent="0.35">
      <c r="A62" s="1369"/>
      <c r="B62" s="1369"/>
      <c r="C62" s="1369"/>
      <c r="D62" s="224"/>
      <c r="E62" s="225"/>
      <c r="F62" s="225"/>
      <c r="G62" s="225" t="s">
        <v>438</v>
      </c>
      <c r="H62" s="225"/>
      <c r="I62" s="225"/>
      <c r="J62" s="225"/>
      <c r="K62" s="225"/>
      <c r="L62" s="240">
        <f>'I. Summary Outputs'!L89/10^6</f>
        <v>0</v>
      </c>
      <c r="M62" s="241"/>
      <c r="N62" s="240">
        <f>'I. Summary Outputs'!N89/10^6</f>
        <v>115.61945820246436</v>
      </c>
      <c r="O62" s="226"/>
      <c r="P62" s="1369"/>
    </row>
    <row r="63" spans="1:16" ht="12.75" customHeight="1" x14ac:dyDescent="0.35">
      <c r="A63" s="1369"/>
      <c r="B63" s="1369"/>
      <c r="C63" s="1369"/>
      <c r="D63" s="224"/>
      <c r="E63" s="225"/>
      <c r="F63" s="225"/>
      <c r="G63" s="225" t="s">
        <v>428</v>
      </c>
      <c r="H63" s="225"/>
      <c r="I63" s="225"/>
      <c r="J63" s="225"/>
      <c r="K63" s="225"/>
      <c r="L63" s="240">
        <f>'I. Summary Outputs'!L90/10^6</f>
        <v>0</v>
      </c>
      <c r="M63" s="241"/>
      <c r="N63" s="240">
        <f>'I. Summary Outputs'!N90/10^6</f>
        <v>0</v>
      </c>
      <c r="O63" s="226"/>
      <c r="P63" s="1369"/>
    </row>
    <row r="64" spans="1:16" ht="12.75" customHeight="1" x14ac:dyDescent="0.35">
      <c r="A64" s="1369"/>
      <c r="B64" s="1369"/>
      <c r="C64" s="1369"/>
      <c r="D64" s="224"/>
      <c r="E64" s="225"/>
      <c r="F64" s="225"/>
      <c r="G64" s="225" t="s">
        <v>152</v>
      </c>
      <c r="H64" s="225"/>
      <c r="I64" s="225"/>
      <c r="J64" s="225"/>
      <c r="K64" s="225"/>
      <c r="L64" s="240">
        <f>'I. Summary Outputs'!L91/10^6</f>
        <v>372.10860111137958</v>
      </c>
      <c r="M64" s="241"/>
      <c r="N64" s="240">
        <f>'I. Summary Outputs'!N91/10^6</f>
        <v>269.77873580575016</v>
      </c>
      <c r="O64" s="226"/>
      <c r="P64" s="1369"/>
    </row>
    <row r="65" spans="1:16" ht="12.75" customHeight="1" x14ac:dyDescent="0.35">
      <c r="A65" s="1369"/>
      <c r="B65" s="1369"/>
      <c r="C65" s="1369"/>
      <c r="D65" s="224"/>
      <c r="E65" s="225"/>
      <c r="F65" s="225"/>
      <c r="G65" s="225"/>
      <c r="H65" s="225"/>
      <c r="I65" s="225"/>
      <c r="J65" s="225"/>
      <c r="K65" s="225"/>
      <c r="L65" s="242"/>
      <c r="M65" s="243"/>
      <c r="N65" s="242"/>
      <c r="O65" s="226"/>
      <c r="P65" s="1369"/>
    </row>
    <row r="66" spans="1:16" ht="12.75" customHeight="1" x14ac:dyDescent="0.35">
      <c r="A66" s="1369"/>
      <c r="B66" s="1369"/>
      <c r="C66" s="1369"/>
      <c r="D66" s="224"/>
      <c r="E66" s="225"/>
      <c r="F66" s="225" t="s">
        <v>742</v>
      </c>
      <c r="G66" s="225"/>
      <c r="H66" s="225"/>
      <c r="I66" s="225"/>
      <c r="J66" s="225"/>
      <c r="K66" s="225"/>
      <c r="L66" s="240">
        <f>'I. Summary Outputs'!L85/10^6</f>
        <v>159.47511476201981</v>
      </c>
      <c r="M66" s="241"/>
      <c r="N66" s="240">
        <f>'I. Summary Outputs'!N85/10^6</f>
        <v>146.18552186518485</v>
      </c>
      <c r="O66" s="226"/>
      <c r="P66" s="1369"/>
    </row>
    <row r="67" spans="1:16" ht="12.75" customHeight="1" outlineLevel="1" x14ac:dyDescent="0.35">
      <c r="A67" s="1369"/>
      <c r="B67" s="1369"/>
      <c r="C67" s="1369"/>
      <c r="D67" s="224"/>
      <c r="E67" s="225"/>
      <c r="F67" s="225"/>
      <c r="G67" s="225" t="s">
        <v>433</v>
      </c>
      <c r="H67" s="225"/>
      <c r="I67" s="225"/>
      <c r="J67" s="225"/>
      <c r="K67" s="225"/>
      <c r="L67" s="240" t="s">
        <v>200</v>
      </c>
      <c r="M67" s="241"/>
      <c r="N67" s="240" t="s">
        <v>200</v>
      </c>
      <c r="O67" s="226"/>
      <c r="P67" s="1369"/>
    </row>
    <row r="68" spans="1:16" ht="12.75" customHeight="1" outlineLevel="1" x14ac:dyDescent="0.35">
      <c r="A68" s="1369"/>
      <c r="B68" s="1369"/>
      <c r="C68" s="1369"/>
      <c r="D68" s="224"/>
      <c r="E68" s="225"/>
      <c r="F68" s="225"/>
      <c r="G68" s="225" t="s">
        <v>429</v>
      </c>
      <c r="H68" s="225"/>
      <c r="I68" s="225"/>
      <c r="J68" s="225"/>
      <c r="K68" s="225"/>
      <c r="L68" s="240" t="s">
        <v>200</v>
      </c>
      <c r="M68" s="244"/>
      <c r="N68" s="240" t="s">
        <v>200</v>
      </c>
      <c r="O68" s="226"/>
      <c r="P68" s="1369"/>
    </row>
    <row r="69" spans="1:16" ht="12.75" customHeight="1" x14ac:dyDescent="0.35">
      <c r="A69" s="1369"/>
      <c r="B69" s="1369"/>
      <c r="C69" s="1369"/>
      <c r="D69" s="224"/>
      <c r="E69" s="225"/>
      <c r="F69" s="225"/>
      <c r="G69" s="225"/>
      <c r="H69" s="225"/>
      <c r="I69" s="225"/>
      <c r="J69" s="225"/>
      <c r="K69" s="225"/>
      <c r="L69" s="242"/>
      <c r="M69" s="243"/>
      <c r="N69" s="242"/>
      <c r="O69" s="226"/>
      <c r="P69" s="1369"/>
    </row>
    <row r="70" spans="1:16" ht="12.75" customHeight="1" x14ac:dyDescent="0.35">
      <c r="A70" s="1369"/>
      <c r="B70" s="1369"/>
      <c r="C70" s="1369"/>
      <c r="D70" s="224"/>
      <c r="E70" s="225" t="s">
        <v>130</v>
      </c>
      <c r="F70" s="225"/>
      <c r="G70" s="225"/>
      <c r="H70" s="225"/>
      <c r="I70" s="225"/>
      <c r="J70" s="225"/>
      <c r="K70" s="225"/>
      <c r="L70" s="242"/>
      <c r="M70" s="243"/>
      <c r="N70" s="242"/>
      <c r="O70" s="226"/>
      <c r="P70" s="1369"/>
    </row>
    <row r="71" spans="1:16" ht="12.75" customHeight="1" x14ac:dyDescent="0.35">
      <c r="A71" s="1369"/>
      <c r="B71" s="1369"/>
      <c r="C71" s="1369"/>
      <c r="D71" s="224"/>
      <c r="E71" s="225"/>
      <c r="F71" s="225" t="s">
        <v>743</v>
      </c>
      <c r="G71" s="225"/>
      <c r="H71" s="225"/>
      <c r="I71" s="225"/>
      <c r="J71" s="225"/>
      <c r="K71" s="225"/>
      <c r="L71" s="242"/>
      <c r="M71" s="243"/>
      <c r="N71" s="242"/>
      <c r="O71" s="226"/>
      <c r="P71" s="1369"/>
    </row>
    <row r="72" spans="1:16" ht="12.75" customHeight="1" x14ac:dyDescent="0.35">
      <c r="A72" s="1369"/>
      <c r="B72" s="1369"/>
      <c r="C72" s="1369"/>
      <c r="D72" s="224"/>
      <c r="E72" s="225"/>
      <c r="F72" s="225"/>
      <c r="G72" s="225" t="str">
        <f>'I. Summary Outputs'!D101</f>
        <v>Power Market Risk Instruments</v>
      </c>
      <c r="H72" s="225"/>
      <c r="I72" s="225"/>
      <c r="J72" s="225"/>
      <c r="K72" s="225"/>
      <c r="L72" s="240">
        <f>IF('I. Summary Outputs'!L101/10^6=0,"NA",'I. Summary Outputs'!L101/10^6)</f>
        <v>3.9683860959836648</v>
      </c>
      <c r="M72" s="241"/>
      <c r="N72" s="240">
        <f>IF('I. Summary Outputs'!N101/10^6=0,"NA",'I. Summary Outputs'!N101/10^6)</f>
        <v>3.9683860959836648</v>
      </c>
      <c r="O72" s="226"/>
      <c r="P72" s="1369"/>
    </row>
    <row r="73" spans="1:16" ht="12.75" customHeight="1" x14ac:dyDescent="0.35">
      <c r="A73" s="1369"/>
      <c r="B73" s="1369"/>
      <c r="C73" s="1369"/>
      <c r="D73" s="224"/>
      <c r="E73" s="225"/>
      <c r="F73" s="225"/>
      <c r="G73" s="225" t="str">
        <f>'I. Summary Outputs'!D102</f>
        <v>Permits Risk Instruments</v>
      </c>
      <c r="H73" s="225"/>
      <c r="I73" s="225"/>
      <c r="J73" s="225"/>
      <c r="K73" s="225"/>
      <c r="L73" s="240">
        <f>IF('I. Summary Outputs'!L102/10^6=0,"NA",'I. Summary Outputs'!L102/10^6)</f>
        <v>1.0158443921582525</v>
      </c>
      <c r="M73" s="241"/>
      <c r="N73" s="240">
        <f>IF('I. Summary Outputs'!N102/10^6=0,"NA",'I. Summary Outputs'!N102/10^6)</f>
        <v>1.0158443921582525</v>
      </c>
      <c r="O73" s="226"/>
      <c r="P73" s="1369"/>
    </row>
    <row r="74" spans="1:16" ht="12.75" customHeight="1" x14ac:dyDescent="0.35">
      <c r="A74" s="1369"/>
      <c r="B74" s="1369"/>
      <c r="C74" s="1369"/>
      <c r="D74" s="224"/>
      <c r="E74" s="225"/>
      <c r="F74" s="225"/>
      <c r="G74" s="225" t="str">
        <f>'I. Summary Outputs'!D103</f>
        <v>Social Acceptance Risk Instruments</v>
      </c>
      <c r="H74" s="225"/>
      <c r="I74" s="225"/>
      <c r="J74" s="225"/>
      <c r="K74" s="225"/>
      <c r="L74" s="240" t="str">
        <f>IF('I. Summary Outputs'!L103/10^6=0,"NA",'I. Summary Outputs'!L103/10^6)</f>
        <v>NA</v>
      </c>
      <c r="M74" s="241"/>
      <c r="N74" s="240">
        <f>IF('I. Summary Outputs'!N103/10^6=0,"NA",'I. Summary Outputs'!N103/10^6)</f>
        <v>0.57170502261141487</v>
      </c>
      <c r="O74" s="226"/>
      <c r="P74" s="1369"/>
    </row>
    <row r="75" spans="1:16" ht="12.75" customHeight="1" x14ac:dyDescent="0.35">
      <c r="A75" s="1369"/>
      <c r="B75" s="1369"/>
      <c r="C75" s="1369"/>
      <c r="D75" s="224"/>
      <c r="E75" s="225"/>
      <c r="F75" s="225"/>
      <c r="G75" s="225" t="str">
        <f>'I. Summary Outputs'!D104</f>
        <v>Developer Risk Instruments</v>
      </c>
      <c r="H75" s="225"/>
      <c r="I75" s="225"/>
      <c r="J75" s="225"/>
      <c r="K75" s="225"/>
      <c r="L75" s="240" t="str">
        <f>IF('I. Summary Outputs'!L104/10^6=0,"NA",'I. Summary Outputs'!L104/10^6)</f>
        <v>NA</v>
      </c>
      <c r="M75" s="241"/>
      <c r="N75" s="240">
        <f>IF('I. Summary Outputs'!N104/10^6=0,"NA",'I. Summary Outputs'!N104/10^6)</f>
        <v>1.1307471109255656</v>
      </c>
      <c r="O75" s="226"/>
      <c r="P75" s="1369"/>
    </row>
    <row r="76" spans="1:16" ht="12.75" customHeight="1" x14ac:dyDescent="0.35">
      <c r="A76" s="1369"/>
      <c r="B76" s="1369"/>
      <c r="C76" s="1369"/>
      <c r="D76" s="224"/>
      <c r="E76" s="225"/>
      <c r="F76" s="225"/>
      <c r="G76" s="225" t="str">
        <f>'I. Summary Outputs'!D105</f>
        <v>Grid/Transmission Risk Instruments</v>
      </c>
      <c r="H76" s="225"/>
      <c r="I76" s="225"/>
      <c r="J76" s="225"/>
      <c r="K76" s="225"/>
      <c r="L76" s="240" t="str">
        <f>IF('I. Summary Outputs'!L105/10^6=0,"NA",'I. Summary Outputs'!L105/10^6)</f>
        <v>NA</v>
      </c>
      <c r="M76" s="241"/>
      <c r="N76" s="240">
        <f>IF('I. Summary Outputs'!N105/10^6=0,"NA",'I. Summary Outputs'!N105/10^6)</f>
        <v>0.98162251056798222</v>
      </c>
      <c r="O76" s="226"/>
      <c r="P76" s="1369"/>
    </row>
    <row r="77" spans="1:16" ht="12.75" customHeight="1" x14ac:dyDescent="0.35">
      <c r="A77" s="1369"/>
      <c r="B77" s="1369"/>
      <c r="C77" s="1369"/>
      <c r="D77" s="224"/>
      <c r="E77" s="225"/>
      <c r="F77" s="225"/>
      <c r="G77" s="225" t="str">
        <f>'I. Summary Outputs'!D106</f>
        <v>Counterparty Risk Instruments</v>
      </c>
      <c r="H77" s="225"/>
      <c r="I77" s="225"/>
      <c r="J77" s="225"/>
      <c r="K77" s="225"/>
      <c r="L77" s="240" t="str">
        <f>IF('I. Summary Outputs'!L106/10^6=0,"NA",'I. Summary Outputs'!L106/10^6)</f>
        <v>NA</v>
      </c>
      <c r="M77" s="241"/>
      <c r="N77" s="240">
        <f>IF('I. Summary Outputs'!N106/10^6=0,"NA",'I. Summary Outputs'!N106/10^6)</f>
        <v>0.93600750956903211</v>
      </c>
      <c r="O77" s="226"/>
      <c r="P77" s="1369"/>
    </row>
    <row r="78" spans="1:16" ht="12.75" customHeight="1" x14ac:dyDescent="0.35">
      <c r="A78" s="1369"/>
      <c r="B78" s="1369"/>
      <c r="C78" s="1369"/>
      <c r="D78" s="224"/>
      <c r="E78" s="225"/>
      <c r="F78" s="225"/>
      <c r="G78" s="225" t="str">
        <f>'I. Summary Outputs'!D107</f>
        <v>Financing Risk Instruments</v>
      </c>
      <c r="H78" s="225"/>
      <c r="I78" s="225"/>
      <c r="J78" s="225"/>
      <c r="K78" s="225"/>
      <c r="L78" s="240" t="str">
        <f>IF('I. Summary Outputs'!L107/10^6=0,"NA",'I. Summary Outputs'!L107/10^6)</f>
        <v>NA</v>
      </c>
      <c r="M78" s="241"/>
      <c r="N78" s="240">
        <f>IF('I. Summary Outputs'!N107/10^6=0,"NA",'I. Summary Outputs'!N107/10^6)</f>
        <v>0.65996279207401021</v>
      </c>
      <c r="O78" s="226"/>
      <c r="P78" s="1369"/>
    </row>
    <row r="79" spans="1:16" ht="12.75" customHeight="1" x14ac:dyDescent="0.35">
      <c r="A79" s="1369"/>
      <c r="B79" s="1369"/>
      <c r="C79" s="1369"/>
      <c r="D79" s="224"/>
      <c r="E79" s="225"/>
      <c r="F79" s="225"/>
      <c r="G79" s="245"/>
      <c r="H79" s="225" t="s">
        <v>142</v>
      </c>
      <c r="I79" s="225"/>
      <c r="J79" s="225"/>
      <c r="K79" s="225"/>
      <c r="L79" s="240">
        <f>IF('I. Summary Outputs'!L108/10^6=0,"NA",'I. Summary Outputs'!L108/10^6)</f>
        <v>4.9842304881419173</v>
      </c>
      <c r="M79" s="241"/>
      <c r="N79" s="240">
        <f>IF('I. Summary Outputs'!N108/10^6=0,"NA",'I. Summary Outputs'!N108/10^6)</f>
        <v>9.2642754338899209</v>
      </c>
      <c r="O79" s="226"/>
      <c r="P79" s="1369"/>
    </row>
    <row r="80" spans="1:16" ht="12.75" customHeight="1" x14ac:dyDescent="0.35">
      <c r="A80" s="1369"/>
      <c r="B80" s="1369"/>
      <c r="C80" s="1369"/>
      <c r="D80" s="224"/>
      <c r="E80" s="225"/>
      <c r="F80" s="225"/>
      <c r="G80" s="225"/>
      <c r="H80" s="225"/>
      <c r="I80" s="225"/>
      <c r="J80" s="225"/>
      <c r="K80" s="225"/>
      <c r="L80" s="242"/>
      <c r="M80" s="243"/>
      <c r="N80" s="242"/>
      <c r="O80" s="226"/>
      <c r="P80" s="1369"/>
    </row>
    <row r="81" spans="1:16" ht="12.75" customHeight="1" x14ac:dyDescent="0.35">
      <c r="A81" s="1369"/>
      <c r="B81" s="1369"/>
      <c r="C81" s="1369"/>
      <c r="D81" s="224"/>
      <c r="E81" s="225"/>
      <c r="F81" s="225" t="s">
        <v>744</v>
      </c>
      <c r="G81" s="225"/>
      <c r="H81" s="225"/>
      <c r="I81" s="225"/>
      <c r="J81" s="225"/>
      <c r="K81" s="225"/>
      <c r="L81" s="242"/>
      <c r="M81" s="243"/>
      <c r="N81" s="242"/>
      <c r="O81" s="226"/>
      <c r="P81" s="1369"/>
    </row>
    <row r="82" spans="1:16" ht="12.75" customHeight="1" x14ac:dyDescent="0.35">
      <c r="A82" s="1369"/>
      <c r="B82" s="1369"/>
      <c r="C82" s="1369"/>
      <c r="D82" s="224"/>
      <c r="E82" s="225"/>
      <c r="F82" s="225"/>
      <c r="G82" s="225" t="str">
        <f>'I. Summary Outputs'!D112</f>
        <v>Grid/Transmission Risk Instruments</v>
      </c>
      <c r="H82" s="225"/>
      <c r="I82" s="225"/>
      <c r="J82" s="225"/>
      <c r="K82" s="225"/>
      <c r="L82" s="240" t="str">
        <f>IF('I. Summary Outputs'!L112/10^6=0,"NA",'I. Summary Outputs'!L112/10^6)</f>
        <v>NA</v>
      </c>
      <c r="M82" s="243"/>
      <c r="N82" s="240">
        <f>IF('I. Summary Outputs'!N112/10^6=0,"NA",'I. Summary Outputs'!N112/10^6)</f>
        <v>5.8111103046963457</v>
      </c>
      <c r="O82" s="226"/>
      <c r="P82" s="1369"/>
    </row>
    <row r="83" spans="1:16" ht="12.75" customHeight="1" x14ac:dyDescent="0.35">
      <c r="A83" s="1369"/>
      <c r="B83" s="1369"/>
      <c r="C83" s="1369"/>
      <c r="D83" s="224"/>
      <c r="E83" s="225"/>
      <c r="F83" s="225"/>
      <c r="G83" s="225" t="str">
        <f>'I. Summary Outputs'!D113</f>
        <v>Counterparty Risk Instruments</v>
      </c>
      <c r="H83" s="225"/>
      <c r="I83" s="225"/>
      <c r="J83" s="225"/>
      <c r="K83" s="225"/>
      <c r="L83" s="240" t="str">
        <f>IF('I. Summary Outputs'!L113/10^6=0,"NA",'I. Summary Outputs'!L113/10^6)</f>
        <v>NA</v>
      </c>
      <c r="M83" s="243"/>
      <c r="N83" s="240">
        <f>IF('I. Summary Outputs'!N113/10^6=0,"NA",'I. Summary Outputs'!N113/10^6)</f>
        <v>6.6827768504007992</v>
      </c>
      <c r="O83" s="226"/>
      <c r="P83" s="1369"/>
    </row>
    <row r="84" spans="1:16" ht="12.75" customHeight="1" x14ac:dyDescent="0.35">
      <c r="A84" s="1369"/>
      <c r="B84" s="1369"/>
      <c r="C84" s="1369"/>
      <c r="D84" s="224"/>
      <c r="E84" s="225"/>
      <c r="F84" s="225"/>
      <c r="G84" s="225" t="str">
        <f>'I. Summary Outputs'!D114</f>
        <v>Financing Risk Instruments</v>
      </c>
      <c r="H84" s="225"/>
      <c r="I84" s="225"/>
      <c r="J84" s="225"/>
      <c r="K84" s="225"/>
      <c r="L84" s="240" t="str">
        <f>IF('I. Summary Outputs'!L114/10^6=0,"NA",'I. Summary Outputs'!L114/10^6)</f>
        <v>NA</v>
      </c>
      <c r="M84" s="243"/>
      <c r="N84" s="240" t="str">
        <f>IF('I. Summary Outputs'!N114/10^6=0,"NA",'I. Summary Outputs'!N114/10^6)</f>
        <v>NA</v>
      </c>
      <c r="O84" s="226"/>
      <c r="P84" s="1369"/>
    </row>
    <row r="85" spans="1:16" ht="12.75" customHeight="1" x14ac:dyDescent="0.35">
      <c r="A85" s="1369"/>
      <c r="B85" s="1369"/>
      <c r="C85" s="1369"/>
      <c r="D85" s="224"/>
      <c r="E85" s="225"/>
      <c r="F85" s="225"/>
      <c r="G85" s="225"/>
      <c r="H85" s="225" t="str">
        <f>'I. Summary Outputs'!E115</f>
        <v>Public Loans</v>
      </c>
      <c r="I85" s="225"/>
      <c r="J85" s="225"/>
      <c r="K85" s="225"/>
      <c r="L85" s="240" t="str">
        <f>IFERROR(IF('I. Summary Outputs'!L115/10^6=0,"NA",'I. Summary Outputs'!L115/10^6),"NA")</f>
        <v>NA</v>
      </c>
      <c r="M85" s="243"/>
      <c r="N85" s="240">
        <f>IFERROR(IF('I. Summary Outputs'!N115/10^6=0,"NA",'I. Summary Outputs'!N115/10^6),"NA")</f>
        <v>28.90486455061609</v>
      </c>
      <c r="O85" s="226"/>
      <c r="P85" s="1369"/>
    </row>
    <row r="86" spans="1:16" ht="12.75" customHeight="1" x14ac:dyDescent="0.35">
      <c r="A86" s="1369"/>
      <c r="B86" s="1369"/>
      <c r="C86" s="1369"/>
      <c r="D86" s="224"/>
      <c r="E86" s="225"/>
      <c r="F86" s="225"/>
      <c r="G86" s="225"/>
      <c r="H86" s="225" t="str">
        <f>'I. Summary Outputs'!E116</f>
        <v>Public Guarantees for Commercial Loans</v>
      </c>
      <c r="I86" s="225"/>
      <c r="J86" s="225"/>
      <c r="K86" s="225"/>
      <c r="L86" s="240" t="str">
        <f>IFERROR(IF('I. Summary Outputs'!L116/10^6=0,"NA",'I. Summary Outputs'!L116/10^6),"NA")</f>
        <v>NA</v>
      </c>
      <c r="M86" s="243"/>
      <c r="N86" s="240" t="str">
        <f>IFERROR(IF('I. Summary Outputs'!N116/10^6=0,"NA",'I. Summary Outputs'!N116/10^6),"NA")</f>
        <v>NA</v>
      </c>
      <c r="O86" s="226"/>
      <c r="P86" s="1369"/>
    </row>
    <row r="87" spans="1:16" ht="12.75" customHeight="1" x14ac:dyDescent="0.35">
      <c r="A87" s="1369"/>
      <c r="B87" s="1369"/>
      <c r="C87" s="1369"/>
      <c r="D87" s="224"/>
      <c r="E87" s="225"/>
      <c r="F87" s="225"/>
      <c r="G87" s="225" t="str">
        <f>'I. Summary Outputs'!D117</f>
        <v>Political Risk Instruments</v>
      </c>
      <c r="H87" s="225"/>
      <c r="I87" s="225"/>
      <c r="J87" s="225"/>
      <c r="K87" s="225"/>
      <c r="L87" s="240" t="str">
        <f>IF('I. Summary Outputs'!L117/10^6=0,"NA",'I. Summary Outputs'!L117/10^6)</f>
        <v>NA</v>
      </c>
      <c r="M87" s="243"/>
      <c r="N87" s="240" t="str">
        <f>IF('I. Summary Outputs'!N117/10^6=0,"NA",'I. Summary Outputs'!N117/10^6)</f>
        <v>NA</v>
      </c>
      <c r="O87" s="226"/>
      <c r="P87" s="1369"/>
    </row>
    <row r="88" spans="1:16" ht="12.75" customHeight="1" x14ac:dyDescent="0.35">
      <c r="A88" s="1369"/>
      <c r="B88" s="1369"/>
      <c r="C88" s="1369"/>
      <c r="D88" s="224"/>
      <c r="E88" s="225"/>
      <c r="F88" s="225"/>
      <c r="G88" s="225" t="str">
        <f>'I. Summary Outputs'!D118</f>
        <v>Currency/Macro Risk Instruments</v>
      </c>
      <c r="H88" s="225"/>
      <c r="I88" s="225"/>
      <c r="J88" s="225"/>
      <c r="K88" s="225"/>
      <c r="L88" s="240" t="str">
        <f>IF('I. Summary Outputs'!L118/10^6=0,"NA",'I. Summary Outputs'!L118/10^6)</f>
        <v>NA</v>
      </c>
      <c r="M88" s="243"/>
      <c r="N88" s="240">
        <f>IF('I. Summary Outputs'!N118/10^6=0,"NA",'I. Summary Outputs'!N118/10^6)</f>
        <v>4.0677772132874432</v>
      </c>
      <c r="O88" s="226"/>
      <c r="P88" s="1369"/>
    </row>
    <row r="89" spans="1:16" ht="12.75" customHeight="1" x14ac:dyDescent="0.35">
      <c r="A89" s="1369"/>
      <c r="B89" s="1369"/>
      <c r="C89" s="1369"/>
      <c r="D89" s="224"/>
      <c r="E89" s="225"/>
      <c r="F89" s="225"/>
      <c r="G89" s="245"/>
      <c r="H89" s="225" t="s">
        <v>142</v>
      </c>
      <c r="I89" s="225"/>
      <c r="J89" s="225"/>
      <c r="K89" s="225"/>
      <c r="L89" s="240" t="str">
        <f>IF('I. Summary Outputs'!L119/10^6=0,"NA",'I. Summary Outputs'!L119/10^6)</f>
        <v>NA</v>
      </c>
      <c r="M89" s="243"/>
      <c r="N89" s="240">
        <f>IF('I. Summary Outputs'!N119/10^6=0,"NA",'I. Summary Outputs'!N119/10^6)</f>
        <v>45.46652891900068</v>
      </c>
      <c r="O89" s="226"/>
      <c r="P89" s="1369"/>
    </row>
    <row r="90" spans="1:16" ht="12.75" customHeight="1" x14ac:dyDescent="0.35">
      <c r="A90" s="1369"/>
      <c r="B90" s="1369"/>
      <c r="C90" s="1369"/>
      <c r="D90" s="224"/>
      <c r="E90" s="225"/>
      <c r="F90" s="225"/>
      <c r="G90" s="245"/>
      <c r="H90" s="225"/>
      <c r="I90" s="225"/>
      <c r="J90" s="225"/>
      <c r="K90" s="225"/>
      <c r="L90" s="240"/>
      <c r="M90" s="244"/>
      <c r="N90" s="240"/>
      <c r="O90" s="226"/>
      <c r="P90" s="1369"/>
    </row>
    <row r="91" spans="1:16" ht="12.75" customHeight="1" x14ac:dyDescent="0.35">
      <c r="A91" s="1369"/>
      <c r="B91" s="1369"/>
      <c r="C91" s="1369"/>
      <c r="D91" s="224"/>
      <c r="E91" s="225"/>
      <c r="F91" s="225" t="s">
        <v>745</v>
      </c>
      <c r="G91" s="225"/>
      <c r="H91" s="225"/>
      <c r="I91" s="225"/>
      <c r="J91" s="225"/>
      <c r="K91" s="225"/>
      <c r="L91" s="242"/>
      <c r="M91" s="243"/>
      <c r="N91" s="242"/>
      <c r="O91" s="226"/>
      <c r="P91" s="1369"/>
    </row>
    <row r="92" spans="1:16" ht="12.75" customHeight="1" x14ac:dyDescent="0.35">
      <c r="A92" s="1369"/>
      <c r="B92" s="1369"/>
      <c r="C92" s="1369"/>
      <c r="D92" s="224"/>
      <c r="E92" s="225"/>
      <c r="F92" s="225"/>
      <c r="G92" s="225" t="s">
        <v>439</v>
      </c>
      <c r="H92" s="225"/>
      <c r="I92" s="225"/>
      <c r="J92" s="225"/>
      <c r="K92" s="225"/>
      <c r="L92" s="240">
        <f>'I. Summary Outputs'!L122/10^6</f>
        <v>200.58862292974376</v>
      </c>
      <c r="M92" s="241"/>
      <c r="N92" s="240">
        <f>'I. Summary Outputs'!N122/10^6</f>
        <v>50.516099410529719</v>
      </c>
      <c r="O92" s="226"/>
      <c r="P92" s="1369"/>
    </row>
    <row r="93" spans="1:16" ht="12.75" hidden="1" customHeight="1" outlineLevel="1" x14ac:dyDescent="0.35">
      <c r="A93" s="1369"/>
      <c r="B93" s="1369"/>
      <c r="C93" s="1369"/>
      <c r="D93" s="224"/>
      <c r="E93" s="225"/>
      <c r="F93" s="225"/>
      <c r="G93" s="225"/>
      <c r="H93" s="225" t="s">
        <v>430</v>
      </c>
      <c r="I93" s="225"/>
      <c r="J93" s="225"/>
      <c r="K93" s="225"/>
      <c r="L93" s="246" t="s">
        <v>200</v>
      </c>
      <c r="M93" s="247"/>
      <c r="N93" s="246" t="s">
        <v>200</v>
      </c>
      <c r="O93" s="226"/>
      <c r="P93" s="1369"/>
    </row>
    <row r="94" spans="1:16" ht="12.75" hidden="1" customHeight="1" outlineLevel="1" x14ac:dyDescent="0.35">
      <c r="A94" s="1369"/>
      <c r="B94" s="1369"/>
      <c r="C94" s="1369"/>
      <c r="D94" s="224"/>
      <c r="E94" s="225"/>
      <c r="F94" s="225"/>
      <c r="G94" s="225"/>
      <c r="H94" s="225" t="s">
        <v>431</v>
      </c>
      <c r="I94" s="225"/>
      <c r="J94" s="225"/>
      <c r="K94" s="225"/>
      <c r="L94" s="246" t="s">
        <v>200</v>
      </c>
      <c r="M94" s="247"/>
      <c r="N94" s="246" t="s">
        <v>200</v>
      </c>
      <c r="O94" s="226"/>
      <c r="P94" s="1369"/>
    </row>
    <row r="95" spans="1:16" ht="12.75" customHeight="1" collapsed="1" x14ac:dyDescent="0.35">
      <c r="A95" s="1369"/>
      <c r="B95" s="1369"/>
      <c r="C95" s="1369"/>
      <c r="D95" s="224"/>
      <c r="E95" s="225"/>
      <c r="F95" s="225"/>
      <c r="G95" s="225"/>
      <c r="H95" s="225"/>
      <c r="I95" s="225"/>
      <c r="J95" s="225"/>
      <c r="K95" s="225"/>
      <c r="L95" s="248"/>
      <c r="M95" s="225"/>
      <c r="N95" s="248"/>
      <c r="O95" s="226"/>
      <c r="P95" s="1369"/>
    </row>
    <row r="96" spans="1:16" ht="12.75" customHeight="1" x14ac:dyDescent="0.35">
      <c r="A96" s="1369"/>
      <c r="B96" s="1369"/>
      <c r="C96" s="1369"/>
      <c r="D96" s="228"/>
      <c r="E96" s="229"/>
      <c r="F96" s="229"/>
      <c r="G96" s="229"/>
      <c r="H96" s="229"/>
      <c r="I96" s="229"/>
      <c r="J96" s="229"/>
      <c r="K96" s="229"/>
      <c r="L96" s="229"/>
      <c r="M96" s="229"/>
      <c r="N96" s="229"/>
      <c r="O96" s="230"/>
      <c r="P96" s="1369"/>
    </row>
    <row r="97" spans="1:16" ht="12.75" customHeight="1" x14ac:dyDescent="0.35">
      <c r="A97" s="1369"/>
      <c r="B97" s="1369"/>
      <c r="C97" s="1369"/>
      <c r="D97" s="1369"/>
      <c r="E97" s="1369"/>
      <c r="F97" s="1369"/>
      <c r="G97" s="1369"/>
      <c r="H97" s="1369"/>
      <c r="I97" s="1369"/>
      <c r="J97" s="1369"/>
      <c r="K97" s="1369"/>
      <c r="L97" s="1369"/>
      <c r="M97" s="1369"/>
      <c r="N97" s="1369"/>
      <c r="O97" s="1369"/>
      <c r="P97" s="1369"/>
    </row>
    <row r="98" spans="1:16" ht="12.75" hidden="1" customHeight="1" x14ac:dyDescent="0.35"/>
    <row r="99" spans="1:16" ht="12.75" hidden="1" customHeight="1" x14ac:dyDescent="0.35"/>
    <row r="100" spans="1:16" ht="12.75" hidden="1" customHeight="1" x14ac:dyDescent="0.35"/>
    <row r="101" spans="1:16" ht="12.75" hidden="1" customHeight="1" x14ac:dyDescent="0.35"/>
    <row r="102" spans="1:16" ht="12.75" hidden="1" customHeight="1" x14ac:dyDescent="0.35"/>
    <row r="103" spans="1:16" ht="12.75" hidden="1" customHeight="1" x14ac:dyDescent="0.35"/>
    <row r="104" spans="1:16" ht="12.75" hidden="1" customHeight="1" x14ac:dyDescent="0.35"/>
    <row r="105" spans="1:16" ht="12.75" hidden="1" customHeight="1" x14ac:dyDescent="0.35"/>
    <row r="106" spans="1:16" ht="12.75" hidden="1" customHeight="1" x14ac:dyDescent="0.35"/>
    <row r="107" spans="1:16" ht="12.75" hidden="1" customHeight="1" x14ac:dyDescent="0.35"/>
    <row r="108" spans="1:16" ht="12.75" hidden="1" customHeight="1" x14ac:dyDescent="0.35"/>
    <row r="109" spans="1:16" ht="12.75" hidden="1" customHeight="1" x14ac:dyDescent="0.35"/>
    <row r="110" spans="1:16" ht="12.75" hidden="1" customHeight="1" x14ac:dyDescent="0.35"/>
    <row r="111" spans="1:16" ht="12.75" hidden="1" customHeight="1" x14ac:dyDescent="0.35"/>
    <row r="112" spans="1:16" ht="12.75" hidden="1" customHeight="1" x14ac:dyDescent="0.35"/>
    <row r="113" ht="12.75" hidden="1" customHeight="1" x14ac:dyDescent="0.35"/>
    <row r="114" ht="12.75" hidden="1" customHeight="1" x14ac:dyDescent="0.35"/>
    <row r="115" ht="12.75" hidden="1" customHeight="1" x14ac:dyDescent="0.35"/>
    <row r="116" ht="12.75" hidden="1" customHeight="1" x14ac:dyDescent="0.35"/>
    <row r="117" ht="12.75" hidden="1" customHeight="1" x14ac:dyDescent="0.35"/>
    <row r="118" ht="12.75" hidden="1" customHeight="1" x14ac:dyDescent="0.35"/>
    <row r="119" ht="12.75" hidden="1" customHeight="1" x14ac:dyDescent="0.35"/>
    <row r="120" ht="12.75" hidden="1" customHeight="1" x14ac:dyDescent="0.35"/>
    <row r="121" ht="12.75" hidden="1" customHeight="1" x14ac:dyDescent="0.35"/>
    <row r="122" ht="12.75" hidden="1" customHeight="1" x14ac:dyDescent="0.35"/>
    <row r="123" ht="12.75" hidden="1" customHeight="1" x14ac:dyDescent="0.35"/>
    <row r="124" ht="12.75" hidden="1" customHeight="1" x14ac:dyDescent="0.35"/>
    <row r="125" ht="12.75" hidden="1" customHeight="1" x14ac:dyDescent="0.35"/>
    <row r="126" ht="12.75" hidden="1" customHeight="1" x14ac:dyDescent="0.35"/>
    <row r="127" ht="12.75" hidden="1" customHeight="1" x14ac:dyDescent="0.35"/>
    <row r="128" ht="12.75" hidden="1" customHeight="1" x14ac:dyDescent="0.35"/>
    <row r="129" ht="12.75" hidden="1" customHeight="1" x14ac:dyDescent="0.35"/>
    <row r="130" ht="12.75" hidden="1" customHeight="1" x14ac:dyDescent="0.35"/>
    <row r="131" ht="12.75" hidden="1" customHeight="1" x14ac:dyDescent="0.35"/>
    <row r="132" ht="12.75" hidden="1" customHeight="1" x14ac:dyDescent="0.35"/>
    <row r="133" ht="12.75" hidden="1" customHeight="1" x14ac:dyDescent="0.35"/>
    <row r="134" ht="12.75" hidden="1" customHeight="1" x14ac:dyDescent="0.35"/>
    <row r="135" ht="12.75" hidden="1" customHeight="1" x14ac:dyDescent="0.35"/>
    <row r="136" ht="12.75" hidden="1" customHeight="1" x14ac:dyDescent="0.35"/>
    <row r="137" ht="12.75" hidden="1" customHeight="1" x14ac:dyDescent="0.35"/>
    <row r="138" ht="12.75" hidden="1" customHeight="1" x14ac:dyDescent="0.35"/>
    <row r="139" ht="12.75" hidden="1" customHeight="1" x14ac:dyDescent="0.35"/>
    <row r="140" ht="12.75" hidden="1" customHeight="1" x14ac:dyDescent="0.35"/>
    <row r="141" ht="12.75" hidden="1" customHeight="1" x14ac:dyDescent="0.35"/>
    <row r="142" ht="12.75" hidden="1" customHeight="1" x14ac:dyDescent="0.35"/>
    <row r="143" ht="12.75" hidden="1" customHeight="1" x14ac:dyDescent="0.35"/>
    <row r="144" ht="12.75" hidden="1" customHeight="1" x14ac:dyDescent="0.35"/>
    <row r="145" ht="12.75" hidden="1" customHeight="1" x14ac:dyDescent="0.35"/>
    <row r="146" ht="12.75" hidden="1" customHeight="1" x14ac:dyDescent="0.35"/>
    <row r="147" ht="12.75" hidden="1" customHeight="1" x14ac:dyDescent="0.35"/>
    <row r="148" ht="12.75" hidden="1" customHeight="1" x14ac:dyDescent="0.35"/>
    <row r="149" ht="12.75" hidden="1" customHeight="1" x14ac:dyDescent="0.35"/>
    <row r="150" ht="12.75" hidden="1" customHeight="1" x14ac:dyDescent="0.35"/>
    <row r="151" ht="12.75" hidden="1" customHeight="1" x14ac:dyDescent="0.35"/>
    <row r="152" ht="12.75" hidden="1" customHeight="1" x14ac:dyDescent="0.35"/>
    <row r="153" ht="12.75" hidden="1" customHeight="1" x14ac:dyDescent="0.35"/>
    <row r="154" ht="12.75" hidden="1" customHeight="1" x14ac:dyDescent="0.35"/>
    <row r="155" ht="12.75" hidden="1" customHeight="1" x14ac:dyDescent="0.35"/>
    <row r="156" ht="12.75" hidden="1" customHeight="1" x14ac:dyDescent="0.35"/>
    <row r="157" ht="12.75" hidden="1" customHeight="1" x14ac:dyDescent="0.35"/>
    <row r="158" ht="12.75" hidden="1" customHeight="1" x14ac:dyDescent="0.35"/>
    <row r="159" ht="12.75" hidden="1" customHeight="1" x14ac:dyDescent="0.35"/>
    <row r="160" ht="12.75" hidden="1" customHeight="1" x14ac:dyDescent="0.35"/>
    <row r="161" ht="12.75" hidden="1" customHeight="1" x14ac:dyDescent="0.35"/>
    <row r="162" ht="12.75" hidden="1" customHeight="1" x14ac:dyDescent="0.35"/>
    <row r="163" ht="12.75" hidden="1" customHeight="1" x14ac:dyDescent="0.35"/>
    <row r="164" ht="12.75" hidden="1" customHeight="1" x14ac:dyDescent="0.35"/>
    <row r="165" ht="12.75" hidden="1" customHeight="1" x14ac:dyDescent="0.35"/>
    <row r="166" ht="12.75" hidden="1" customHeight="1" x14ac:dyDescent="0.35"/>
    <row r="167" ht="12.75" hidden="1" customHeight="1" x14ac:dyDescent="0.35"/>
    <row r="168" ht="12.75" hidden="1" customHeight="1" x14ac:dyDescent="0.35"/>
    <row r="169" ht="12.75" hidden="1" customHeight="1" x14ac:dyDescent="0.35"/>
    <row r="170" ht="12.75" hidden="1" customHeight="1" x14ac:dyDescent="0.35"/>
    <row r="171" ht="12.75" hidden="1" customHeight="1" x14ac:dyDescent="0.35"/>
    <row r="172" ht="12.75" hidden="1" customHeight="1" x14ac:dyDescent="0.35"/>
    <row r="173" ht="12.75" hidden="1" customHeight="1" x14ac:dyDescent="0.35"/>
    <row r="174" ht="12.75" hidden="1" customHeight="1" x14ac:dyDescent="0.35"/>
    <row r="175" ht="12.75" hidden="1" customHeight="1" x14ac:dyDescent="0.35"/>
    <row r="176" ht="12.75" hidden="1" customHeight="1" x14ac:dyDescent="0.35"/>
    <row r="177" ht="12.75" hidden="1" customHeight="1" x14ac:dyDescent="0.35"/>
    <row r="178" ht="12.75" hidden="1" customHeight="1" x14ac:dyDescent="0.35"/>
    <row r="179" ht="12.75" hidden="1" customHeight="1" x14ac:dyDescent="0.35"/>
    <row r="180" ht="12.75" hidden="1" customHeight="1" x14ac:dyDescent="0.35"/>
    <row r="181" ht="12.75" hidden="1" customHeight="1" x14ac:dyDescent="0.35"/>
    <row r="182" ht="12.75" hidden="1" customHeight="1" x14ac:dyDescent="0.35"/>
    <row r="183" ht="12.75" hidden="1" customHeight="1" x14ac:dyDescent="0.35"/>
    <row r="184" ht="12.75" hidden="1" customHeight="1" x14ac:dyDescent="0.35"/>
    <row r="185" ht="12.75" hidden="1" customHeight="1" x14ac:dyDescent="0.35"/>
    <row r="186" ht="12.75" hidden="1" customHeight="1" x14ac:dyDescent="0.35"/>
    <row r="187" ht="12.75" hidden="1" customHeight="1" x14ac:dyDescent="0.35"/>
    <row r="188" ht="12.75" hidden="1" customHeight="1" x14ac:dyDescent="0.35"/>
    <row r="189" ht="12.75" hidden="1" customHeight="1" x14ac:dyDescent="0.35"/>
    <row r="190" ht="12.75" hidden="1" customHeight="1" x14ac:dyDescent="0.35"/>
    <row r="191" ht="12.75" hidden="1" customHeight="1" x14ac:dyDescent="0.35"/>
    <row r="192" ht="12.75" hidden="1" customHeight="1" x14ac:dyDescent="0.35"/>
    <row r="193" ht="12.75" hidden="1" customHeight="1" x14ac:dyDescent="0.35"/>
    <row r="194" ht="12.75" hidden="1" customHeight="1" x14ac:dyDescent="0.35"/>
    <row r="195" ht="12.75" hidden="1" customHeight="1" x14ac:dyDescent="0.35"/>
    <row r="196" ht="12.75" hidden="1" customHeight="1" x14ac:dyDescent="0.35"/>
    <row r="197" ht="12.75" hidden="1" customHeight="1" x14ac:dyDescent="0.35"/>
    <row r="198" ht="12.75" hidden="1" customHeight="1" x14ac:dyDescent="0.35"/>
    <row r="199" ht="12.75" hidden="1" customHeight="1" x14ac:dyDescent="0.35"/>
    <row r="200" ht="12.75" hidden="1" customHeight="1" x14ac:dyDescent="0.35"/>
    <row r="201" ht="12.75" hidden="1" customHeight="1" x14ac:dyDescent="0.35"/>
    <row r="202" ht="12.75" hidden="1" customHeight="1" x14ac:dyDescent="0.35"/>
    <row r="203" ht="12.75" hidden="1" customHeight="1" x14ac:dyDescent="0.35"/>
    <row r="204" ht="12.75" hidden="1" customHeight="1" x14ac:dyDescent="0.35"/>
    <row r="205" ht="12.75" hidden="1" customHeight="1" x14ac:dyDescent="0.35"/>
    <row r="206" ht="12.75" hidden="1" customHeight="1" x14ac:dyDescent="0.35"/>
    <row r="207" ht="12.75" hidden="1" customHeight="1" x14ac:dyDescent="0.35"/>
    <row r="208" ht="12.75" hidden="1" customHeight="1" x14ac:dyDescent="0.35"/>
    <row r="209" ht="12.75" hidden="1" customHeight="1" x14ac:dyDescent="0.35"/>
    <row r="210" ht="12.75" hidden="1" customHeight="1" x14ac:dyDescent="0.35"/>
    <row r="211" ht="12.75" hidden="1" customHeight="1" x14ac:dyDescent="0.35"/>
    <row r="212" ht="12.75" hidden="1" customHeight="1" x14ac:dyDescent="0.35"/>
    <row r="213" ht="12.75" hidden="1" customHeight="1" x14ac:dyDescent="0.35"/>
    <row r="214" ht="12.75" hidden="1" customHeight="1" x14ac:dyDescent="0.35"/>
    <row r="215" ht="12.75" hidden="1" customHeight="1" x14ac:dyDescent="0.35"/>
    <row r="216" ht="12.75" hidden="1" customHeight="1" x14ac:dyDescent="0.35"/>
    <row r="217" ht="12.75" hidden="1" customHeight="1" x14ac:dyDescent="0.35"/>
    <row r="218" ht="12.75" hidden="1" customHeight="1" x14ac:dyDescent="0.35"/>
    <row r="219" ht="12.75" hidden="1" customHeight="1" x14ac:dyDescent="0.35"/>
    <row r="220" ht="12.75" hidden="1" customHeight="1" x14ac:dyDescent="0.35"/>
    <row r="221" ht="12.75" hidden="1" customHeight="1" x14ac:dyDescent="0.35"/>
    <row r="222" ht="12.75" hidden="1" customHeight="1" x14ac:dyDescent="0.35"/>
    <row r="223" ht="12.75" hidden="1" customHeight="1" x14ac:dyDescent="0.35"/>
    <row r="224" ht="12.75" hidden="1" customHeight="1" x14ac:dyDescent="0.35"/>
    <row r="225" ht="12.75" hidden="1" customHeight="1" x14ac:dyDescent="0.35"/>
    <row r="226" ht="12.75" hidden="1" customHeight="1" x14ac:dyDescent="0.35"/>
    <row r="227" ht="12.75" hidden="1" customHeight="1" x14ac:dyDescent="0.35"/>
    <row r="228" ht="12.75" hidden="1" customHeight="1" x14ac:dyDescent="0.35"/>
    <row r="229" ht="12.75" hidden="1" customHeight="1" x14ac:dyDescent="0.35"/>
    <row r="230" ht="12.75" hidden="1" customHeight="1" x14ac:dyDescent="0.35"/>
    <row r="231" ht="12.75" hidden="1" customHeight="1" x14ac:dyDescent="0.35"/>
    <row r="232" ht="12.75" hidden="1" customHeight="1" x14ac:dyDescent="0.35"/>
    <row r="233" ht="12.75" hidden="1" customHeight="1" x14ac:dyDescent="0.35"/>
    <row r="234" ht="12.75" hidden="1" customHeight="1" x14ac:dyDescent="0.35"/>
    <row r="235" ht="12.75" hidden="1" customHeight="1" x14ac:dyDescent="0.35"/>
    <row r="236" ht="12.75" hidden="1" customHeight="1" x14ac:dyDescent="0.35"/>
    <row r="237" ht="12.75" hidden="1" customHeight="1" x14ac:dyDescent="0.35"/>
    <row r="238" ht="12.75" hidden="1" customHeight="1" x14ac:dyDescent="0.35"/>
    <row r="239" ht="12.75" hidden="1" customHeight="1" x14ac:dyDescent="0.35"/>
    <row r="240" ht="12.75" hidden="1" customHeight="1" x14ac:dyDescent="0.35"/>
    <row r="241" ht="12.75" hidden="1" customHeight="1" x14ac:dyDescent="0.35"/>
    <row r="242" ht="12.75" hidden="1" customHeight="1" x14ac:dyDescent="0.35"/>
    <row r="243" ht="12.75" hidden="1" customHeight="1" x14ac:dyDescent="0.35"/>
    <row r="244" ht="12.75" hidden="1" customHeight="1" x14ac:dyDescent="0.35"/>
    <row r="245" ht="12.75" hidden="1" customHeight="1" x14ac:dyDescent="0.35"/>
    <row r="246" ht="12.75" hidden="1" customHeight="1" x14ac:dyDescent="0.35"/>
    <row r="247" ht="12.75" hidden="1" customHeight="1" x14ac:dyDescent="0.35"/>
    <row r="248" ht="12.75" hidden="1" customHeight="1" x14ac:dyDescent="0.35"/>
    <row r="249" ht="12.75" hidden="1" customHeight="1" x14ac:dyDescent="0.35"/>
    <row r="250" ht="12.75" hidden="1" customHeight="1" x14ac:dyDescent="0.35"/>
    <row r="251" ht="12.75" hidden="1" customHeight="1" x14ac:dyDescent="0.35"/>
    <row r="252" ht="12.75" hidden="1" customHeight="1" x14ac:dyDescent="0.35"/>
    <row r="253" ht="12.75" hidden="1" customHeight="1" x14ac:dyDescent="0.35"/>
    <row r="254" ht="12.75" hidden="1" customHeight="1" x14ac:dyDescent="0.35"/>
    <row r="255" ht="12.75" hidden="1" customHeight="1" x14ac:dyDescent="0.35"/>
    <row r="256" ht="12.75" hidden="1" customHeight="1" x14ac:dyDescent="0.35"/>
    <row r="257" ht="12.75" hidden="1" customHeight="1" x14ac:dyDescent="0.35"/>
    <row r="258" ht="12.75" hidden="1" customHeight="1" x14ac:dyDescent="0.35"/>
    <row r="259" ht="12.75" hidden="1" customHeight="1" x14ac:dyDescent="0.35"/>
    <row r="260" ht="12.75" hidden="1" customHeight="1" x14ac:dyDescent="0.35"/>
    <row r="261" ht="12.75" hidden="1" customHeight="1" x14ac:dyDescent="0.35"/>
    <row r="262" ht="12.75" hidden="1" customHeight="1" x14ac:dyDescent="0.35"/>
    <row r="263" ht="12.75" hidden="1" customHeight="1" x14ac:dyDescent="0.35"/>
    <row r="264" ht="12.75" hidden="1" customHeight="1" x14ac:dyDescent="0.35"/>
    <row r="265" ht="12.75" hidden="1" customHeight="1" x14ac:dyDescent="0.35"/>
    <row r="266" ht="12.75" hidden="1" customHeight="1" x14ac:dyDescent="0.35"/>
    <row r="267" ht="12.75" hidden="1" customHeight="1" x14ac:dyDescent="0.35"/>
    <row r="268" ht="12.75" hidden="1" customHeight="1" x14ac:dyDescent="0.35"/>
    <row r="269" ht="12.75" hidden="1" customHeight="1" x14ac:dyDescent="0.35"/>
    <row r="270" ht="12.75" hidden="1" customHeight="1" x14ac:dyDescent="0.35"/>
    <row r="271" ht="12.75" hidden="1" customHeight="1" x14ac:dyDescent="0.35"/>
    <row r="272" ht="12.75" hidden="1" customHeight="1" x14ac:dyDescent="0.35"/>
    <row r="273" ht="12.75" hidden="1" customHeight="1" x14ac:dyDescent="0.35"/>
    <row r="274" ht="12.75" hidden="1" customHeight="1" x14ac:dyDescent="0.35"/>
    <row r="275" ht="12.75" hidden="1" customHeight="1" x14ac:dyDescent="0.35"/>
    <row r="276" ht="12.75" hidden="1" customHeight="1" x14ac:dyDescent="0.35"/>
    <row r="277" ht="12.75" hidden="1" customHeight="1" x14ac:dyDescent="0.35"/>
    <row r="278" ht="12.75" hidden="1" customHeight="1" x14ac:dyDescent="0.35"/>
    <row r="279" ht="12.75" hidden="1" customHeight="1" x14ac:dyDescent="0.35"/>
    <row r="280" ht="12.75" hidden="1" customHeight="1" x14ac:dyDescent="0.35"/>
    <row r="281" ht="12.75" hidden="1" customHeight="1" x14ac:dyDescent="0.35"/>
    <row r="282" ht="12.75" hidden="1" customHeight="1" x14ac:dyDescent="0.35"/>
    <row r="283" ht="12.75" hidden="1" customHeight="1" x14ac:dyDescent="0.35"/>
    <row r="284" ht="12.75" hidden="1" customHeight="1" x14ac:dyDescent="0.35"/>
    <row r="285" ht="12.75" hidden="1" customHeight="1" x14ac:dyDescent="0.35"/>
    <row r="286" ht="12.75" hidden="1" customHeight="1" x14ac:dyDescent="0.35"/>
    <row r="287" ht="12.75" hidden="1" customHeight="1" x14ac:dyDescent="0.35"/>
    <row r="288" ht="12.75" hidden="1" customHeight="1" x14ac:dyDescent="0.35"/>
    <row r="289" ht="12.75" hidden="1" customHeight="1" x14ac:dyDescent="0.35"/>
    <row r="290" ht="12.75" hidden="1" customHeight="1" x14ac:dyDescent="0.35"/>
    <row r="291" ht="12.75" hidden="1" customHeight="1" x14ac:dyDescent="0.35"/>
    <row r="292" ht="12.75" hidden="1" customHeight="1" x14ac:dyDescent="0.35"/>
    <row r="293" ht="12.75" hidden="1" customHeight="1" x14ac:dyDescent="0.35"/>
    <row r="294" ht="12.75" hidden="1" customHeight="1" x14ac:dyDescent="0.35"/>
    <row r="295" ht="12.75" hidden="1" customHeight="1" x14ac:dyDescent="0.35"/>
    <row r="296" ht="12.75" hidden="1" customHeight="1" x14ac:dyDescent="0.35"/>
    <row r="297" ht="12.75" hidden="1" customHeight="1" x14ac:dyDescent="0.35"/>
    <row r="298" ht="12.75" hidden="1" customHeight="1" x14ac:dyDescent="0.35"/>
    <row r="299" ht="12.75" hidden="1" customHeight="1" x14ac:dyDescent="0.35"/>
    <row r="300" ht="12.75" hidden="1" customHeight="1" x14ac:dyDescent="0.35"/>
    <row r="301" ht="12.75" hidden="1" customHeight="1" x14ac:dyDescent="0.35"/>
    <row r="302" ht="12.75" hidden="1" customHeight="1" x14ac:dyDescent="0.35"/>
    <row r="303" ht="12.75" hidden="1" customHeight="1" x14ac:dyDescent="0.35"/>
    <row r="304" ht="12.75" hidden="1" customHeight="1" x14ac:dyDescent="0.35"/>
    <row r="305" ht="12.75" hidden="1" customHeight="1" x14ac:dyDescent="0.35"/>
    <row r="306" ht="12.75" hidden="1" customHeight="1" x14ac:dyDescent="0.35"/>
    <row r="307" ht="12.75" hidden="1" customHeight="1" x14ac:dyDescent="0.35"/>
    <row r="308" ht="12.75" hidden="1" customHeight="1" x14ac:dyDescent="0.35"/>
    <row r="309" ht="12.75" hidden="1" customHeight="1" x14ac:dyDescent="0.35"/>
    <row r="310" ht="12.75" hidden="1" customHeight="1" x14ac:dyDescent="0.35"/>
    <row r="311" ht="12.75" hidden="1" customHeight="1" x14ac:dyDescent="0.35"/>
    <row r="312" ht="12.75" hidden="1" customHeight="1" x14ac:dyDescent="0.35"/>
    <row r="313" ht="12.75" hidden="1" customHeight="1" x14ac:dyDescent="0.35"/>
    <row r="314" ht="12.75" hidden="1" customHeight="1" x14ac:dyDescent="0.35"/>
    <row r="315" ht="12.75" hidden="1" customHeight="1" x14ac:dyDescent="0.35"/>
    <row r="316" ht="12.75" hidden="1" customHeight="1" x14ac:dyDescent="0.35"/>
    <row r="317" ht="12.75" hidden="1" customHeight="1" x14ac:dyDescent="0.35"/>
    <row r="318" ht="12.75" hidden="1" customHeight="1" x14ac:dyDescent="0.35"/>
    <row r="319" ht="12.75" hidden="1" customHeight="1" x14ac:dyDescent="0.35"/>
    <row r="320" ht="12.75" hidden="1" customHeight="1" x14ac:dyDescent="0.35"/>
    <row r="321" ht="12.75" hidden="1" customHeight="1" x14ac:dyDescent="0.35"/>
    <row r="322" ht="12.75" hidden="1" customHeight="1" x14ac:dyDescent="0.35"/>
    <row r="323" ht="12.75" hidden="1" customHeight="1" x14ac:dyDescent="0.35"/>
    <row r="324" ht="12.75" hidden="1" customHeight="1" x14ac:dyDescent="0.35"/>
    <row r="325" ht="12.75" hidden="1" customHeight="1" x14ac:dyDescent="0.35"/>
    <row r="326" ht="12.75" hidden="1" customHeight="1" x14ac:dyDescent="0.35"/>
    <row r="327" ht="12.75" hidden="1" customHeight="1" x14ac:dyDescent="0.35"/>
    <row r="328" ht="12.75" hidden="1" customHeight="1" x14ac:dyDescent="0.35"/>
    <row r="329" ht="12.75" hidden="1" customHeight="1" x14ac:dyDescent="0.35"/>
    <row r="330" ht="12.75" hidden="1" customHeight="1" x14ac:dyDescent="0.35"/>
    <row r="331" ht="12.75" hidden="1" customHeight="1" x14ac:dyDescent="0.35"/>
    <row r="332" ht="12.75" hidden="1" customHeight="1" x14ac:dyDescent="0.35"/>
    <row r="333" ht="12.75" hidden="1" customHeight="1" x14ac:dyDescent="0.35"/>
    <row r="334" ht="12.75" hidden="1" customHeight="1" x14ac:dyDescent="0.35"/>
    <row r="335" ht="12.75" hidden="1" customHeight="1" x14ac:dyDescent="0.35"/>
    <row r="336" ht="12.75" hidden="1" customHeight="1" x14ac:dyDescent="0.35"/>
    <row r="337" ht="12.75" hidden="1" customHeight="1" x14ac:dyDescent="0.35"/>
    <row r="338" ht="12.75" hidden="1" customHeight="1" x14ac:dyDescent="0.35"/>
    <row r="339" ht="12.75" hidden="1" customHeight="1" x14ac:dyDescent="0.35"/>
    <row r="340" ht="12.75" hidden="1" customHeight="1" x14ac:dyDescent="0.35"/>
    <row r="341" ht="12.75" hidden="1" customHeight="1" x14ac:dyDescent="0.35"/>
    <row r="342" ht="12.75" hidden="1" customHeight="1" x14ac:dyDescent="0.35"/>
    <row r="343" ht="12.75" hidden="1" customHeight="1" x14ac:dyDescent="0.35"/>
    <row r="344" ht="12.75" hidden="1" customHeight="1" x14ac:dyDescent="0.35"/>
    <row r="345" ht="12.75" hidden="1" customHeight="1" x14ac:dyDescent="0.35"/>
    <row r="346" ht="12.75" hidden="1" customHeight="1" x14ac:dyDescent="0.35"/>
    <row r="347" ht="12.75" hidden="1" customHeight="1" x14ac:dyDescent="0.35"/>
    <row r="348" ht="12.75" hidden="1" customHeight="1" x14ac:dyDescent="0.35"/>
    <row r="349" ht="12.75" hidden="1" customHeight="1" x14ac:dyDescent="0.35"/>
    <row r="350" ht="12.75" hidden="1" customHeight="1" x14ac:dyDescent="0.35"/>
    <row r="351" ht="12.75" hidden="1" customHeight="1" x14ac:dyDescent="0.35"/>
    <row r="352" ht="12.75" hidden="1" customHeight="1" x14ac:dyDescent="0.35"/>
    <row r="353" ht="12.75" hidden="1" customHeight="1" x14ac:dyDescent="0.35"/>
    <row r="354" ht="12.75" hidden="1" customHeight="1" x14ac:dyDescent="0.35"/>
    <row r="355" ht="12.75" hidden="1" customHeight="1" x14ac:dyDescent="0.35"/>
    <row r="356" ht="12.75" hidden="1" customHeight="1" x14ac:dyDescent="0.35"/>
    <row r="357" ht="12.75" hidden="1" customHeight="1" x14ac:dyDescent="0.35"/>
    <row r="358" ht="12.75" hidden="1" customHeight="1" x14ac:dyDescent="0.35"/>
    <row r="359" ht="12.75" hidden="1" customHeight="1" x14ac:dyDescent="0.35"/>
    <row r="360" ht="12.75" hidden="1" customHeight="1" x14ac:dyDescent="0.35"/>
    <row r="361" ht="12.75" hidden="1" customHeight="1" x14ac:dyDescent="0.35"/>
    <row r="362" ht="12.75" hidden="1" customHeight="1" x14ac:dyDescent="0.35"/>
    <row r="363" ht="12.75" hidden="1" customHeight="1" x14ac:dyDescent="0.35"/>
    <row r="364" ht="12.75" hidden="1" customHeight="1" x14ac:dyDescent="0.35"/>
    <row r="365" ht="12.75" hidden="1" customHeight="1" x14ac:dyDescent="0.35"/>
    <row r="366" ht="12.75" hidden="1" customHeight="1" x14ac:dyDescent="0.35"/>
    <row r="367" ht="12.75" hidden="1" customHeight="1" x14ac:dyDescent="0.35"/>
    <row r="368" ht="12.75" hidden="1" customHeight="1" x14ac:dyDescent="0.35"/>
    <row r="369" ht="12.75" hidden="1" customHeight="1" x14ac:dyDescent="0.35"/>
    <row r="370" ht="12.75" hidden="1" customHeight="1" x14ac:dyDescent="0.35"/>
    <row r="371" ht="12.75" hidden="1" customHeight="1" x14ac:dyDescent="0.35"/>
    <row r="372" ht="12.75" hidden="1" customHeight="1" x14ac:dyDescent="0.35"/>
    <row r="373" ht="12.75" hidden="1" customHeight="1" x14ac:dyDescent="0.35"/>
    <row r="374" ht="12.75" hidden="1" customHeight="1" x14ac:dyDescent="0.35"/>
    <row r="375" ht="12.75" hidden="1" customHeight="1" x14ac:dyDescent="0.35"/>
    <row r="376" ht="12.75" hidden="1" customHeight="1" x14ac:dyDescent="0.35"/>
    <row r="377" ht="12.75" hidden="1" customHeight="1" x14ac:dyDescent="0.35"/>
    <row r="378" ht="12.75" hidden="1" customHeight="1" x14ac:dyDescent="0.35"/>
    <row r="379" ht="12.75" hidden="1" customHeight="1" x14ac:dyDescent="0.35"/>
    <row r="380" ht="12.75" hidden="1" customHeight="1" x14ac:dyDescent="0.35"/>
    <row r="381" ht="12.75" hidden="1" customHeight="1" x14ac:dyDescent="0.35"/>
    <row r="382" ht="12.75" hidden="1" customHeight="1" x14ac:dyDescent="0.35"/>
    <row r="383" ht="12.75" hidden="1" customHeight="1" x14ac:dyDescent="0.35"/>
    <row r="384" ht="12.75" hidden="1" customHeight="1" x14ac:dyDescent="0.35"/>
    <row r="385" ht="12.75" hidden="1" customHeight="1" x14ac:dyDescent="0.35"/>
    <row r="386" ht="12.75" hidden="1" customHeight="1" x14ac:dyDescent="0.35"/>
    <row r="387" ht="12.75" hidden="1" customHeight="1" x14ac:dyDescent="0.35"/>
    <row r="388" ht="12.75" hidden="1" customHeight="1" x14ac:dyDescent="0.35"/>
    <row r="389" ht="12.75" hidden="1" customHeight="1" x14ac:dyDescent="0.35"/>
    <row r="390" ht="12.75" hidden="1" customHeight="1" x14ac:dyDescent="0.35"/>
    <row r="391" ht="12.75" hidden="1" customHeight="1" x14ac:dyDescent="0.35"/>
    <row r="392" ht="12.75" hidden="1" customHeight="1" x14ac:dyDescent="0.35"/>
    <row r="393" ht="12.75" hidden="1" customHeight="1" x14ac:dyDescent="0.35"/>
    <row r="394" ht="12.75" hidden="1" customHeight="1" x14ac:dyDescent="0.35"/>
    <row r="395" ht="12.75" hidden="1" customHeight="1" x14ac:dyDescent="0.35"/>
    <row r="396" ht="12.75" hidden="1" customHeight="1" x14ac:dyDescent="0.35"/>
    <row r="397" ht="12.75" hidden="1" customHeight="1" x14ac:dyDescent="0.35"/>
    <row r="398" ht="12.75" hidden="1" customHeight="1" x14ac:dyDescent="0.35"/>
    <row r="399" ht="12.75" hidden="1" customHeight="1" x14ac:dyDescent="0.35"/>
    <row r="400" ht="12.75" hidden="1" customHeight="1" x14ac:dyDescent="0.35"/>
    <row r="401" ht="12.75" hidden="1" customHeight="1" x14ac:dyDescent="0.35"/>
    <row r="402" ht="12.75" hidden="1" customHeight="1" x14ac:dyDescent="0.35"/>
    <row r="403" ht="12.75" hidden="1" customHeight="1" x14ac:dyDescent="0.35"/>
    <row r="404" ht="12.75" hidden="1" customHeight="1" x14ac:dyDescent="0.35"/>
    <row r="405" ht="12.75" hidden="1" customHeight="1" x14ac:dyDescent="0.35"/>
    <row r="406" ht="12.75" hidden="1" customHeight="1" x14ac:dyDescent="0.35"/>
    <row r="407" ht="12.75" hidden="1" customHeight="1" x14ac:dyDescent="0.35"/>
    <row r="408" ht="12.75" hidden="1" customHeight="1" x14ac:dyDescent="0.35"/>
    <row r="409" ht="12.75" hidden="1" customHeight="1" x14ac:dyDescent="0.35"/>
    <row r="410" ht="12.75" hidden="1" customHeight="1" x14ac:dyDescent="0.35"/>
    <row r="411" ht="12.75" hidden="1" customHeight="1" x14ac:dyDescent="0.35"/>
    <row r="412" ht="12.75" hidden="1" customHeight="1" x14ac:dyDescent="0.35"/>
    <row r="413" ht="12.75" hidden="1" customHeight="1" x14ac:dyDescent="0.35"/>
    <row r="414" ht="12.75" hidden="1" customHeight="1" x14ac:dyDescent="0.35"/>
    <row r="415" ht="12.75" hidden="1" customHeight="1" x14ac:dyDescent="0.35"/>
    <row r="416" ht="12.75" hidden="1" customHeight="1" x14ac:dyDescent="0.35"/>
    <row r="417" ht="12.75" hidden="1" customHeight="1" x14ac:dyDescent="0.35"/>
    <row r="418" ht="12.75" hidden="1" customHeight="1" x14ac:dyDescent="0.35"/>
    <row r="419" ht="12.75" hidden="1" customHeight="1" x14ac:dyDescent="0.35"/>
    <row r="420" ht="12.75" hidden="1" customHeight="1" x14ac:dyDescent="0.35"/>
    <row r="421" ht="12.75" hidden="1" customHeight="1" x14ac:dyDescent="0.35"/>
    <row r="422" ht="12.75" hidden="1" customHeight="1" x14ac:dyDescent="0.35"/>
    <row r="423" ht="12.75" hidden="1" customHeight="1" x14ac:dyDescent="0.35"/>
    <row r="424" ht="12.75" hidden="1" customHeight="1" x14ac:dyDescent="0.35"/>
    <row r="425" ht="12.75" hidden="1" customHeight="1" x14ac:dyDescent="0.35"/>
    <row r="426" ht="12.75" hidden="1" customHeight="1" x14ac:dyDescent="0.35"/>
    <row r="427" ht="12.75" hidden="1" customHeight="1" x14ac:dyDescent="0.35"/>
    <row r="428" ht="12.75" hidden="1" customHeight="1" x14ac:dyDescent="0.35"/>
    <row r="429" ht="12.75" hidden="1" customHeight="1" x14ac:dyDescent="0.35"/>
    <row r="430" ht="12.75" hidden="1" customHeight="1" x14ac:dyDescent="0.35"/>
    <row r="431" ht="12.75" hidden="1" customHeight="1" x14ac:dyDescent="0.35"/>
    <row r="432" ht="12.75" hidden="1" customHeight="1" x14ac:dyDescent="0.35"/>
    <row r="433" ht="12.75" hidden="1" customHeight="1" x14ac:dyDescent="0.35"/>
    <row r="434" ht="12.75" hidden="1" customHeight="1" x14ac:dyDescent="0.35"/>
    <row r="435" ht="12.75" hidden="1" customHeight="1" x14ac:dyDescent="0.35"/>
    <row r="436" ht="12.75" hidden="1" customHeight="1" x14ac:dyDescent="0.35"/>
    <row r="437" ht="12.75" hidden="1" customHeight="1" x14ac:dyDescent="0.35"/>
    <row r="438" ht="12.75" hidden="1" customHeight="1" x14ac:dyDescent="0.35"/>
    <row r="439" ht="12.75" hidden="1" customHeight="1" x14ac:dyDescent="0.35"/>
    <row r="440" ht="12.75" hidden="1" customHeight="1" x14ac:dyDescent="0.35"/>
    <row r="441" ht="12.75" hidden="1" customHeight="1" x14ac:dyDescent="0.35"/>
    <row r="442" ht="12.75" hidden="1" customHeight="1" x14ac:dyDescent="0.35"/>
    <row r="443" ht="12.75" hidden="1" customHeight="1" x14ac:dyDescent="0.35"/>
    <row r="444" ht="12.75" hidden="1" customHeight="1" x14ac:dyDescent="0.35"/>
    <row r="445" ht="12.75" hidden="1" customHeight="1" x14ac:dyDescent="0.35"/>
    <row r="446" ht="12.75" hidden="1" customHeight="1" x14ac:dyDescent="0.35"/>
    <row r="447" ht="12.75" hidden="1" customHeight="1" x14ac:dyDescent="0.35"/>
    <row r="448" ht="12.75" hidden="1" customHeight="1" x14ac:dyDescent="0.35"/>
    <row r="449" ht="12.75" hidden="1" customHeight="1" x14ac:dyDescent="0.35"/>
    <row r="450" ht="12.75" hidden="1" customHeight="1" x14ac:dyDescent="0.35"/>
    <row r="451" ht="12.75" hidden="1" customHeight="1" x14ac:dyDescent="0.35"/>
    <row r="452" ht="12.75" hidden="1" customHeight="1" x14ac:dyDescent="0.35"/>
    <row r="453" ht="12.75" hidden="1" customHeight="1" x14ac:dyDescent="0.35"/>
    <row r="454" ht="12.75" hidden="1" customHeight="1" x14ac:dyDescent="0.35"/>
    <row r="455" ht="12.75" hidden="1" customHeight="1" x14ac:dyDescent="0.35"/>
    <row r="456" ht="12.75" hidden="1" customHeight="1" x14ac:dyDescent="0.35"/>
    <row r="457" ht="12.75" hidden="1" customHeight="1" x14ac:dyDescent="0.35"/>
    <row r="458" ht="12.75" hidden="1" customHeight="1" x14ac:dyDescent="0.35"/>
    <row r="459" ht="12.75" hidden="1" customHeight="1" x14ac:dyDescent="0.35"/>
    <row r="460" ht="12.75" hidden="1" customHeight="1" x14ac:dyDescent="0.35"/>
    <row r="461" ht="12.75" hidden="1" customHeight="1" x14ac:dyDescent="0.35"/>
    <row r="462" ht="12.75" hidden="1" customHeight="1" x14ac:dyDescent="0.35"/>
    <row r="463" ht="12.75" hidden="1" customHeight="1" x14ac:dyDescent="0.35"/>
    <row r="464" ht="12.75" hidden="1" customHeight="1" x14ac:dyDescent="0.35"/>
    <row r="465" ht="12.75" hidden="1" customHeight="1" x14ac:dyDescent="0.35"/>
    <row r="466" ht="12.75" hidden="1" customHeight="1" x14ac:dyDescent="0.35"/>
    <row r="467" ht="12.75" hidden="1" customHeight="1" x14ac:dyDescent="0.35"/>
    <row r="468" ht="12.75" hidden="1" customHeight="1" x14ac:dyDescent="0.35"/>
    <row r="469" ht="12.75" hidden="1" customHeight="1" x14ac:dyDescent="0.35"/>
    <row r="470" ht="12.75" hidden="1" customHeight="1" x14ac:dyDescent="0.35"/>
    <row r="471" ht="12.75" hidden="1" customHeight="1" x14ac:dyDescent="0.35"/>
    <row r="472" ht="12.75" hidden="1" customHeight="1" x14ac:dyDescent="0.35"/>
    <row r="473" ht="12.75" hidden="1" customHeight="1" x14ac:dyDescent="0.35"/>
    <row r="474" ht="12.75" hidden="1" customHeight="1" x14ac:dyDescent="0.35"/>
    <row r="475" ht="12.75" hidden="1" customHeight="1" x14ac:dyDescent="0.35"/>
    <row r="476" ht="12.75" hidden="1" customHeight="1" x14ac:dyDescent="0.35"/>
    <row r="477" ht="12.75" hidden="1" customHeight="1" x14ac:dyDescent="0.35"/>
    <row r="478" ht="12.75" hidden="1" customHeight="1" x14ac:dyDescent="0.35"/>
    <row r="479" ht="12.75" hidden="1" customHeight="1" x14ac:dyDescent="0.35"/>
    <row r="480" ht="12.75" hidden="1" customHeight="1" x14ac:dyDescent="0.35"/>
    <row r="481" ht="12.75" hidden="1" customHeight="1" x14ac:dyDescent="0.35"/>
    <row r="482" ht="12.75" hidden="1" customHeight="1" x14ac:dyDescent="0.35"/>
    <row r="483" ht="12.75" hidden="1" customHeight="1" x14ac:dyDescent="0.35"/>
    <row r="484" ht="12.75" hidden="1" customHeight="1" x14ac:dyDescent="0.35"/>
    <row r="485" ht="12.75" hidden="1" customHeight="1" x14ac:dyDescent="0.35"/>
    <row r="486" ht="12.75" hidden="1" customHeight="1" x14ac:dyDescent="0.35"/>
    <row r="487" ht="12.75" hidden="1" customHeight="1" x14ac:dyDescent="0.35"/>
    <row r="488" ht="12.75" hidden="1" customHeight="1" x14ac:dyDescent="0.35"/>
    <row r="489" ht="12.75" hidden="1" customHeight="1" x14ac:dyDescent="0.35"/>
    <row r="490" ht="12.75" hidden="1" customHeight="1" x14ac:dyDescent="0.35"/>
    <row r="491" ht="12.75" hidden="1" customHeight="1" x14ac:dyDescent="0.35"/>
    <row r="492" ht="12.75" hidden="1" customHeight="1" x14ac:dyDescent="0.35"/>
    <row r="493" ht="12.75" hidden="1" customHeight="1" x14ac:dyDescent="0.35"/>
    <row r="494" ht="12.75" hidden="1" customHeight="1" x14ac:dyDescent="0.35"/>
    <row r="495" ht="12.75" hidden="1" customHeight="1" x14ac:dyDescent="0.35"/>
    <row r="496" ht="12.75" hidden="1" customHeight="1" x14ac:dyDescent="0.35"/>
    <row r="497" ht="12.75" hidden="1" customHeight="1" x14ac:dyDescent="0.35"/>
    <row r="498" ht="12.75" hidden="1" customHeight="1" x14ac:dyDescent="0.35"/>
    <row r="499" ht="12.75" hidden="1" customHeight="1" x14ac:dyDescent="0.35"/>
    <row r="500" ht="12.75" hidden="1" customHeight="1" x14ac:dyDescent="0.35"/>
    <row r="501" ht="12.75" hidden="1" customHeight="1" x14ac:dyDescent="0.35"/>
    <row r="502" ht="12.75" hidden="1" customHeight="1" x14ac:dyDescent="0.35"/>
    <row r="503" ht="12.75" hidden="1" customHeight="1" x14ac:dyDescent="0.35"/>
    <row r="504" ht="12.75" hidden="1" customHeight="1" x14ac:dyDescent="0.35"/>
    <row r="505" ht="12.75" hidden="1" customHeight="1" x14ac:dyDescent="0.35"/>
    <row r="506" ht="12.75" hidden="1" customHeight="1" x14ac:dyDescent="0.35"/>
    <row r="507" ht="12.75" hidden="1" customHeight="1" x14ac:dyDescent="0.35"/>
    <row r="508" ht="12.75" hidden="1" customHeight="1" x14ac:dyDescent="0.35"/>
    <row r="509" ht="12.75" hidden="1" customHeight="1" x14ac:dyDescent="0.35"/>
    <row r="510" ht="12.75" hidden="1" customHeight="1" x14ac:dyDescent="0.35"/>
    <row r="511" ht="12.75" hidden="1" customHeight="1" x14ac:dyDescent="0.35"/>
    <row r="512" ht="12.75" hidden="1" customHeight="1" x14ac:dyDescent="0.35"/>
    <row r="513" ht="12.75" hidden="1" customHeight="1" x14ac:dyDescent="0.35"/>
    <row r="514" ht="12.75" hidden="1" customHeight="1" x14ac:dyDescent="0.35"/>
    <row r="515" ht="12.75" hidden="1" customHeight="1" x14ac:dyDescent="0.35"/>
    <row r="516" ht="12.75" hidden="1" customHeight="1" x14ac:dyDescent="0.35"/>
    <row r="517" ht="12.75" hidden="1" customHeight="1" x14ac:dyDescent="0.35"/>
    <row r="518" ht="12.75" hidden="1" customHeight="1" x14ac:dyDescent="0.35"/>
    <row r="519" ht="12.75" hidden="1" customHeight="1" x14ac:dyDescent="0.35"/>
    <row r="520" ht="12.75" hidden="1" customHeight="1" x14ac:dyDescent="0.35"/>
    <row r="521" ht="12.75" hidden="1" customHeight="1" x14ac:dyDescent="0.35"/>
    <row r="522" ht="12.75" hidden="1" customHeight="1" x14ac:dyDescent="0.35"/>
    <row r="523" ht="12.75" hidden="1" customHeight="1" x14ac:dyDescent="0.35"/>
    <row r="524" ht="12.75" hidden="1" customHeight="1" x14ac:dyDescent="0.35"/>
    <row r="525" ht="12.75" hidden="1" customHeight="1" x14ac:dyDescent="0.35"/>
    <row r="526" ht="12.75" hidden="1" customHeight="1" x14ac:dyDescent="0.35"/>
    <row r="527" ht="12.75" hidden="1" customHeight="1" x14ac:dyDescent="0.35"/>
    <row r="528" ht="12.75" hidden="1" customHeight="1" x14ac:dyDescent="0.35"/>
    <row r="529" ht="12.75" hidden="1" customHeight="1" x14ac:dyDescent="0.35"/>
    <row r="530" ht="12.75" hidden="1" customHeight="1" x14ac:dyDescent="0.35"/>
    <row r="531" ht="12.75" hidden="1" customHeight="1" x14ac:dyDescent="0.35"/>
    <row r="532" ht="12.75" hidden="1" customHeight="1" x14ac:dyDescent="0.35"/>
    <row r="533" ht="12.75" hidden="1" customHeight="1" x14ac:dyDescent="0.35"/>
    <row r="534" ht="12.75" hidden="1" customHeight="1" x14ac:dyDescent="0.35"/>
    <row r="535" ht="12.75" hidden="1" customHeight="1" x14ac:dyDescent="0.35"/>
    <row r="536" ht="12.75" hidden="1" customHeight="1" x14ac:dyDescent="0.35"/>
    <row r="537" ht="12.75" hidden="1" customHeight="1" x14ac:dyDescent="0.35"/>
    <row r="538" ht="12.75" hidden="1" customHeight="1" x14ac:dyDescent="0.35"/>
    <row r="539" ht="12.75" hidden="1" customHeight="1" x14ac:dyDescent="0.35"/>
    <row r="540" ht="12.75" hidden="1" customHeight="1" x14ac:dyDescent="0.35"/>
    <row r="541" ht="12.75" hidden="1" customHeight="1" x14ac:dyDescent="0.35"/>
    <row r="542" ht="12.75" hidden="1" customHeight="1" x14ac:dyDescent="0.35"/>
    <row r="543" ht="12.75" hidden="1" customHeight="1" x14ac:dyDescent="0.35"/>
    <row r="544" ht="12.75" hidden="1" customHeight="1" x14ac:dyDescent="0.35"/>
    <row r="545" ht="12.75" hidden="1" customHeight="1" x14ac:dyDescent="0.35"/>
    <row r="546" ht="12.75" hidden="1" customHeight="1" x14ac:dyDescent="0.35"/>
    <row r="547" ht="12.75" hidden="1" customHeight="1" x14ac:dyDescent="0.35"/>
    <row r="548" ht="12.75" hidden="1" customHeight="1" x14ac:dyDescent="0.35"/>
    <row r="549" ht="12.75" hidden="1" customHeight="1" x14ac:dyDescent="0.35"/>
    <row r="550" ht="12.75" hidden="1" customHeight="1" x14ac:dyDescent="0.35"/>
    <row r="551" ht="12.75" hidden="1" customHeight="1" x14ac:dyDescent="0.35"/>
    <row r="552" ht="12.75" hidden="1" customHeight="1" x14ac:dyDescent="0.35"/>
    <row r="553" ht="12.75" hidden="1" customHeight="1" x14ac:dyDescent="0.35"/>
    <row r="554" ht="12.75" hidden="1" customHeight="1" x14ac:dyDescent="0.35"/>
    <row r="555" ht="12.75" hidden="1" customHeight="1" x14ac:dyDescent="0.35"/>
    <row r="556" ht="12.75" hidden="1" customHeight="1" x14ac:dyDescent="0.35"/>
    <row r="557" ht="12.75" hidden="1" customHeight="1" x14ac:dyDescent="0.35"/>
    <row r="558" ht="12.75" hidden="1" customHeight="1" x14ac:dyDescent="0.35"/>
    <row r="559" ht="12.75" hidden="1" customHeight="1" x14ac:dyDescent="0.35"/>
    <row r="560" ht="12.75" hidden="1" customHeight="1" x14ac:dyDescent="0.35"/>
    <row r="561" ht="12.75" hidden="1" customHeight="1" x14ac:dyDescent="0.35"/>
  </sheetData>
  <mergeCells count="8">
    <mergeCell ref="L33:N33"/>
    <mergeCell ref="L34:N34"/>
    <mergeCell ref="L18:N18"/>
    <mergeCell ref="L19:N19"/>
    <mergeCell ref="L20:N20"/>
    <mergeCell ref="L29:N29"/>
    <mergeCell ref="L30:N30"/>
    <mergeCell ref="L22:N22"/>
  </mergeCells>
  <pageMargins left="0.42" right="0.5" top="0.75" bottom="0.75" header="0.5" footer="0.5"/>
  <pageSetup scale="62" orientation="landscape"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XN598"/>
  <sheetViews>
    <sheetView showGridLines="0" zoomScale="75" zoomScaleNormal="75" workbookViewId="0"/>
  </sheetViews>
  <sheetFormatPr defaultColWidth="0" defaultRowHeight="0" customHeight="1" zeroHeight="1" x14ac:dyDescent="0.35"/>
  <cols>
    <col min="1" max="5" width="2.86328125" style="216" customWidth="1"/>
    <col min="6" max="6" width="15.1328125" style="216" customWidth="1"/>
    <col min="7" max="7" width="17.1328125" style="216" customWidth="1"/>
    <col min="8" max="8" width="28.3984375" style="216" customWidth="1"/>
    <col min="9" max="9" width="17.73046875" style="217" bestFit="1" customWidth="1"/>
    <col min="10" max="10" width="13.86328125" style="216" customWidth="1"/>
    <col min="11" max="11" width="14.86328125" style="216" bestFit="1" customWidth="1"/>
    <col min="12" max="12" width="13.86328125" style="216" customWidth="1"/>
    <col min="13" max="13" width="17.1328125" style="216" customWidth="1"/>
    <col min="14" max="14" width="16.73046875" style="216" customWidth="1"/>
    <col min="15" max="22" width="13.86328125" style="216" customWidth="1"/>
    <col min="23" max="29" width="14.86328125" style="216" bestFit="1" customWidth="1"/>
    <col min="30" max="43" width="13.86328125" style="216" customWidth="1"/>
    <col min="44" max="44" width="2.59765625" style="216" customWidth="1"/>
    <col min="45" max="285" width="0" style="216" hidden="1"/>
    <col min="286" max="286" width="3.1328125" style="216" hidden="1" customWidth="1"/>
    <col min="287" max="289" width="2.86328125" style="216" hidden="1" customWidth="1"/>
    <col min="290" max="299" width="12.86328125" style="216" hidden="1" customWidth="1"/>
    <col min="300" max="300" width="2.86328125" style="216" hidden="1" customWidth="1"/>
    <col min="301" max="541" width="0" style="216" hidden="1"/>
    <col min="542" max="542" width="3.1328125" style="216" hidden="1" customWidth="1"/>
    <col min="543" max="545" width="2.86328125" style="216" hidden="1" customWidth="1"/>
    <col min="546" max="555" width="12.86328125" style="216" hidden="1" customWidth="1"/>
    <col min="556" max="556" width="2.86328125" style="216" hidden="1" customWidth="1"/>
    <col min="557" max="797" width="0" style="216" hidden="1"/>
    <col min="798" max="798" width="3.1328125" style="216" hidden="1" customWidth="1"/>
    <col min="799" max="801" width="2.86328125" style="216" hidden="1" customWidth="1"/>
    <col min="802" max="811" width="12.86328125" style="216" hidden="1" customWidth="1"/>
    <col min="812" max="812" width="2.86328125" style="216" hidden="1" customWidth="1"/>
    <col min="813" max="1053" width="0" style="216" hidden="1"/>
    <col min="1054" max="1054" width="3.1328125" style="216" hidden="1" customWidth="1"/>
    <col min="1055" max="1057" width="2.86328125" style="216" hidden="1" customWidth="1"/>
    <col min="1058" max="1067" width="12.86328125" style="216" hidden="1" customWidth="1"/>
    <col min="1068" max="1068" width="2.86328125" style="216" hidden="1" customWidth="1"/>
    <col min="1069" max="1309" width="0" style="216" hidden="1"/>
    <col min="1310" max="1310" width="3.1328125" style="216" hidden="1" customWidth="1"/>
    <col min="1311" max="1313" width="2.86328125" style="216" hidden="1" customWidth="1"/>
    <col min="1314" max="1323" width="12.86328125" style="216" hidden="1" customWidth="1"/>
    <col min="1324" max="1324" width="2.86328125" style="216" hidden="1" customWidth="1"/>
    <col min="1325" max="1565" width="0" style="216" hidden="1"/>
    <col min="1566" max="1566" width="3.1328125" style="216" hidden="1" customWidth="1"/>
    <col min="1567" max="1569" width="2.86328125" style="216" hidden="1" customWidth="1"/>
    <col min="1570" max="1579" width="12.86328125" style="216" hidden="1" customWidth="1"/>
    <col min="1580" max="1580" width="2.86328125" style="216" hidden="1" customWidth="1"/>
    <col min="1581" max="1821" width="0" style="216" hidden="1"/>
    <col min="1822" max="1822" width="3.1328125" style="216" hidden="1" customWidth="1"/>
    <col min="1823" max="1825" width="2.86328125" style="216" hidden="1" customWidth="1"/>
    <col min="1826" max="1835" width="12.86328125" style="216" hidden="1" customWidth="1"/>
    <col min="1836" max="1836" width="2.86328125" style="216" hidden="1" customWidth="1"/>
    <col min="1837" max="2077" width="0" style="216" hidden="1"/>
    <col min="2078" max="2078" width="3.1328125" style="216" hidden="1" customWidth="1"/>
    <col min="2079" max="2081" width="2.86328125" style="216" hidden="1" customWidth="1"/>
    <col min="2082" max="2091" width="12.86328125" style="216" hidden="1" customWidth="1"/>
    <col min="2092" max="2092" width="2.86328125" style="216" hidden="1" customWidth="1"/>
    <col min="2093" max="2333" width="0" style="216" hidden="1"/>
    <col min="2334" max="2334" width="3.1328125" style="216" hidden="1" customWidth="1"/>
    <col min="2335" max="2337" width="2.86328125" style="216" hidden="1" customWidth="1"/>
    <col min="2338" max="2347" width="12.86328125" style="216" hidden="1" customWidth="1"/>
    <col min="2348" max="2348" width="2.86328125" style="216" hidden="1" customWidth="1"/>
    <col min="2349" max="2589" width="0" style="216" hidden="1"/>
    <col min="2590" max="2590" width="3.1328125" style="216" hidden="1" customWidth="1"/>
    <col min="2591" max="2593" width="2.86328125" style="216" hidden="1" customWidth="1"/>
    <col min="2594" max="2603" width="12.86328125" style="216" hidden="1" customWidth="1"/>
    <col min="2604" max="2604" width="2.86328125" style="216" hidden="1" customWidth="1"/>
    <col min="2605" max="2845" width="0" style="216" hidden="1"/>
    <col min="2846" max="2846" width="3.1328125" style="216" hidden="1" customWidth="1"/>
    <col min="2847" max="2849" width="2.86328125" style="216" hidden="1" customWidth="1"/>
    <col min="2850" max="2859" width="12.86328125" style="216" hidden="1" customWidth="1"/>
    <col min="2860" max="2860" width="2.86328125" style="216" hidden="1" customWidth="1"/>
    <col min="2861" max="3101" width="0" style="216" hidden="1"/>
    <col min="3102" max="3102" width="3.1328125" style="216" hidden="1" customWidth="1"/>
    <col min="3103" max="3105" width="2.86328125" style="216" hidden="1" customWidth="1"/>
    <col min="3106" max="3115" width="12.86328125" style="216" hidden="1" customWidth="1"/>
    <col min="3116" max="3116" width="2.86328125" style="216" hidden="1" customWidth="1"/>
    <col min="3117" max="3357" width="0" style="216" hidden="1"/>
    <col min="3358" max="3358" width="3.1328125" style="216" hidden="1" customWidth="1"/>
    <col min="3359" max="3361" width="2.86328125" style="216" hidden="1" customWidth="1"/>
    <col min="3362" max="3371" width="12.86328125" style="216" hidden="1" customWidth="1"/>
    <col min="3372" max="3372" width="2.86328125" style="216" hidden="1" customWidth="1"/>
    <col min="3373" max="3613" width="0" style="216" hidden="1"/>
    <col min="3614" max="3614" width="3.1328125" style="216" hidden="1" customWidth="1"/>
    <col min="3615" max="3617" width="2.86328125" style="216" hidden="1" customWidth="1"/>
    <col min="3618" max="3627" width="12.86328125" style="216" hidden="1" customWidth="1"/>
    <col min="3628" max="3628" width="2.86328125" style="216" hidden="1" customWidth="1"/>
    <col min="3629" max="3869" width="0" style="216" hidden="1"/>
    <col min="3870" max="3870" width="3.1328125" style="216" hidden="1" customWidth="1"/>
    <col min="3871" max="3873" width="2.86328125" style="216" hidden="1" customWidth="1"/>
    <col min="3874" max="3883" width="12.86328125" style="216" hidden="1" customWidth="1"/>
    <col min="3884" max="3884" width="2.86328125" style="216" hidden="1" customWidth="1"/>
    <col min="3885" max="4125" width="0" style="216" hidden="1"/>
    <col min="4126" max="4126" width="3.1328125" style="216" hidden="1" customWidth="1"/>
    <col min="4127" max="4129" width="2.86328125" style="216" hidden="1" customWidth="1"/>
    <col min="4130" max="4139" width="12.86328125" style="216" hidden="1" customWidth="1"/>
    <col min="4140" max="4140" width="2.86328125" style="216" hidden="1" customWidth="1"/>
    <col min="4141" max="4381" width="0" style="216" hidden="1"/>
    <col min="4382" max="4382" width="3.1328125" style="216" hidden="1" customWidth="1"/>
    <col min="4383" max="4385" width="2.86328125" style="216" hidden="1" customWidth="1"/>
    <col min="4386" max="4395" width="12.86328125" style="216" hidden="1" customWidth="1"/>
    <col min="4396" max="4396" width="2.86328125" style="216" hidden="1" customWidth="1"/>
    <col min="4397" max="4637" width="0" style="216" hidden="1"/>
    <col min="4638" max="4638" width="3.1328125" style="216" hidden="1" customWidth="1"/>
    <col min="4639" max="4641" width="2.86328125" style="216" hidden="1" customWidth="1"/>
    <col min="4642" max="4651" width="12.86328125" style="216" hidden="1" customWidth="1"/>
    <col min="4652" max="4652" width="2.86328125" style="216" hidden="1" customWidth="1"/>
    <col min="4653" max="4893" width="0" style="216" hidden="1"/>
    <col min="4894" max="4894" width="3.1328125" style="216" hidden="1" customWidth="1"/>
    <col min="4895" max="4897" width="2.86328125" style="216" hidden="1" customWidth="1"/>
    <col min="4898" max="4907" width="12.86328125" style="216" hidden="1" customWidth="1"/>
    <col min="4908" max="4908" width="2.86328125" style="216" hidden="1" customWidth="1"/>
    <col min="4909" max="5149" width="0" style="216" hidden="1"/>
    <col min="5150" max="5150" width="3.1328125" style="216" hidden="1" customWidth="1"/>
    <col min="5151" max="5153" width="2.86328125" style="216" hidden="1" customWidth="1"/>
    <col min="5154" max="5163" width="12.86328125" style="216" hidden="1" customWidth="1"/>
    <col min="5164" max="5164" width="2.86328125" style="216" hidden="1" customWidth="1"/>
    <col min="5165" max="5405" width="0" style="216" hidden="1"/>
    <col min="5406" max="5406" width="3.1328125" style="216" hidden="1" customWidth="1"/>
    <col min="5407" max="5409" width="2.86328125" style="216" hidden="1" customWidth="1"/>
    <col min="5410" max="5419" width="12.86328125" style="216" hidden="1" customWidth="1"/>
    <col min="5420" max="5420" width="2.86328125" style="216" hidden="1" customWidth="1"/>
    <col min="5421" max="5661" width="0" style="216" hidden="1"/>
    <col min="5662" max="5662" width="3.1328125" style="216" hidden="1" customWidth="1"/>
    <col min="5663" max="5665" width="2.86328125" style="216" hidden="1" customWidth="1"/>
    <col min="5666" max="5675" width="12.86328125" style="216" hidden="1" customWidth="1"/>
    <col min="5676" max="5676" width="2.86328125" style="216" hidden="1" customWidth="1"/>
    <col min="5677" max="5917" width="0" style="216" hidden="1"/>
    <col min="5918" max="5918" width="3.1328125" style="216" hidden="1" customWidth="1"/>
    <col min="5919" max="5921" width="2.86328125" style="216" hidden="1" customWidth="1"/>
    <col min="5922" max="5931" width="12.86328125" style="216" hidden="1" customWidth="1"/>
    <col min="5932" max="5932" width="2.86328125" style="216" hidden="1" customWidth="1"/>
    <col min="5933" max="6173" width="0" style="216" hidden="1"/>
    <col min="6174" max="6174" width="3.1328125" style="216" hidden="1" customWidth="1"/>
    <col min="6175" max="6177" width="2.86328125" style="216" hidden="1" customWidth="1"/>
    <col min="6178" max="6187" width="12.86328125" style="216" hidden="1" customWidth="1"/>
    <col min="6188" max="6188" width="2.86328125" style="216" hidden="1" customWidth="1"/>
    <col min="6189" max="6429" width="0" style="216" hidden="1"/>
    <col min="6430" max="6430" width="3.1328125" style="216" hidden="1" customWidth="1"/>
    <col min="6431" max="6433" width="2.86328125" style="216" hidden="1" customWidth="1"/>
    <col min="6434" max="6443" width="12.86328125" style="216" hidden="1" customWidth="1"/>
    <col min="6444" max="6444" width="2.86328125" style="216" hidden="1" customWidth="1"/>
    <col min="6445" max="6685" width="0" style="216" hidden="1"/>
    <col min="6686" max="6686" width="3.1328125" style="216" hidden="1" customWidth="1"/>
    <col min="6687" max="6689" width="2.86328125" style="216" hidden="1" customWidth="1"/>
    <col min="6690" max="6699" width="12.86328125" style="216" hidden="1" customWidth="1"/>
    <col min="6700" max="6700" width="2.86328125" style="216" hidden="1" customWidth="1"/>
    <col min="6701" max="6941" width="0" style="216" hidden="1"/>
    <col min="6942" max="6942" width="3.1328125" style="216" hidden="1" customWidth="1"/>
    <col min="6943" max="6945" width="2.86328125" style="216" hidden="1" customWidth="1"/>
    <col min="6946" max="6955" width="12.86328125" style="216" hidden="1" customWidth="1"/>
    <col min="6956" max="6956" width="2.86328125" style="216" hidden="1" customWidth="1"/>
    <col min="6957" max="7197" width="0" style="216" hidden="1"/>
    <col min="7198" max="7198" width="3.1328125" style="216" hidden="1" customWidth="1"/>
    <col min="7199" max="7201" width="2.86328125" style="216" hidden="1" customWidth="1"/>
    <col min="7202" max="7211" width="12.86328125" style="216" hidden="1" customWidth="1"/>
    <col min="7212" max="7212" width="2.86328125" style="216" hidden="1" customWidth="1"/>
    <col min="7213" max="7453" width="0" style="216" hidden="1"/>
    <col min="7454" max="7454" width="3.1328125" style="216" hidden="1" customWidth="1"/>
    <col min="7455" max="7457" width="2.86328125" style="216" hidden="1" customWidth="1"/>
    <col min="7458" max="7467" width="12.86328125" style="216" hidden="1" customWidth="1"/>
    <col min="7468" max="7468" width="2.86328125" style="216" hidden="1" customWidth="1"/>
    <col min="7469" max="7709" width="0" style="216" hidden="1"/>
    <col min="7710" max="7710" width="3.1328125" style="216" hidden="1" customWidth="1"/>
    <col min="7711" max="7713" width="2.86328125" style="216" hidden="1" customWidth="1"/>
    <col min="7714" max="7723" width="12.86328125" style="216" hidden="1" customWidth="1"/>
    <col min="7724" max="7724" width="2.86328125" style="216" hidden="1" customWidth="1"/>
    <col min="7725" max="7965" width="0" style="216" hidden="1"/>
    <col min="7966" max="7966" width="3.1328125" style="216" hidden="1" customWidth="1"/>
    <col min="7967" max="7969" width="2.86328125" style="216" hidden="1" customWidth="1"/>
    <col min="7970" max="7979" width="12.86328125" style="216" hidden="1" customWidth="1"/>
    <col min="7980" max="7980" width="2.86328125" style="216" hidden="1" customWidth="1"/>
    <col min="7981" max="8221" width="0" style="216" hidden="1"/>
    <col min="8222" max="8222" width="3.1328125" style="216" hidden="1" customWidth="1"/>
    <col min="8223" max="8225" width="2.86328125" style="216" hidden="1" customWidth="1"/>
    <col min="8226" max="8235" width="12.86328125" style="216" hidden="1" customWidth="1"/>
    <col min="8236" max="8236" width="2.86328125" style="216" hidden="1" customWidth="1"/>
    <col min="8237" max="8477" width="0" style="216" hidden="1"/>
    <col min="8478" max="8478" width="3.1328125" style="216" hidden="1" customWidth="1"/>
    <col min="8479" max="8481" width="2.86328125" style="216" hidden="1" customWidth="1"/>
    <col min="8482" max="8491" width="12.86328125" style="216" hidden="1" customWidth="1"/>
    <col min="8492" max="8492" width="2.86328125" style="216" hidden="1" customWidth="1"/>
    <col min="8493" max="8733" width="0" style="216" hidden="1"/>
    <col min="8734" max="8734" width="3.1328125" style="216" hidden="1" customWidth="1"/>
    <col min="8735" max="8737" width="2.86328125" style="216" hidden="1" customWidth="1"/>
    <col min="8738" max="8747" width="12.86328125" style="216" hidden="1" customWidth="1"/>
    <col min="8748" max="8748" width="2.86328125" style="216" hidden="1" customWidth="1"/>
    <col min="8749" max="8989" width="0" style="216" hidden="1"/>
    <col min="8990" max="8990" width="3.1328125" style="216" hidden="1" customWidth="1"/>
    <col min="8991" max="8993" width="2.86328125" style="216" hidden="1" customWidth="1"/>
    <col min="8994" max="9003" width="12.86328125" style="216" hidden="1" customWidth="1"/>
    <col min="9004" max="9004" width="2.86328125" style="216" hidden="1" customWidth="1"/>
    <col min="9005" max="9245" width="0" style="216" hidden="1"/>
    <col min="9246" max="9246" width="3.1328125" style="216" hidden="1" customWidth="1"/>
    <col min="9247" max="9249" width="2.86328125" style="216" hidden="1" customWidth="1"/>
    <col min="9250" max="9259" width="12.86328125" style="216" hidden="1" customWidth="1"/>
    <col min="9260" max="9260" width="2.86328125" style="216" hidden="1" customWidth="1"/>
    <col min="9261" max="9501" width="0" style="216" hidden="1"/>
    <col min="9502" max="9502" width="3.1328125" style="216" hidden="1" customWidth="1"/>
    <col min="9503" max="9505" width="2.86328125" style="216" hidden="1" customWidth="1"/>
    <col min="9506" max="9515" width="12.86328125" style="216" hidden="1" customWidth="1"/>
    <col min="9516" max="9516" width="2.86328125" style="216" hidden="1" customWidth="1"/>
    <col min="9517" max="9757" width="0" style="216" hidden="1"/>
    <col min="9758" max="9758" width="3.1328125" style="216" hidden="1" customWidth="1"/>
    <col min="9759" max="9761" width="2.86328125" style="216" hidden="1" customWidth="1"/>
    <col min="9762" max="9771" width="12.86328125" style="216" hidden="1" customWidth="1"/>
    <col min="9772" max="9772" width="2.86328125" style="216" hidden="1" customWidth="1"/>
    <col min="9773" max="10013" width="0" style="216" hidden="1"/>
    <col min="10014" max="10014" width="3.1328125" style="216" hidden="1" customWidth="1"/>
    <col min="10015" max="10017" width="2.86328125" style="216" hidden="1" customWidth="1"/>
    <col min="10018" max="10027" width="12.86328125" style="216" hidden="1" customWidth="1"/>
    <col min="10028" max="10028" width="2.86328125" style="216" hidden="1" customWidth="1"/>
    <col min="10029" max="10269" width="0" style="216" hidden="1"/>
    <col min="10270" max="10270" width="3.1328125" style="216" hidden="1" customWidth="1"/>
    <col min="10271" max="10273" width="2.86328125" style="216" hidden="1" customWidth="1"/>
    <col min="10274" max="10283" width="12.86328125" style="216" hidden="1" customWidth="1"/>
    <col min="10284" max="10284" width="2.86328125" style="216" hidden="1" customWidth="1"/>
    <col min="10285" max="10525" width="0" style="216" hidden="1"/>
    <col min="10526" max="10526" width="3.1328125" style="216" hidden="1" customWidth="1"/>
    <col min="10527" max="10529" width="2.86328125" style="216" hidden="1" customWidth="1"/>
    <col min="10530" max="10539" width="12.86328125" style="216" hidden="1" customWidth="1"/>
    <col min="10540" max="10540" width="2.86328125" style="216" hidden="1" customWidth="1"/>
    <col min="10541" max="10781" width="0" style="216" hidden="1"/>
    <col min="10782" max="10782" width="3.1328125" style="216" hidden="1" customWidth="1"/>
    <col min="10783" max="10785" width="2.86328125" style="216" hidden="1" customWidth="1"/>
    <col min="10786" max="10795" width="12.86328125" style="216" hidden="1" customWidth="1"/>
    <col min="10796" max="10796" width="2.86328125" style="216" hidden="1" customWidth="1"/>
    <col min="10797" max="11037" width="0" style="216" hidden="1"/>
    <col min="11038" max="11038" width="3.1328125" style="216" hidden="1" customWidth="1"/>
    <col min="11039" max="11041" width="2.86328125" style="216" hidden="1" customWidth="1"/>
    <col min="11042" max="11051" width="12.86328125" style="216" hidden="1" customWidth="1"/>
    <col min="11052" max="11052" width="2.86328125" style="216" hidden="1" customWidth="1"/>
    <col min="11053" max="11293" width="0" style="216" hidden="1"/>
    <col min="11294" max="11294" width="3.1328125" style="216" hidden="1" customWidth="1"/>
    <col min="11295" max="11297" width="2.86328125" style="216" hidden="1" customWidth="1"/>
    <col min="11298" max="11307" width="12.86328125" style="216" hidden="1" customWidth="1"/>
    <col min="11308" max="11308" width="2.86328125" style="216" hidden="1" customWidth="1"/>
    <col min="11309" max="11549" width="0" style="216" hidden="1"/>
    <col min="11550" max="11550" width="3.1328125" style="216" hidden="1" customWidth="1"/>
    <col min="11551" max="11553" width="2.86328125" style="216" hidden="1" customWidth="1"/>
    <col min="11554" max="11563" width="12.86328125" style="216" hidden="1" customWidth="1"/>
    <col min="11564" max="11564" width="2.86328125" style="216" hidden="1" customWidth="1"/>
    <col min="11565" max="11805" width="0" style="216" hidden="1"/>
    <col min="11806" max="11806" width="3.1328125" style="216" hidden="1" customWidth="1"/>
    <col min="11807" max="11809" width="2.86328125" style="216" hidden="1" customWidth="1"/>
    <col min="11810" max="11819" width="12.86328125" style="216" hidden="1" customWidth="1"/>
    <col min="11820" max="11820" width="2.86328125" style="216" hidden="1" customWidth="1"/>
    <col min="11821" max="12061" width="0" style="216" hidden="1"/>
    <col min="12062" max="12062" width="3.1328125" style="216" hidden="1" customWidth="1"/>
    <col min="12063" max="12065" width="2.86328125" style="216" hidden="1" customWidth="1"/>
    <col min="12066" max="12075" width="12.86328125" style="216" hidden="1" customWidth="1"/>
    <col min="12076" max="12076" width="2.86328125" style="216" hidden="1" customWidth="1"/>
    <col min="12077" max="12317" width="0" style="216" hidden="1"/>
    <col min="12318" max="12318" width="3.1328125" style="216" hidden="1" customWidth="1"/>
    <col min="12319" max="12321" width="2.86328125" style="216" hidden="1" customWidth="1"/>
    <col min="12322" max="12331" width="12.86328125" style="216" hidden="1" customWidth="1"/>
    <col min="12332" max="12332" width="2.86328125" style="216" hidden="1" customWidth="1"/>
    <col min="12333" max="12573" width="0" style="216" hidden="1"/>
    <col min="12574" max="12574" width="3.1328125" style="216" hidden="1" customWidth="1"/>
    <col min="12575" max="12577" width="2.86328125" style="216" hidden="1" customWidth="1"/>
    <col min="12578" max="12587" width="12.86328125" style="216" hidden="1" customWidth="1"/>
    <col min="12588" max="12588" width="2.86328125" style="216" hidden="1" customWidth="1"/>
    <col min="12589" max="12829" width="0" style="216" hidden="1"/>
    <col min="12830" max="12830" width="3.1328125" style="216" hidden="1" customWidth="1"/>
    <col min="12831" max="12833" width="2.86328125" style="216" hidden="1" customWidth="1"/>
    <col min="12834" max="12843" width="12.86328125" style="216" hidden="1" customWidth="1"/>
    <col min="12844" max="12844" width="2.86328125" style="216" hidden="1" customWidth="1"/>
    <col min="12845" max="13085" width="0" style="216" hidden="1"/>
    <col min="13086" max="13086" width="3.1328125" style="216" hidden="1" customWidth="1"/>
    <col min="13087" max="13089" width="2.86328125" style="216" hidden="1" customWidth="1"/>
    <col min="13090" max="13099" width="12.86328125" style="216" hidden="1" customWidth="1"/>
    <col min="13100" max="13100" width="2.86328125" style="216" hidden="1" customWidth="1"/>
    <col min="13101" max="13341" width="0" style="216" hidden="1"/>
    <col min="13342" max="13342" width="3.1328125" style="216" hidden="1" customWidth="1"/>
    <col min="13343" max="13345" width="2.86328125" style="216" hidden="1" customWidth="1"/>
    <col min="13346" max="13355" width="12.86328125" style="216" hidden="1" customWidth="1"/>
    <col min="13356" max="13356" width="2.86328125" style="216" hidden="1" customWidth="1"/>
    <col min="13357" max="13597" width="0" style="216" hidden="1"/>
    <col min="13598" max="13598" width="3.1328125" style="216" hidden="1" customWidth="1"/>
    <col min="13599" max="13601" width="2.86328125" style="216" hidden="1" customWidth="1"/>
    <col min="13602" max="13611" width="12.86328125" style="216" hidden="1" customWidth="1"/>
    <col min="13612" max="13612" width="2.86328125" style="216" hidden="1" customWidth="1"/>
    <col min="13613" max="13853" width="0" style="216" hidden="1"/>
    <col min="13854" max="13854" width="3.1328125" style="216" hidden="1" customWidth="1"/>
    <col min="13855" max="13857" width="2.86328125" style="216" hidden="1" customWidth="1"/>
    <col min="13858" max="13867" width="12.86328125" style="216" hidden="1" customWidth="1"/>
    <col min="13868" max="13868" width="2.86328125" style="216" hidden="1" customWidth="1"/>
    <col min="13869" max="14109" width="0" style="216" hidden="1"/>
    <col min="14110" max="14110" width="3.1328125" style="216" hidden="1" customWidth="1"/>
    <col min="14111" max="14113" width="2.86328125" style="216" hidden="1" customWidth="1"/>
    <col min="14114" max="14123" width="12.86328125" style="216" hidden="1" customWidth="1"/>
    <col min="14124" max="14124" width="2.86328125" style="216" hidden="1" customWidth="1"/>
    <col min="14125" max="14365" width="0" style="216" hidden="1"/>
    <col min="14366" max="14366" width="3.1328125" style="216" hidden="1" customWidth="1"/>
    <col min="14367" max="14369" width="2.86328125" style="216" hidden="1" customWidth="1"/>
    <col min="14370" max="14379" width="12.86328125" style="216" hidden="1" customWidth="1"/>
    <col min="14380" max="14380" width="2.86328125" style="216" hidden="1" customWidth="1"/>
    <col min="14381" max="14621" width="0" style="216" hidden="1"/>
    <col min="14622" max="14622" width="3.1328125" style="216" hidden="1" customWidth="1"/>
    <col min="14623" max="14625" width="2.86328125" style="216" hidden="1" customWidth="1"/>
    <col min="14626" max="14635" width="12.86328125" style="216" hidden="1" customWidth="1"/>
    <col min="14636" max="14636" width="2.86328125" style="216" hidden="1" customWidth="1"/>
    <col min="14637" max="14877" width="0" style="216" hidden="1"/>
    <col min="14878" max="14878" width="3.1328125" style="216" hidden="1" customWidth="1"/>
    <col min="14879" max="14881" width="2.86328125" style="216" hidden="1" customWidth="1"/>
    <col min="14882" max="14891" width="12.86328125" style="216" hidden="1" customWidth="1"/>
    <col min="14892" max="14892" width="2.86328125" style="216" hidden="1" customWidth="1"/>
    <col min="14893" max="15133" width="0" style="216" hidden="1"/>
    <col min="15134" max="15134" width="3.1328125" style="216" hidden="1" customWidth="1"/>
    <col min="15135" max="15137" width="2.86328125" style="216" hidden="1" customWidth="1"/>
    <col min="15138" max="15147" width="12.86328125" style="216" hidden="1" customWidth="1"/>
    <col min="15148" max="15148" width="2.86328125" style="216" hidden="1" customWidth="1"/>
    <col min="15149" max="15389" width="0" style="216" hidden="1"/>
    <col min="15390" max="15390" width="3.1328125" style="216" hidden="1" customWidth="1"/>
    <col min="15391" max="15393" width="2.86328125" style="216" hidden="1" customWidth="1"/>
    <col min="15394" max="15403" width="12.86328125" style="216" hidden="1" customWidth="1"/>
    <col min="15404" max="15404" width="2.86328125" style="216" hidden="1" customWidth="1"/>
    <col min="15405" max="15645" width="0" style="216" hidden="1"/>
    <col min="15646" max="15646" width="3.1328125" style="216" hidden="1" customWidth="1"/>
    <col min="15647" max="15649" width="2.86328125" style="216" hidden="1" customWidth="1"/>
    <col min="15650" max="15659" width="12.86328125" style="216" hidden="1" customWidth="1"/>
    <col min="15660" max="15660" width="2.86328125" style="216" hidden="1" customWidth="1"/>
    <col min="15661" max="15901" width="0" style="216" hidden="1"/>
    <col min="15902" max="15902" width="3.1328125" style="216" hidden="1" customWidth="1"/>
    <col min="15903" max="15905" width="2.86328125" style="216" hidden="1" customWidth="1"/>
    <col min="15906" max="15915" width="12.86328125" style="216" hidden="1" customWidth="1"/>
    <col min="15916" max="15916" width="2.86328125" style="216" hidden="1" customWidth="1"/>
    <col min="15917" max="16157" width="0" style="216" hidden="1"/>
    <col min="16158" max="16158" width="3.1328125" style="216" hidden="1" customWidth="1"/>
    <col min="16159" max="16161" width="2.86328125" style="216" hidden="1" customWidth="1"/>
    <col min="16162" max="16171" width="12.86328125" style="216" hidden="1" customWidth="1"/>
    <col min="16172" max="16172" width="2.86328125" style="216" hidden="1" customWidth="1"/>
    <col min="16173" max="16175" width="2.86328125" style="216" hidden="1"/>
    <col min="16176" max="16185" width="12.86328125" style="216" hidden="1"/>
    <col min="16186" max="16186" width="2.86328125" style="216" hidden="1"/>
    <col min="16187" max="16384" width="0" style="216" hidden="1"/>
  </cols>
  <sheetData>
    <row r="1" spans="1:47" s="204" customFormat="1" ht="12.75" x14ac:dyDescent="0.35">
      <c r="A1" s="219" t="s">
        <v>584</v>
      </c>
      <c r="I1" s="205"/>
    </row>
    <row r="2" spans="1:47" s="204" customFormat="1" ht="12.75" x14ac:dyDescent="0.35">
      <c r="A2" s="205"/>
      <c r="I2" s="205"/>
    </row>
    <row r="3" spans="1:47" s="212" customFormat="1" ht="12.75" customHeight="1" x14ac:dyDescent="0.4">
      <c r="A3" s="206" t="s">
        <v>722</v>
      </c>
      <c r="B3" s="207"/>
      <c r="C3" s="207"/>
      <c r="D3" s="208"/>
      <c r="E3" s="208"/>
      <c r="F3" s="209"/>
      <c r="G3" s="209"/>
      <c r="H3" s="209"/>
      <c r="I3" s="218"/>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10"/>
      <c r="AS3" s="211"/>
      <c r="AT3" s="204"/>
      <c r="AU3" s="204"/>
    </row>
    <row r="4" spans="1:47" s="212" customFormat="1" ht="12.75" customHeight="1" x14ac:dyDescent="0.4">
      <c r="A4" s="213"/>
      <c r="B4" s="204"/>
      <c r="F4" s="214"/>
      <c r="G4" s="214"/>
      <c r="H4" s="214"/>
      <c r="I4" s="20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215"/>
      <c r="AP4" s="215"/>
      <c r="AQ4" s="215"/>
      <c r="AR4" s="210"/>
      <c r="AS4" s="211"/>
      <c r="AT4" s="204"/>
      <c r="AU4" s="204"/>
    </row>
    <row r="5" spans="1:47" ht="12.75" customHeight="1" x14ac:dyDescent="0.35">
      <c r="C5" s="204" t="s">
        <v>481</v>
      </c>
    </row>
    <row r="6" spans="1:47" ht="12.75" customHeight="1" x14ac:dyDescent="0.35"/>
    <row r="7" spans="1:47" ht="12.75" customHeight="1" x14ac:dyDescent="0.35"/>
    <row r="8" spans="1:47" ht="12.75" customHeight="1" x14ac:dyDescent="0.35"/>
    <row r="9" spans="1:47" ht="12.75" customHeight="1" x14ac:dyDescent="0.35"/>
    <row r="10" spans="1:47" ht="12.75" customHeight="1" x14ac:dyDescent="0.35"/>
    <row r="11" spans="1:47" ht="12.75" customHeight="1" x14ac:dyDescent="0.35"/>
    <row r="12" spans="1:47" ht="12.75" customHeight="1" x14ac:dyDescent="0.35"/>
    <row r="13" spans="1:47" ht="12.75" customHeight="1" x14ac:dyDescent="0.35"/>
    <row r="14" spans="1:47" ht="12.75" customHeight="1" x14ac:dyDescent="0.35"/>
    <row r="15" spans="1:47" ht="12.75" customHeight="1" x14ac:dyDescent="0.35"/>
    <row r="16" spans="1:47" ht="12.75" customHeight="1" x14ac:dyDescent="0.35"/>
    <row r="17" ht="12.75" customHeight="1" x14ac:dyDescent="0.35"/>
    <row r="18" ht="12.75" customHeight="1" x14ac:dyDescent="0.35"/>
    <row r="19" ht="12.75" customHeight="1" x14ac:dyDescent="0.35"/>
    <row r="20" ht="12.75" customHeight="1" x14ac:dyDescent="0.35"/>
    <row r="21" ht="12.75" customHeight="1" x14ac:dyDescent="0.35"/>
    <row r="22" ht="12.75" customHeight="1" x14ac:dyDescent="0.35"/>
    <row r="23" ht="12.75" customHeight="1" x14ac:dyDescent="0.35"/>
    <row r="24" ht="12.75" customHeight="1" x14ac:dyDescent="0.35"/>
    <row r="25" ht="12.75" customHeight="1" x14ac:dyDescent="0.35"/>
    <row r="26" ht="12.75" customHeight="1" x14ac:dyDescent="0.35"/>
    <row r="27" ht="12.75" customHeight="1" x14ac:dyDescent="0.35"/>
    <row r="28" ht="12.75" customHeight="1" x14ac:dyDescent="0.35"/>
    <row r="29" ht="12.75" customHeight="1" x14ac:dyDescent="0.35"/>
    <row r="30" ht="12.75" customHeight="1" x14ac:dyDescent="0.35"/>
    <row r="31" ht="12.75" customHeight="1" x14ac:dyDescent="0.35"/>
    <row r="32" ht="12.75" customHeight="1" x14ac:dyDescent="0.35"/>
    <row r="33" ht="12.75" customHeight="1" x14ac:dyDescent="0.35"/>
    <row r="34" ht="12.75" customHeight="1" x14ac:dyDescent="0.35"/>
    <row r="35" ht="12.75" customHeight="1" x14ac:dyDescent="0.35"/>
    <row r="36" ht="12.75" customHeight="1" x14ac:dyDescent="0.35"/>
    <row r="37" ht="12.75" customHeight="1" x14ac:dyDescent="0.35"/>
    <row r="38" ht="12.75" customHeight="1" x14ac:dyDescent="0.35"/>
    <row r="39" ht="12.75" customHeight="1" x14ac:dyDescent="0.35"/>
    <row r="40" ht="12.75" customHeight="1" x14ac:dyDescent="0.35"/>
    <row r="41" ht="12.75" customHeight="1" x14ac:dyDescent="0.35"/>
    <row r="42" ht="12.75" customHeight="1" x14ac:dyDescent="0.35"/>
    <row r="43" ht="12.75" customHeight="1" x14ac:dyDescent="0.35"/>
    <row r="44" ht="12.75" customHeight="1" x14ac:dyDescent="0.35"/>
    <row r="45" ht="12.75" customHeight="1" x14ac:dyDescent="0.35"/>
    <row r="46" ht="12.75" customHeight="1" x14ac:dyDescent="0.35"/>
    <row r="47" ht="12.75" customHeight="1" x14ac:dyDescent="0.35"/>
    <row r="48" ht="12.75" customHeight="1" x14ac:dyDescent="0.35"/>
    <row r="49" ht="12.75" customHeight="1" x14ac:dyDescent="0.35"/>
    <row r="50" ht="12.75" customHeight="1" x14ac:dyDescent="0.35"/>
    <row r="51" ht="12.75" customHeight="1" x14ac:dyDescent="0.35"/>
    <row r="52" ht="12.75" customHeight="1" x14ac:dyDescent="0.35"/>
    <row r="53" ht="12.75" customHeight="1" x14ac:dyDescent="0.35"/>
    <row r="54" ht="12.75" customHeight="1" x14ac:dyDescent="0.35"/>
    <row r="55" ht="12.75" customHeight="1" x14ac:dyDescent="0.35"/>
    <row r="56" ht="12.75" customHeight="1" x14ac:dyDescent="0.35"/>
    <row r="57" ht="12.75" customHeight="1" x14ac:dyDescent="0.35"/>
    <row r="58" ht="12.75" customHeight="1" x14ac:dyDescent="0.35"/>
    <row r="59" ht="12.75" customHeight="1" x14ac:dyDescent="0.35"/>
    <row r="60" ht="12.75" customHeight="1" x14ac:dyDescent="0.35"/>
    <row r="61" ht="12.75" customHeight="1" x14ac:dyDescent="0.35"/>
    <row r="62" ht="12.75" customHeight="1" x14ac:dyDescent="0.35"/>
    <row r="63" ht="12.75" customHeight="1" x14ac:dyDescent="0.35"/>
    <row r="64" ht="12.75" customHeight="1" x14ac:dyDescent="0.35"/>
    <row r="65" ht="12.75" customHeight="1" x14ac:dyDescent="0.35"/>
    <row r="66" ht="12.75" customHeight="1" x14ac:dyDescent="0.35"/>
    <row r="67" ht="12.75" customHeight="1" x14ac:dyDescent="0.35"/>
    <row r="68" ht="12.75" customHeight="1" x14ac:dyDescent="0.35"/>
    <row r="69" ht="12.75" customHeight="1" x14ac:dyDescent="0.35"/>
    <row r="70" ht="12.75" customHeight="1" x14ac:dyDescent="0.35"/>
    <row r="71" ht="12.75" customHeight="1" x14ac:dyDescent="0.35"/>
    <row r="72" ht="12.75" customHeight="1" x14ac:dyDescent="0.35"/>
    <row r="73" ht="12.75" customHeight="1" x14ac:dyDescent="0.35"/>
    <row r="74" ht="12.75" customHeight="1" x14ac:dyDescent="0.35"/>
    <row r="75" ht="12.75" customHeight="1" x14ac:dyDescent="0.35"/>
    <row r="76" ht="12.75" customHeight="1" x14ac:dyDescent="0.35"/>
    <row r="77" ht="12.75" customHeight="1" x14ac:dyDescent="0.35"/>
    <row r="78" ht="12.75" customHeight="1" x14ac:dyDescent="0.35"/>
    <row r="79" ht="12.75" customHeight="1" x14ac:dyDescent="0.35"/>
    <row r="80" ht="12.75" customHeight="1" x14ac:dyDescent="0.35"/>
    <row r="81" ht="12.75" customHeight="1" x14ac:dyDescent="0.35"/>
    <row r="82" ht="12.75" customHeight="1" x14ac:dyDescent="0.35"/>
    <row r="83" ht="12.75" customHeight="1" x14ac:dyDescent="0.35"/>
    <row r="84" ht="12.75" customHeight="1" x14ac:dyDescent="0.35"/>
    <row r="85" ht="12.75" customHeight="1" x14ac:dyDescent="0.35"/>
    <row r="86" ht="12.75" customHeight="1" x14ac:dyDescent="0.35"/>
    <row r="87" ht="12.75" customHeight="1" x14ac:dyDescent="0.35"/>
    <row r="88" ht="12.75" customHeight="1" x14ac:dyDescent="0.35"/>
    <row r="89" ht="12.75" customHeight="1" x14ac:dyDescent="0.35"/>
    <row r="90" ht="12.75" customHeight="1" x14ac:dyDescent="0.35"/>
    <row r="91" ht="12.75" customHeight="1" x14ac:dyDescent="0.35"/>
    <row r="92" ht="12.75" customHeight="1" x14ac:dyDescent="0.35"/>
    <row r="93" ht="12.75" customHeight="1" x14ac:dyDescent="0.35"/>
    <row r="94" ht="12.75" customHeight="1" x14ac:dyDescent="0.35"/>
    <row r="95" ht="12.75" customHeight="1" x14ac:dyDescent="0.35"/>
    <row r="96" ht="12.75" customHeight="1" x14ac:dyDescent="0.35"/>
    <row r="97" ht="12.75" customHeight="1" x14ac:dyDescent="0.35"/>
    <row r="98" ht="12.75" customHeight="1" x14ac:dyDescent="0.35"/>
    <row r="99" ht="12.75" customHeight="1" x14ac:dyDescent="0.35"/>
    <row r="100" ht="12.75" customHeight="1" x14ac:dyDescent="0.35"/>
    <row r="101" ht="12.75" customHeight="1" x14ac:dyDescent="0.35"/>
    <row r="102" ht="12.75" customHeight="1" x14ac:dyDescent="0.35"/>
    <row r="103" ht="12.75" customHeight="1" x14ac:dyDescent="0.35"/>
    <row r="104" ht="12.75" customHeight="1" x14ac:dyDescent="0.35"/>
    <row r="105" ht="12.75" customHeight="1" x14ac:dyDescent="0.35"/>
    <row r="106" ht="12.75" customHeight="1" x14ac:dyDescent="0.35"/>
    <row r="107" ht="12.75" customHeight="1" x14ac:dyDescent="0.35"/>
    <row r="108" ht="12.75" customHeight="1" x14ac:dyDescent="0.35"/>
    <row r="109" ht="12.75" customHeight="1" x14ac:dyDescent="0.35"/>
    <row r="110" ht="12.75" customHeight="1" x14ac:dyDescent="0.35"/>
    <row r="111" ht="12.75" customHeight="1" x14ac:dyDescent="0.35"/>
    <row r="112" ht="12.75" customHeight="1" x14ac:dyDescent="0.35"/>
    <row r="113" ht="12.75" customHeight="1" x14ac:dyDescent="0.35"/>
    <row r="114" ht="12.75" customHeight="1" x14ac:dyDescent="0.35"/>
    <row r="115" ht="12.75" customHeight="1" x14ac:dyDescent="0.35"/>
    <row r="116" ht="12.75" customHeight="1" x14ac:dyDescent="0.35"/>
    <row r="117" ht="12.75" customHeight="1" x14ac:dyDescent="0.35"/>
    <row r="118" ht="12.75" customHeight="1" x14ac:dyDescent="0.35"/>
    <row r="119" ht="12.75" customHeight="1" x14ac:dyDescent="0.35"/>
    <row r="120" ht="12.75" customHeight="1" x14ac:dyDescent="0.35"/>
    <row r="121" ht="12.75" customHeight="1" x14ac:dyDescent="0.35"/>
    <row r="122" ht="12.75" customHeight="1" x14ac:dyDescent="0.35"/>
    <row r="123" ht="12.75" customHeight="1" x14ac:dyDescent="0.35"/>
    <row r="124" ht="12.75" customHeight="1" x14ac:dyDescent="0.35"/>
    <row r="125" ht="12.75" customHeight="1" x14ac:dyDescent="0.35"/>
    <row r="126" ht="12.75" customHeight="1" x14ac:dyDescent="0.35"/>
    <row r="127" ht="12.75" customHeight="1" x14ac:dyDescent="0.35"/>
    <row r="128"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row r="172" ht="12.75" customHeight="1" x14ac:dyDescent="0.35"/>
    <row r="173" ht="12.75" customHeight="1" x14ac:dyDescent="0.35"/>
    <row r="174" ht="12.75" customHeight="1" x14ac:dyDescent="0.35"/>
    <row r="175" ht="12.75" customHeight="1" x14ac:dyDescent="0.35"/>
    <row r="176" ht="12.75" customHeight="1" x14ac:dyDescent="0.35"/>
    <row r="177" ht="12.75" customHeight="1" x14ac:dyDescent="0.35"/>
    <row r="178" ht="12.75" customHeight="1" x14ac:dyDescent="0.35"/>
    <row r="179" ht="12.75" customHeight="1" x14ac:dyDescent="0.35"/>
    <row r="180" ht="12.75" customHeight="1" x14ac:dyDescent="0.35"/>
    <row r="181" ht="12.75" customHeight="1" x14ac:dyDescent="0.35"/>
    <row r="182" ht="12.75" customHeight="1" x14ac:dyDescent="0.35"/>
    <row r="183" ht="12.75" customHeight="1" x14ac:dyDescent="0.35"/>
    <row r="184" ht="12.75" customHeight="1" x14ac:dyDescent="0.35"/>
    <row r="185" ht="12.75" customHeight="1" x14ac:dyDescent="0.35"/>
    <row r="186" ht="12.75" customHeight="1" x14ac:dyDescent="0.35"/>
    <row r="187" ht="12.75" customHeight="1" x14ac:dyDescent="0.35"/>
    <row r="188" ht="12.75" customHeight="1" x14ac:dyDescent="0.35"/>
    <row r="189" ht="12.75" customHeight="1" x14ac:dyDescent="0.35"/>
    <row r="190" ht="12.75" customHeight="1" x14ac:dyDescent="0.35"/>
    <row r="191" ht="12.75" customHeight="1" x14ac:dyDescent="0.35"/>
    <row r="192" ht="12.75" customHeight="1" x14ac:dyDescent="0.35"/>
    <row r="193" ht="12.75" customHeight="1" x14ac:dyDescent="0.35"/>
    <row r="194" ht="12.75" customHeight="1" x14ac:dyDescent="0.35"/>
    <row r="195" ht="12.75" customHeight="1" x14ac:dyDescent="0.35"/>
    <row r="196" ht="12.75" customHeight="1" x14ac:dyDescent="0.35"/>
    <row r="197" ht="12.75" customHeight="1" x14ac:dyDescent="0.35"/>
    <row r="198" ht="12.75" customHeight="1" x14ac:dyDescent="0.35"/>
    <row r="199" ht="12.75" customHeight="1" x14ac:dyDescent="0.35"/>
    <row r="200" ht="12.75" customHeight="1" x14ac:dyDescent="0.35"/>
    <row r="201" ht="12.75" customHeight="1" x14ac:dyDescent="0.35"/>
    <row r="202" ht="12.75" customHeight="1" x14ac:dyDescent="0.35"/>
    <row r="203" ht="12.75" customHeight="1" x14ac:dyDescent="0.35"/>
    <row r="204" ht="12.75" customHeight="1" x14ac:dyDescent="0.35"/>
    <row r="205" ht="12.75" customHeight="1" x14ac:dyDescent="0.35"/>
    <row r="206" ht="12.75" customHeight="1" x14ac:dyDescent="0.35"/>
    <row r="207" ht="12.75" customHeight="1" x14ac:dyDescent="0.35"/>
    <row r="208"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row r="222" ht="12.75" customHeight="1" x14ac:dyDescent="0.35"/>
    <row r="223" ht="12.75" customHeight="1" x14ac:dyDescent="0.35"/>
    <row r="224" ht="12.75" customHeight="1" x14ac:dyDescent="0.35"/>
    <row r="225" ht="12.75" customHeight="1" x14ac:dyDescent="0.35"/>
    <row r="226" ht="12.75" customHeight="1" x14ac:dyDescent="0.35"/>
    <row r="227" ht="12.75" customHeight="1" x14ac:dyDescent="0.35"/>
    <row r="228" ht="12.75" customHeight="1" x14ac:dyDescent="0.35"/>
    <row r="229" ht="12.75" customHeight="1" x14ac:dyDescent="0.35"/>
    <row r="230" ht="12.75" customHeight="1" x14ac:dyDescent="0.35"/>
    <row r="231" ht="12.75" customHeight="1" x14ac:dyDescent="0.35"/>
    <row r="232" ht="12.75" customHeight="1" x14ac:dyDescent="0.35"/>
    <row r="233" ht="12.75" customHeight="1" x14ac:dyDescent="0.35"/>
    <row r="234" ht="12.75" customHeight="1" x14ac:dyDescent="0.35"/>
    <row r="235" ht="12.75" customHeight="1" x14ac:dyDescent="0.35"/>
    <row r="236" ht="12.75" customHeight="1" x14ac:dyDescent="0.35"/>
    <row r="237" ht="12.75" customHeight="1" x14ac:dyDescent="0.35"/>
    <row r="238" ht="12.75" customHeight="1" x14ac:dyDescent="0.35"/>
    <row r="239" ht="12.75" customHeight="1" x14ac:dyDescent="0.35"/>
    <row r="240" ht="12.75" customHeight="1" x14ac:dyDescent="0.35"/>
    <row r="241" ht="12.75" customHeight="1" x14ac:dyDescent="0.35"/>
    <row r="242" ht="12.75" customHeight="1" x14ac:dyDescent="0.35"/>
    <row r="243" ht="12.75" customHeight="1" x14ac:dyDescent="0.35"/>
    <row r="244" ht="12.75" customHeight="1" x14ac:dyDescent="0.35"/>
    <row r="245" ht="12.75" customHeight="1" x14ac:dyDescent="0.35"/>
    <row r="246" ht="12.75" customHeight="1" x14ac:dyDescent="0.35"/>
    <row r="247" ht="12.75" customHeight="1" x14ac:dyDescent="0.35"/>
    <row r="248" ht="12.75" customHeight="1" x14ac:dyDescent="0.35"/>
    <row r="249" ht="12.75" customHeight="1" x14ac:dyDescent="0.35"/>
    <row r="250" ht="12.75" customHeight="1" x14ac:dyDescent="0.35"/>
    <row r="251" ht="12.75" customHeight="1" x14ac:dyDescent="0.35"/>
    <row r="252" ht="12.75" customHeight="1" x14ac:dyDescent="0.35"/>
    <row r="253" ht="12.75" customHeight="1" x14ac:dyDescent="0.35"/>
    <row r="254" ht="12.75" customHeight="1" x14ac:dyDescent="0.35"/>
    <row r="255" ht="12.75" customHeight="1" x14ac:dyDescent="0.35"/>
    <row r="256" ht="12.75" customHeight="1" x14ac:dyDescent="0.35"/>
    <row r="257" ht="12.75" customHeight="1" x14ac:dyDescent="0.35"/>
    <row r="258" ht="12.75" customHeight="1" x14ac:dyDescent="0.35"/>
    <row r="259" ht="12.75" customHeight="1" x14ac:dyDescent="0.35"/>
    <row r="260" ht="12.75" customHeight="1" x14ac:dyDescent="0.35"/>
    <row r="261" ht="12.75" customHeight="1" x14ac:dyDescent="0.35"/>
    <row r="262" ht="12.75" customHeight="1" x14ac:dyDescent="0.35"/>
    <row r="263" ht="12.75" customHeight="1" x14ac:dyDescent="0.35"/>
    <row r="264" ht="12.75" customHeight="1" x14ac:dyDescent="0.35"/>
    <row r="265" ht="12.75" customHeight="1" x14ac:dyDescent="0.35"/>
    <row r="266" ht="12.75" customHeight="1" x14ac:dyDescent="0.35"/>
    <row r="267" ht="12.75" customHeight="1" x14ac:dyDescent="0.35"/>
    <row r="268" ht="12.75" customHeight="1" x14ac:dyDescent="0.35"/>
    <row r="269" ht="12.75" customHeight="1" x14ac:dyDescent="0.35"/>
    <row r="270" ht="12.75" customHeight="1" x14ac:dyDescent="0.35"/>
    <row r="271" ht="12.75" customHeight="1" x14ac:dyDescent="0.35"/>
    <row r="272" ht="12.75" customHeight="1" x14ac:dyDescent="0.35"/>
    <row r="273" ht="12.75" customHeight="1" x14ac:dyDescent="0.35"/>
    <row r="274" ht="12.75" customHeight="1" x14ac:dyDescent="0.35"/>
    <row r="275" ht="12.75" customHeight="1" x14ac:dyDescent="0.35"/>
    <row r="276" ht="12.75" customHeight="1" x14ac:dyDescent="0.35"/>
    <row r="277" ht="12.75" customHeight="1" x14ac:dyDescent="0.35"/>
    <row r="278" ht="12.75" customHeight="1" x14ac:dyDescent="0.35"/>
    <row r="279" ht="12.75" customHeight="1" x14ac:dyDescent="0.35"/>
    <row r="280" ht="12.75" customHeight="1" x14ac:dyDescent="0.35"/>
    <row r="281" ht="12.75" customHeight="1" x14ac:dyDescent="0.35"/>
    <row r="282" ht="12.75" customHeight="1" x14ac:dyDescent="0.35"/>
    <row r="283" ht="12.75" customHeight="1" x14ac:dyDescent="0.35"/>
    <row r="284" ht="12.75" customHeight="1" x14ac:dyDescent="0.35"/>
    <row r="285" ht="12.75" customHeight="1" x14ac:dyDescent="0.35"/>
    <row r="286" ht="12.75" customHeight="1" x14ac:dyDescent="0.35"/>
    <row r="287" ht="12.75" customHeight="1" x14ac:dyDescent="0.35"/>
    <row r="288" ht="12.75" customHeight="1" x14ac:dyDescent="0.35"/>
    <row r="289" ht="12.75" customHeight="1" x14ac:dyDescent="0.35"/>
    <row r="290" ht="12.75" customHeight="1" x14ac:dyDescent="0.35"/>
    <row r="291" ht="12.75" customHeight="1" x14ac:dyDescent="0.35"/>
    <row r="292" ht="12.75" customHeight="1" x14ac:dyDescent="0.35"/>
    <row r="293" ht="12.75" customHeight="1" x14ac:dyDescent="0.35"/>
    <row r="294" ht="12.75" customHeight="1" x14ac:dyDescent="0.35"/>
    <row r="295" ht="12.75" customHeight="1" x14ac:dyDescent="0.35"/>
    <row r="296" ht="12.75" customHeight="1" x14ac:dyDescent="0.35"/>
    <row r="297" ht="12.75" customHeight="1" x14ac:dyDescent="0.35"/>
    <row r="298" ht="12.75" customHeight="1" x14ac:dyDescent="0.35"/>
    <row r="299" ht="12.75" customHeight="1" x14ac:dyDescent="0.35"/>
    <row r="300" ht="12.75" customHeight="1" x14ac:dyDescent="0.35"/>
    <row r="301" ht="12.75" customHeight="1" x14ac:dyDescent="0.35"/>
    <row r="302" ht="12.75" customHeight="1" x14ac:dyDescent="0.35"/>
    <row r="303" ht="12.75" customHeight="1" x14ac:dyDescent="0.35"/>
    <row r="304" ht="12.75" customHeight="1" x14ac:dyDescent="0.35"/>
    <row r="305" ht="12.75" customHeight="1" x14ac:dyDescent="0.35"/>
    <row r="306" ht="12.75" customHeight="1" x14ac:dyDescent="0.35"/>
    <row r="307" ht="12.75" customHeight="1" x14ac:dyDescent="0.35"/>
    <row r="308" ht="12.75" customHeight="1" x14ac:dyDescent="0.35"/>
    <row r="309" ht="12.75" customHeight="1" x14ac:dyDescent="0.35"/>
    <row r="310" ht="12.75" customHeight="1" x14ac:dyDescent="0.35"/>
    <row r="311" ht="12.75" customHeight="1" x14ac:dyDescent="0.35"/>
    <row r="312" ht="12.75" customHeight="1" x14ac:dyDescent="0.35"/>
    <row r="313" ht="12.75" customHeight="1" x14ac:dyDescent="0.35"/>
    <row r="314" ht="12.75" customHeight="1" x14ac:dyDescent="0.35"/>
    <row r="315" ht="12.75" customHeight="1" x14ac:dyDescent="0.35"/>
    <row r="316" ht="12.75" customHeight="1" x14ac:dyDescent="0.35"/>
    <row r="317" ht="12.75" customHeight="1" x14ac:dyDescent="0.35"/>
    <row r="318" ht="12.75" customHeight="1" x14ac:dyDescent="0.35"/>
    <row r="319" ht="12.75" customHeight="1" x14ac:dyDescent="0.35"/>
    <row r="320" ht="12.75" customHeight="1" x14ac:dyDescent="0.35"/>
    <row r="321" ht="12.75" customHeight="1" x14ac:dyDescent="0.35"/>
    <row r="322" ht="12.75" customHeight="1" x14ac:dyDescent="0.35"/>
    <row r="323" ht="12.75" customHeight="1" x14ac:dyDescent="0.35"/>
    <row r="324" ht="12.75" customHeight="1" x14ac:dyDescent="0.35"/>
    <row r="325" ht="12.75" customHeight="1" x14ac:dyDescent="0.35"/>
    <row r="326" ht="12.75" customHeight="1" x14ac:dyDescent="0.35"/>
    <row r="327" ht="12.75" customHeight="1" x14ac:dyDescent="0.35"/>
    <row r="328" ht="12.75" customHeight="1" x14ac:dyDescent="0.35"/>
    <row r="329" ht="12.75" customHeight="1" x14ac:dyDescent="0.35"/>
    <row r="330" ht="12.75" customHeight="1" x14ac:dyDescent="0.35"/>
    <row r="331" ht="12.75" customHeight="1" x14ac:dyDescent="0.35"/>
    <row r="332" ht="12.75" customHeight="1" x14ac:dyDescent="0.35"/>
    <row r="333" ht="12.75" customHeight="1" x14ac:dyDescent="0.35"/>
    <row r="334" ht="12.75" customHeight="1" x14ac:dyDescent="0.35"/>
    <row r="335" ht="12.75" customHeight="1" x14ac:dyDescent="0.35"/>
    <row r="336" ht="12.75" customHeight="1" x14ac:dyDescent="0.35"/>
    <row r="337" ht="12.75" customHeight="1" x14ac:dyDescent="0.35"/>
    <row r="338" ht="12.75" customHeight="1" x14ac:dyDescent="0.35"/>
    <row r="339" ht="12.75" customHeight="1" x14ac:dyDescent="0.35"/>
    <row r="340" ht="12.75" customHeight="1" x14ac:dyDescent="0.35"/>
    <row r="341" ht="12.75" customHeight="1" x14ac:dyDescent="0.35"/>
    <row r="342" ht="12.75" customHeight="1" x14ac:dyDescent="0.35"/>
    <row r="343" ht="12.75" customHeight="1" x14ac:dyDescent="0.35"/>
    <row r="344" ht="12.75" customHeight="1" x14ac:dyDescent="0.35"/>
    <row r="345" ht="12.75" customHeight="1" x14ac:dyDescent="0.35"/>
    <row r="346" ht="12.75" customHeight="1" x14ac:dyDescent="0.35"/>
    <row r="347" ht="12.75" customHeight="1" x14ac:dyDescent="0.35"/>
    <row r="348" ht="12.75" customHeight="1" x14ac:dyDescent="0.35"/>
    <row r="349" ht="12.75" customHeight="1" x14ac:dyDescent="0.35"/>
    <row r="350" ht="12.75" customHeight="1" x14ac:dyDescent="0.35"/>
    <row r="351" ht="12.75" customHeight="1" x14ac:dyDescent="0.35"/>
    <row r="352" ht="12.75" customHeight="1" x14ac:dyDescent="0.35"/>
    <row r="353" ht="12.75" customHeight="1" x14ac:dyDescent="0.35"/>
    <row r="354" ht="12.75" customHeight="1" x14ac:dyDescent="0.35"/>
    <row r="355" ht="12.75" customHeight="1" x14ac:dyDescent="0.35"/>
    <row r="356" ht="12.75" customHeight="1" x14ac:dyDescent="0.35"/>
    <row r="357" ht="12.75" customHeight="1" x14ac:dyDescent="0.35"/>
    <row r="358" ht="12.75" customHeight="1" x14ac:dyDescent="0.35"/>
    <row r="359" ht="12.75" customHeight="1" x14ac:dyDescent="0.35"/>
    <row r="360" ht="12.75" customHeight="1" x14ac:dyDescent="0.35"/>
    <row r="361" ht="12.75" customHeight="1" x14ac:dyDescent="0.35"/>
    <row r="362" ht="12.75" customHeight="1" x14ac:dyDescent="0.35"/>
    <row r="363" ht="12.75" customHeight="1" x14ac:dyDescent="0.35"/>
    <row r="364" ht="12.75" customHeight="1" x14ac:dyDescent="0.35"/>
    <row r="365" ht="12.75" customHeight="1" x14ac:dyDescent="0.35"/>
    <row r="366" ht="12.75" customHeight="1" x14ac:dyDescent="0.35"/>
    <row r="367" ht="12.75" customHeight="1" x14ac:dyDescent="0.35"/>
    <row r="368" ht="12.75" customHeight="1" x14ac:dyDescent="0.35"/>
    <row r="369" ht="12.75" customHeight="1" x14ac:dyDescent="0.35"/>
    <row r="370" ht="12.75" customHeight="1" x14ac:dyDescent="0.35"/>
    <row r="371" ht="12.75" customHeight="1" x14ac:dyDescent="0.35"/>
    <row r="372" ht="12.75" customHeight="1" x14ac:dyDescent="0.35"/>
    <row r="373" ht="12.75" customHeight="1" x14ac:dyDescent="0.35"/>
    <row r="374" ht="12.75" customHeight="1" x14ac:dyDescent="0.35"/>
    <row r="375" ht="12.75" customHeight="1" x14ac:dyDescent="0.35"/>
    <row r="376" ht="12.75" customHeight="1" x14ac:dyDescent="0.35"/>
    <row r="377" ht="12.75" customHeight="1" x14ac:dyDescent="0.35"/>
    <row r="378" ht="12.75" customHeight="1" x14ac:dyDescent="0.35"/>
    <row r="379" ht="12.75" customHeight="1" x14ac:dyDescent="0.35"/>
    <row r="380" ht="12.75" customHeight="1" x14ac:dyDescent="0.35"/>
    <row r="381" ht="12.75" customHeight="1" x14ac:dyDescent="0.35"/>
    <row r="382" ht="12.75" customHeight="1" x14ac:dyDescent="0.35"/>
    <row r="383" ht="12.75" customHeight="1" x14ac:dyDescent="0.35"/>
    <row r="384" ht="12.75" customHeight="1" x14ac:dyDescent="0.35"/>
    <row r="385" ht="12.75" customHeight="1" x14ac:dyDescent="0.35"/>
    <row r="386" ht="12.75" customHeight="1" x14ac:dyDescent="0.35"/>
    <row r="387" ht="12.75" customHeight="1" x14ac:dyDescent="0.35"/>
    <row r="388" ht="12.75" customHeight="1" x14ac:dyDescent="0.35"/>
    <row r="389" ht="12.75" customHeight="1" x14ac:dyDescent="0.35"/>
    <row r="390" ht="12.75" customHeight="1" x14ac:dyDescent="0.35"/>
    <row r="391" ht="12.75" customHeight="1" x14ac:dyDescent="0.35"/>
    <row r="392" ht="12.75" customHeight="1" x14ac:dyDescent="0.35"/>
    <row r="393" ht="12.75" customHeight="1" x14ac:dyDescent="0.35"/>
    <row r="394" ht="12.75" customHeight="1" x14ac:dyDescent="0.35"/>
    <row r="395" ht="12.75" customHeight="1" x14ac:dyDescent="0.35"/>
    <row r="396" ht="12.75" customHeight="1" x14ac:dyDescent="0.35"/>
    <row r="397" ht="12.75" customHeight="1" x14ac:dyDescent="0.35"/>
    <row r="398" ht="12.75" customHeight="1" x14ac:dyDescent="0.35"/>
    <row r="399" ht="12.75" customHeight="1" x14ac:dyDescent="0.35"/>
    <row r="400" ht="12.75" customHeight="1" x14ac:dyDescent="0.35"/>
    <row r="401" ht="12.75" customHeight="1" x14ac:dyDescent="0.35"/>
    <row r="402" ht="12.75" customHeight="1" x14ac:dyDescent="0.35"/>
    <row r="403" ht="12.75" customHeight="1" x14ac:dyDescent="0.35"/>
    <row r="404" ht="12.75" customHeight="1" x14ac:dyDescent="0.35"/>
    <row r="405" ht="12.75" customHeight="1" x14ac:dyDescent="0.35"/>
    <row r="406" ht="12.75" customHeight="1" x14ac:dyDescent="0.35"/>
    <row r="407" ht="12.75" customHeight="1" x14ac:dyDescent="0.35"/>
    <row r="408" ht="12.75" customHeight="1" x14ac:dyDescent="0.35"/>
    <row r="409" ht="12.75" customHeight="1" x14ac:dyDescent="0.35"/>
    <row r="410" ht="12.75" customHeight="1" x14ac:dyDescent="0.35"/>
    <row r="411" ht="12.75" customHeight="1" x14ac:dyDescent="0.35"/>
    <row r="412" ht="12.75" customHeight="1" x14ac:dyDescent="0.35"/>
    <row r="413" ht="12.75" customHeight="1" x14ac:dyDescent="0.35"/>
    <row r="414" ht="12.75" customHeight="1" x14ac:dyDescent="0.35"/>
    <row r="415" ht="12.75" customHeight="1" x14ac:dyDescent="0.35"/>
    <row r="416" ht="12.75" customHeight="1" x14ac:dyDescent="0.35"/>
    <row r="417" ht="12.75" customHeight="1" x14ac:dyDescent="0.35"/>
    <row r="418" ht="12.75" customHeight="1" x14ac:dyDescent="0.35"/>
    <row r="419" ht="12.75" customHeight="1" x14ac:dyDescent="0.35"/>
    <row r="420" ht="12.75" customHeight="1" x14ac:dyDescent="0.35"/>
    <row r="421" ht="12.75" customHeight="1" x14ac:dyDescent="0.35"/>
    <row r="422" ht="12.75" customHeight="1" x14ac:dyDescent="0.35"/>
    <row r="423" ht="12.75" customHeight="1" x14ac:dyDescent="0.35"/>
    <row r="424" ht="12.75" customHeight="1" x14ac:dyDescent="0.35"/>
    <row r="425" ht="12.75" customHeight="1" x14ac:dyDescent="0.35"/>
    <row r="426" ht="12.75" customHeight="1" x14ac:dyDescent="0.35"/>
    <row r="427" ht="12.75" customHeight="1" x14ac:dyDescent="0.35"/>
    <row r="428" ht="12.75" customHeight="1" x14ac:dyDescent="0.35"/>
    <row r="429" ht="12.75" customHeight="1" x14ac:dyDescent="0.35"/>
    <row r="430" ht="12.75" customHeight="1" x14ac:dyDescent="0.35"/>
    <row r="431" ht="12.75" customHeight="1" x14ac:dyDescent="0.35"/>
    <row r="432" ht="12.75" customHeight="1" x14ac:dyDescent="0.35"/>
    <row r="433" ht="12.75" customHeight="1" x14ac:dyDescent="0.35"/>
    <row r="434" ht="12.75" customHeight="1" x14ac:dyDescent="0.35"/>
    <row r="435" ht="12.75" customHeight="1" x14ac:dyDescent="0.35"/>
    <row r="436" ht="12.75" customHeight="1" x14ac:dyDescent="0.35"/>
    <row r="437" ht="12.75" customHeight="1" x14ac:dyDescent="0.35"/>
    <row r="438" ht="12.75" customHeight="1" x14ac:dyDescent="0.35"/>
    <row r="439" ht="12.75" customHeight="1" x14ac:dyDescent="0.35"/>
    <row r="440" ht="12.75" customHeight="1" x14ac:dyDescent="0.35"/>
    <row r="441" ht="12.75" customHeight="1" x14ac:dyDescent="0.35"/>
    <row r="442" ht="12.75" customHeight="1" x14ac:dyDescent="0.35"/>
    <row r="443" ht="12.75" customHeight="1" x14ac:dyDescent="0.35"/>
    <row r="444" ht="12.75" customHeight="1" x14ac:dyDescent="0.35"/>
    <row r="445" ht="12.75" customHeight="1" x14ac:dyDescent="0.35"/>
    <row r="446" ht="12.75" customHeight="1" x14ac:dyDescent="0.35"/>
    <row r="447" ht="12.75" customHeight="1" x14ac:dyDescent="0.35"/>
    <row r="448" ht="12.75" customHeight="1" x14ac:dyDescent="0.35"/>
    <row r="449" ht="12.75" customHeight="1" x14ac:dyDescent="0.35"/>
    <row r="450" ht="12.75" customHeight="1" x14ac:dyDescent="0.35"/>
    <row r="451" ht="12.75" customHeight="1" x14ac:dyDescent="0.35"/>
    <row r="452" ht="12.75" customHeight="1" x14ac:dyDescent="0.35"/>
    <row r="453" ht="12.75" customHeight="1" x14ac:dyDescent="0.35"/>
    <row r="454" ht="12.75" customHeight="1" x14ac:dyDescent="0.35"/>
    <row r="455" ht="12.75" customHeight="1" x14ac:dyDescent="0.35"/>
    <row r="456" ht="12.75" customHeight="1" x14ac:dyDescent="0.35"/>
    <row r="457" ht="12.75" customHeight="1" x14ac:dyDescent="0.35"/>
    <row r="458" ht="12.75" customHeight="1" x14ac:dyDescent="0.35"/>
    <row r="459" ht="12.75" customHeight="1" x14ac:dyDescent="0.35"/>
    <row r="460" ht="12.75" customHeight="1" x14ac:dyDescent="0.35"/>
    <row r="461" ht="12.75" customHeight="1" x14ac:dyDescent="0.35"/>
    <row r="462" ht="12.75" customHeight="1" x14ac:dyDescent="0.35"/>
    <row r="463" ht="12.75" customHeight="1" x14ac:dyDescent="0.35"/>
    <row r="464" ht="12.75" customHeight="1" x14ac:dyDescent="0.35"/>
    <row r="465" ht="12.75" customHeight="1" x14ac:dyDescent="0.35"/>
    <row r="466" ht="12.75" customHeight="1" x14ac:dyDescent="0.35"/>
    <row r="467" ht="12.75" customHeight="1" x14ac:dyDescent="0.35"/>
    <row r="468" ht="12.75" customHeight="1" x14ac:dyDescent="0.35"/>
    <row r="469" ht="12.75" customHeight="1" x14ac:dyDescent="0.35"/>
    <row r="470" ht="12.75" customHeight="1" x14ac:dyDescent="0.35"/>
    <row r="471" ht="12.75" customHeight="1" x14ac:dyDescent="0.35"/>
    <row r="472" ht="12.75" customHeight="1" x14ac:dyDescent="0.35"/>
    <row r="473" ht="12.75" customHeight="1" x14ac:dyDescent="0.35"/>
    <row r="474" ht="12.75" customHeight="1" x14ac:dyDescent="0.35"/>
    <row r="475" ht="12.75" customHeight="1" x14ac:dyDescent="0.35"/>
    <row r="476" ht="12.75" customHeight="1" x14ac:dyDescent="0.35"/>
    <row r="477" ht="12.75" customHeight="1" x14ac:dyDescent="0.35"/>
    <row r="478" ht="12.75" customHeight="1" x14ac:dyDescent="0.35"/>
    <row r="479" ht="12.75" customHeight="1" x14ac:dyDescent="0.35"/>
    <row r="480" ht="12.75" customHeight="1" x14ac:dyDescent="0.35"/>
    <row r="481" ht="12.75" customHeight="1" x14ac:dyDescent="0.35"/>
    <row r="482" ht="12.75" customHeight="1" x14ac:dyDescent="0.35"/>
    <row r="483" ht="12.75" customHeight="1" x14ac:dyDescent="0.35"/>
    <row r="484" ht="12.75" customHeight="1" x14ac:dyDescent="0.35"/>
    <row r="485" ht="12.75" customHeight="1" x14ac:dyDescent="0.35"/>
    <row r="486" ht="0" hidden="1" customHeight="1" x14ac:dyDescent="0.35"/>
    <row r="487" ht="0" hidden="1" customHeight="1" x14ac:dyDescent="0.35"/>
    <row r="488" ht="0" hidden="1" customHeight="1" x14ac:dyDescent="0.35"/>
    <row r="489" ht="0" hidden="1" customHeight="1" x14ac:dyDescent="0.35"/>
    <row r="490" ht="0" hidden="1" customHeight="1" x14ac:dyDescent="0.35"/>
    <row r="491" ht="0" hidden="1" customHeight="1" x14ac:dyDescent="0.35"/>
    <row r="492" ht="0" hidden="1" customHeight="1" x14ac:dyDescent="0.35"/>
    <row r="493" ht="0" hidden="1" customHeight="1" x14ac:dyDescent="0.35"/>
    <row r="494" ht="0" hidden="1" customHeight="1" x14ac:dyDescent="0.35"/>
    <row r="495" ht="0" hidden="1" customHeight="1" x14ac:dyDescent="0.35"/>
    <row r="496" ht="0" hidden="1" customHeight="1" x14ac:dyDescent="0.35"/>
    <row r="497" ht="0" hidden="1" customHeight="1" x14ac:dyDescent="0.35"/>
    <row r="498" ht="0" hidden="1" customHeight="1" x14ac:dyDescent="0.35"/>
    <row r="499" ht="0" hidden="1" customHeight="1" x14ac:dyDescent="0.35"/>
    <row r="500" ht="0" hidden="1" customHeight="1" x14ac:dyDescent="0.35"/>
    <row r="501" ht="0" hidden="1" customHeight="1" x14ac:dyDescent="0.35"/>
    <row r="502" ht="0" hidden="1" customHeight="1" x14ac:dyDescent="0.35"/>
    <row r="503" ht="0" hidden="1" customHeight="1" x14ac:dyDescent="0.35"/>
    <row r="504" ht="0" hidden="1" customHeight="1" x14ac:dyDescent="0.35"/>
    <row r="505" ht="0" hidden="1" customHeight="1" x14ac:dyDescent="0.35"/>
    <row r="506" ht="0" hidden="1" customHeight="1" x14ac:dyDescent="0.35"/>
    <row r="507" ht="0" hidden="1" customHeight="1" x14ac:dyDescent="0.35"/>
    <row r="508" ht="0" hidden="1" customHeight="1" x14ac:dyDescent="0.35"/>
    <row r="509" ht="0" hidden="1" customHeight="1" x14ac:dyDescent="0.35"/>
    <row r="510" ht="0" hidden="1" customHeight="1" x14ac:dyDescent="0.35"/>
    <row r="511" ht="0" hidden="1" customHeight="1" x14ac:dyDescent="0.35"/>
    <row r="512" ht="0" hidden="1" customHeight="1" x14ac:dyDescent="0.35"/>
    <row r="513" ht="0" hidden="1" customHeight="1" x14ac:dyDescent="0.35"/>
    <row r="514" ht="0" hidden="1" customHeight="1" x14ac:dyDescent="0.35"/>
    <row r="515" ht="0" hidden="1" customHeight="1" x14ac:dyDescent="0.35"/>
    <row r="516" ht="0" hidden="1" customHeight="1" x14ac:dyDescent="0.35"/>
    <row r="517" ht="0" hidden="1" customHeight="1" x14ac:dyDescent="0.35"/>
    <row r="518" ht="0" hidden="1" customHeight="1" x14ac:dyDescent="0.35"/>
    <row r="519" ht="0" hidden="1" customHeight="1" x14ac:dyDescent="0.35"/>
    <row r="520" ht="0" hidden="1" customHeight="1" x14ac:dyDescent="0.35"/>
    <row r="521" ht="0" hidden="1" customHeight="1" x14ac:dyDescent="0.35"/>
    <row r="522" ht="0" hidden="1" customHeight="1" x14ac:dyDescent="0.35"/>
    <row r="523" ht="0" hidden="1" customHeight="1" x14ac:dyDescent="0.35"/>
    <row r="524" ht="0" hidden="1" customHeight="1" x14ac:dyDescent="0.35"/>
    <row r="525" ht="0" hidden="1" customHeight="1" x14ac:dyDescent="0.35"/>
    <row r="526" ht="0" hidden="1" customHeight="1" x14ac:dyDescent="0.35"/>
    <row r="527" ht="0" hidden="1" customHeight="1" x14ac:dyDescent="0.35"/>
    <row r="528" ht="0" hidden="1" customHeight="1" x14ac:dyDescent="0.35"/>
    <row r="529" ht="0" hidden="1" customHeight="1" x14ac:dyDescent="0.35"/>
    <row r="530" ht="0" hidden="1" customHeight="1" x14ac:dyDescent="0.35"/>
    <row r="531" ht="0" hidden="1" customHeight="1" x14ac:dyDescent="0.35"/>
    <row r="532" ht="0" hidden="1" customHeight="1" x14ac:dyDescent="0.35"/>
    <row r="533" ht="0" hidden="1" customHeight="1" x14ac:dyDescent="0.35"/>
    <row r="534" ht="0" hidden="1" customHeight="1" x14ac:dyDescent="0.35"/>
    <row r="535" ht="0" hidden="1" customHeight="1" x14ac:dyDescent="0.35"/>
    <row r="536" ht="0" hidden="1" customHeight="1" x14ac:dyDescent="0.35"/>
    <row r="537" ht="0" hidden="1" customHeight="1" x14ac:dyDescent="0.35"/>
    <row r="538" ht="0" hidden="1" customHeight="1" x14ac:dyDescent="0.35"/>
    <row r="539" ht="0" hidden="1" customHeight="1" x14ac:dyDescent="0.35"/>
    <row r="540" ht="0" hidden="1" customHeight="1" x14ac:dyDescent="0.35"/>
    <row r="541" ht="0" hidden="1" customHeight="1" x14ac:dyDescent="0.35"/>
    <row r="542" ht="0" hidden="1" customHeight="1" x14ac:dyDescent="0.35"/>
    <row r="543" ht="0" hidden="1" customHeight="1" x14ac:dyDescent="0.35"/>
    <row r="544" ht="0" hidden="1" customHeight="1" x14ac:dyDescent="0.35"/>
    <row r="545" ht="0" hidden="1" customHeight="1" x14ac:dyDescent="0.35"/>
    <row r="546" ht="0" hidden="1" customHeight="1" x14ac:dyDescent="0.35"/>
    <row r="547" ht="0" hidden="1" customHeight="1" x14ac:dyDescent="0.35"/>
    <row r="548" ht="0" hidden="1" customHeight="1" x14ac:dyDescent="0.35"/>
    <row r="549" ht="0" hidden="1" customHeight="1" x14ac:dyDescent="0.35"/>
    <row r="550" ht="0" hidden="1" customHeight="1" x14ac:dyDescent="0.35"/>
    <row r="551" ht="0" hidden="1" customHeight="1" x14ac:dyDescent="0.35"/>
    <row r="552" ht="0" hidden="1" customHeight="1" x14ac:dyDescent="0.35"/>
    <row r="553" ht="0" hidden="1" customHeight="1" x14ac:dyDescent="0.35"/>
    <row r="554" ht="0" hidden="1" customHeight="1" x14ac:dyDescent="0.35"/>
    <row r="555" ht="0" hidden="1" customHeight="1" x14ac:dyDescent="0.35"/>
    <row r="556" ht="0" hidden="1" customHeight="1" x14ac:dyDescent="0.35"/>
    <row r="557" ht="0" hidden="1" customHeight="1" x14ac:dyDescent="0.35"/>
    <row r="558" ht="0" hidden="1" customHeight="1" x14ac:dyDescent="0.35"/>
    <row r="559" ht="0" hidden="1" customHeight="1" x14ac:dyDescent="0.35"/>
    <row r="560" ht="0" hidden="1" customHeight="1" x14ac:dyDescent="0.35"/>
    <row r="561" ht="0" hidden="1" customHeight="1" x14ac:dyDescent="0.35"/>
    <row r="562" ht="0" hidden="1" customHeight="1" x14ac:dyDescent="0.35"/>
    <row r="563" ht="0" hidden="1" customHeight="1" x14ac:dyDescent="0.35"/>
    <row r="564" ht="0" hidden="1" customHeight="1" x14ac:dyDescent="0.35"/>
    <row r="565" ht="0" hidden="1" customHeight="1" x14ac:dyDescent="0.35"/>
    <row r="566" ht="0" hidden="1" customHeight="1" x14ac:dyDescent="0.35"/>
    <row r="567" ht="0" hidden="1" customHeight="1" x14ac:dyDescent="0.35"/>
    <row r="568" ht="0" hidden="1" customHeight="1" x14ac:dyDescent="0.35"/>
    <row r="569" ht="0" hidden="1" customHeight="1" x14ac:dyDescent="0.35"/>
    <row r="570" ht="0" hidden="1" customHeight="1" x14ac:dyDescent="0.35"/>
    <row r="571" ht="0" hidden="1" customHeight="1" x14ac:dyDescent="0.35"/>
    <row r="572" ht="0" hidden="1" customHeight="1" x14ac:dyDescent="0.35"/>
    <row r="573" ht="0" hidden="1" customHeight="1" x14ac:dyDescent="0.35"/>
    <row r="574" ht="0" hidden="1" customHeight="1" x14ac:dyDescent="0.35"/>
    <row r="575" ht="0" hidden="1" customHeight="1" x14ac:dyDescent="0.35"/>
    <row r="576" ht="0" hidden="1" customHeight="1" x14ac:dyDescent="0.35"/>
    <row r="577" ht="0" hidden="1" customHeight="1" x14ac:dyDescent="0.35"/>
    <row r="578" ht="0" hidden="1" customHeight="1" x14ac:dyDescent="0.35"/>
    <row r="579" ht="0" hidden="1" customHeight="1" x14ac:dyDescent="0.35"/>
    <row r="580" ht="0" hidden="1" customHeight="1" x14ac:dyDescent="0.35"/>
    <row r="581" ht="0" hidden="1" customHeight="1" x14ac:dyDescent="0.35"/>
    <row r="582" ht="0" hidden="1" customHeight="1" x14ac:dyDescent="0.35"/>
    <row r="583" ht="0" hidden="1" customHeight="1" x14ac:dyDescent="0.35"/>
    <row r="584" ht="0" hidden="1" customHeight="1" x14ac:dyDescent="0.35"/>
    <row r="585" ht="0" hidden="1" customHeight="1" x14ac:dyDescent="0.35"/>
    <row r="586" ht="0" hidden="1" customHeight="1" x14ac:dyDescent="0.35"/>
    <row r="587" ht="0" hidden="1" customHeight="1" x14ac:dyDescent="0.35"/>
    <row r="588" ht="0" hidden="1" customHeight="1" x14ac:dyDescent="0.35"/>
    <row r="589" ht="0" hidden="1" customHeight="1" x14ac:dyDescent="0.35"/>
    <row r="590" ht="0" hidden="1" customHeight="1" x14ac:dyDescent="0.35"/>
    <row r="591" ht="0" hidden="1" customHeight="1" x14ac:dyDescent="0.35"/>
    <row r="592" ht="0" hidden="1" customHeight="1" x14ac:dyDescent="0.35"/>
    <row r="593" ht="0" hidden="1" customHeight="1" x14ac:dyDescent="0.35"/>
    <row r="594" ht="0" hidden="1" customHeight="1" x14ac:dyDescent="0.35"/>
    <row r="595" ht="0" hidden="1" customHeight="1" x14ac:dyDescent="0.35"/>
    <row r="596" ht="0" hidden="1" customHeight="1" x14ac:dyDescent="0.35"/>
    <row r="597" ht="0" hidden="1" customHeight="1" x14ac:dyDescent="0.35"/>
    <row r="598" ht="0" hidden="1" customHeight="1" x14ac:dyDescent="0.35"/>
  </sheetData>
  <pageMargins left="0.42" right="0.5" top="0.75" bottom="0.75" header="0.5" footer="0.5"/>
  <pageSetup scale="62" orientation="landscape"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zoomScale="75" zoomScaleNormal="75" workbookViewId="0"/>
  </sheetViews>
  <sheetFormatPr defaultColWidth="0" defaultRowHeight="14.25" zeroHeight="1" x14ac:dyDescent="0.45"/>
  <cols>
    <col min="1" max="1" width="2.86328125" customWidth="1"/>
    <col min="2" max="2" width="23.1328125" customWidth="1"/>
    <col min="3" max="3" width="32.1328125" bestFit="1" customWidth="1"/>
    <col min="4" max="4" width="5.86328125" customWidth="1"/>
    <col min="5" max="5" width="11.86328125" customWidth="1"/>
    <col min="6" max="6" width="31.265625" bestFit="1" customWidth="1"/>
    <col min="7" max="7" width="4.1328125" customWidth="1"/>
    <col min="8" max="8" width="4.265625" customWidth="1"/>
    <col min="9" max="9" width="25.86328125" customWidth="1"/>
    <col min="10" max="12" width="9.1328125" customWidth="1"/>
    <col min="13" max="19" width="9.1328125" hidden="1" customWidth="1"/>
    <col min="20" max="20" width="0" hidden="1" customWidth="1"/>
    <col min="21" max="16384" width="9.1328125" hidden="1"/>
  </cols>
  <sheetData>
    <row r="1" spans="1:15" x14ac:dyDescent="0.45"/>
    <row r="2" spans="1:15" s="134" customFormat="1" ht="12.75" x14ac:dyDescent="0.35">
      <c r="A2" s="133" t="s">
        <v>245</v>
      </c>
    </row>
    <row r="3" spans="1:15" s="134" customFormat="1" ht="12.75" x14ac:dyDescent="0.35">
      <c r="A3" s="135"/>
    </row>
    <row r="4" spans="1:15" s="136" customFormat="1" ht="12.75" customHeight="1" x14ac:dyDescent="0.4">
      <c r="A4" s="138" t="s">
        <v>296</v>
      </c>
      <c r="B4" s="139"/>
      <c r="C4" s="139"/>
      <c r="D4" s="140"/>
      <c r="E4" s="140"/>
      <c r="F4" s="141"/>
      <c r="G4" s="141"/>
      <c r="H4" s="141"/>
      <c r="I4" s="141"/>
      <c r="J4" s="141"/>
      <c r="K4" s="141"/>
      <c r="L4" s="141"/>
      <c r="M4" s="137"/>
      <c r="N4" s="134"/>
      <c r="O4" s="134"/>
    </row>
    <row r="5" spans="1:15" x14ac:dyDescent="0.45"/>
    <row r="6" spans="1:15" x14ac:dyDescent="0.45">
      <c r="B6" s="3" t="s">
        <v>295</v>
      </c>
      <c r="E6" s="3" t="s">
        <v>41</v>
      </c>
      <c r="I6" s="3" t="s">
        <v>43</v>
      </c>
    </row>
    <row r="7" spans="1:15" x14ac:dyDescent="0.45"/>
    <row r="8" spans="1:15" x14ac:dyDescent="0.45">
      <c r="B8" t="s">
        <v>119</v>
      </c>
      <c r="C8" s="2" t="s">
        <v>5</v>
      </c>
      <c r="E8" t="s">
        <v>44</v>
      </c>
      <c r="F8" s="2" t="s">
        <v>5</v>
      </c>
      <c r="I8" t="s">
        <v>216</v>
      </c>
      <c r="J8" t="s">
        <v>217</v>
      </c>
    </row>
    <row r="9" spans="1:15" x14ac:dyDescent="0.45">
      <c r="C9" s="2" t="s">
        <v>6</v>
      </c>
      <c r="F9" s="2" t="s">
        <v>6</v>
      </c>
      <c r="J9" t="s">
        <v>139</v>
      </c>
    </row>
    <row r="10" spans="1:15" x14ac:dyDescent="0.45"/>
    <row r="11" spans="1:15" x14ac:dyDescent="0.45">
      <c r="C11" s="4"/>
      <c r="I11" t="s">
        <v>7</v>
      </c>
      <c r="J11" s="2" t="s">
        <v>5</v>
      </c>
    </row>
    <row r="12" spans="1:15" x14ac:dyDescent="0.45">
      <c r="C12" s="4"/>
      <c r="J12" s="2" t="s">
        <v>6</v>
      </c>
    </row>
    <row r="13" spans="1:15" x14ac:dyDescent="0.45">
      <c r="C13" s="4"/>
      <c r="J13" s="2"/>
    </row>
    <row r="14" spans="1:15" x14ac:dyDescent="0.45">
      <c r="C14" s="4"/>
      <c r="E14" t="s">
        <v>20</v>
      </c>
      <c r="F14" t="s">
        <v>21</v>
      </c>
      <c r="J14" s="2"/>
    </row>
    <row r="15" spans="1:15" x14ac:dyDescent="0.45">
      <c r="F15" t="s">
        <v>22</v>
      </c>
      <c r="I15" t="s">
        <v>9</v>
      </c>
      <c r="J15" s="1">
        <v>1</v>
      </c>
    </row>
    <row r="16" spans="1:15" x14ac:dyDescent="0.45">
      <c r="J16" s="1">
        <v>0.75</v>
      </c>
    </row>
    <row r="17" spans="2:10" x14ac:dyDescent="0.45">
      <c r="B17" t="s">
        <v>35</v>
      </c>
      <c r="C17" s="4" t="s">
        <v>21</v>
      </c>
      <c r="J17" s="1">
        <v>0.5</v>
      </c>
    </row>
    <row r="18" spans="2:10" x14ac:dyDescent="0.45">
      <c r="C18" s="4" t="s">
        <v>36</v>
      </c>
      <c r="J18" s="1">
        <v>0.25</v>
      </c>
    </row>
    <row r="19" spans="2:10" x14ac:dyDescent="0.45">
      <c r="C19" s="4" t="s">
        <v>140</v>
      </c>
      <c r="J19" s="1">
        <v>0</v>
      </c>
    </row>
    <row r="20" spans="2:10" x14ac:dyDescent="0.45">
      <c r="C20" s="4" t="s">
        <v>139</v>
      </c>
    </row>
    <row r="21" spans="2:10" x14ac:dyDescent="0.45">
      <c r="I21" t="s">
        <v>10</v>
      </c>
      <c r="J21" s="1">
        <v>1</v>
      </c>
    </row>
    <row r="22" spans="2:10" x14ac:dyDescent="0.45">
      <c r="J22" s="1">
        <v>0.75</v>
      </c>
    </row>
    <row r="23" spans="2:10" x14ac:dyDescent="0.45">
      <c r="J23" s="1">
        <v>0.5</v>
      </c>
    </row>
    <row r="24" spans="2:10" x14ac:dyDescent="0.45">
      <c r="J24" s="1">
        <v>0.25</v>
      </c>
    </row>
    <row r="25" spans="2:10" x14ac:dyDescent="0.45">
      <c r="J25" s="1">
        <v>0</v>
      </c>
    </row>
    <row r="26" spans="2:10" x14ac:dyDescent="0.45"/>
    <row r="27" spans="2:10" x14ac:dyDescent="0.45">
      <c r="I27" t="s">
        <v>8</v>
      </c>
      <c r="J27" s="1">
        <v>1</v>
      </c>
    </row>
    <row r="28" spans="2:10" x14ac:dyDescent="0.45">
      <c r="J28" s="1">
        <v>0.75</v>
      </c>
    </row>
    <row r="29" spans="2:10" x14ac:dyDescent="0.45">
      <c r="J29" s="1">
        <v>0.5</v>
      </c>
    </row>
    <row r="30" spans="2:10" x14ac:dyDescent="0.45">
      <c r="J30" s="1">
        <v>0.25</v>
      </c>
    </row>
    <row r="31" spans="2:10" x14ac:dyDescent="0.45">
      <c r="J31" s="1">
        <v>0</v>
      </c>
    </row>
    <row r="32" spans="2:10" x14ac:dyDescent="0.45"/>
    <row r="33" spans="9:10" x14ac:dyDescent="0.45">
      <c r="I33" t="s">
        <v>150</v>
      </c>
    </row>
    <row r="34" spans="9:10" x14ac:dyDescent="0.45">
      <c r="J34" t="s">
        <v>192</v>
      </c>
    </row>
    <row r="35" spans="9:10" x14ac:dyDescent="0.45">
      <c r="J35" t="s">
        <v>76</v>
      </c>
    </row>
    <row r="36" spans="9:10" x14ac:dyDescent="0.45"/>
    <row r="37" spans="9:10" x14ac:dyDescent="0.45">
      <c r="I37" t="s">
        <v>155</v>
      </c>
      <c r="J37" s="2" t="s">
        <v>154</v>
      </c>
    </row>
    <row r="38" spans="9:10" x14ac:dyDescent="0.45">
      <c r="J38" s="2" t="s">
        <v>156</v>
      </c>
    </row>
    <row r="39" spans="9:10" x14ac:dyDescent="0.45"/>
    <row r="40" spans="9:10" x14ac:dyDescent="0.45"/>
    <row r="41" spans="9:10" x14ac:dyDescent="0.45"/>
    <row r="42" spans="9:10" x14ac:dyDescent="0.45"/>
    <row r="43" spans="9:10" x14ac:dyDescent="0.45"/>
    <row r="44" spans="9:10" x14ac:dyDescent="0.45"/>
  </sheetData>
  <sheetProtection password="CC84" sheet="1" objects="1" scenarios="1"/>
  <pageMargins left="0.7" right="0.7" top="0.75" bottom="0.75" header="0.3" footer="0.3"/>
  <pageSetup orientation="portrait" horizontalDpi="4294967293"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1"/>
  <sheetViews>
    <sheetView zoomScale="75" zoomScaleNormal="75" workbookViewId="0"/>
  </sheetViews>
  <sheetFormatPr defaultColWidth="0" defaultRowHeight="12.75" zeroHeight="1" outlineLevelRow="1" x14ac:dyDescent="0.45"/>
  <cols>
    <col min="1" max="8" width="2.86328125" style="457" customWidth="1"/>
    <col min="9" max="9" width="48.265625" style="457" customWidth="1"/>
    <col min="10" max="12" width="15.86328125" style="405" customWidth="1"/>
    <col min="13" max="18" width="15.86328125" style="457" customWidth="1"/>
    <col min="19" max="19" width="2.73046875" style="457" customWidth="1"/>
    <col min="20" max="23" width="0" style="457" hidden="1" customWidth="1"/>
    <col min="24" max="16384" width="8.86328125" style="457" hidden="1"/>
  </cols>
  <sheetData>
    <row r="1" spans="1:22" ht="12.75" customHeight="1" x14ac:dyDescent="0.45">
      <c r="A1" s="421" t="s">
        <v>584</v>
      </c>
      <c r="B1" s="461"/>
      <c r="C1" s="461"/>
      <c r="D1" s="461"/>
      <c r="E1" s="461"/>
      <c r="F1" s="461"/>
      <c r="G1" s="461"/>
      <c r="H1" s="461"/>
      <c r="I1" s="461"/>
      <c r="J1" s="693"/>
      <c r="K1" s="693"/>
      <c r="L1" s="693"/>
      <c r="M1" s="461"/>
      <c r="N1" s="461"/>
      <c r="O1" s="461"/>
      <c r="P1" s="461"/>
      <c r="Q1" s="461"/>
      <c r="R1" s="461"/>
      <c r="S1" s="461"/>
    </row>
    <row r="2" spans="1:22" ht="12.75" customHeight="1" x14ac:dyDescent="0.45">
      <c r="A2" s="694"/>
      <c r="B2" s="461"/>
      <c r="C2" s="461"/>
      <c r="D2" s="461"/>
      <c r="E2" s="461"/>
      <c r="F2" s="461"/>
      <c r="G2" s="461"/>
      <c r="H2" s="461"/>
      <c r="I2" s="461"/>
      <c r="J2" s="693"/>
      <c r="K2" s="693"/>
      <c r="L2" s="693"/>
      <c r="M2" s="461"/>
      <c r="N2" s="461"/>
      <c r="O2" s="461"/>
      <c r="P2" s="461"/>
      <c r="Q2" s="461"/>
      <c r="R2" s="461"/>
      <c r="S2" s="461"/>
    </row>
    <row r="3" spans="1:22" ht="12.75" customHeight="1" x14ac:dyDescent="0.45">
      <c r="A3" s="458" t="s">
        <v>247</v>
      </c>
      <c r="B3" s="458"/>
      <c r="C3" s="458"/>
      <c r="D3" s="459"/>
      <c r="E3" s="460"/>
      <c r="F3" s="460"/>
      <c r="G3" s="460"/>
      <c r="H3" s="459"/>
      <c r="I3" s="459"/>
      <c r="J3" s="459"/>
      <c r="K3" s="459"/>
      <c r="L3" s="459"/>
      <c r="M3" s="459"/>
      <c r="N3" s="459"/>
      <c r="O3" s="459"/>
      <c r="P3" s="459"/>
      <c r="Q3" s="459"/>
      <c r="R3" s="459"/>
      <c r="S3" s="461"/>
    </row>
    <row r="4" spans="1:22" ht="12.75" customHeight="1" x14ac:dyDescent="0.45">
      <c r="A4" s="461"/>
      <c r="B4" s="461"/>
      <c r="C4" s="461"/>
      <c r="D4" s="461"/>
      <c r="E4" s="461"/>
      <c r="F4" s="461"/>
      <c r="G4" s="461"/>
      <c r="H4" s="461"/>
      <c r="I4" s="461"/>
      <c r="J4" s="693"/>
      <c r="K4" s="693"/>
      <c r="L4" s="693"/>
      <c r="M4" s="461"/>
      <c r="N4" s="461"/>
      <c r="O4" s="461"/>
      <c r="P4" s="461"/>
      <c r="Q4" s="461"/>
      <c r="R4" s="461"/>
      <c r="S4" s="461"/>
      <c r="T4" s="405"/>
      <c r="U4" s="405"/>
      <c r="V4" s="405"/>
    </row>
    <row r="5" spans="1:22" ht="12.75" customHeight="1" x14ac:dyDescent="0.45">
      <c r="A5" s="461"/>
      <c r="B5" s="461" t="s">
        <v>166</v>
      </c>
      <c r="C5" s="461"/>
      <c r="D5" s="461"/>
      <c r="E5" s="461"/>
      <c r="F5" s="461"/>
      <c r="G5" s="461"/>
      <c r="H5" s="461"/>
      <c r="I5" s="461"/>
      <c r="J5" s="693"/>
      <c r="K5" s="693"/>
      <c r="L5" s="693"/>
      <c r="M5" s="461"/>
      <c r="N5" s="461"/>
      <c r="O5" s="461"/>
      <c r="P5" s="461"/>
      <c r="Q5" s="461"/>
      <c r="R5" s="461"/>
      <c r="S5" s="461"/>
      <c r="T5" s="405"/>
      <c r="U5" s="405"/>
      <c r="V5" s="405"/>
    </row>
    <row r="6" spans="1:22" ht="12.75" customHeight="1" x14ac:dyDescent="0.45">
      <c r="A6" s="461"/>
      <c r="B6" s="461"/>
      <c r="C6" s="461" t="s">
        <v>300</v>
      </c>
      <c r="D6" s="461"/>
      <c r="E6" s="461"/>
      <c r="F6" s="461"/>
      <c r="G6" s="461"/>
      <c r="H6" s="461"/>
      <c r="I6" s="461"/>
      <c r="J6" s="693"/>
      <c r="K6" s="693"/>
      <c r="L6" s="693"/>
      <c r="M6" s="461"/>
      <c r="N6" s="461"/>
      <c r="O6" s="461"/>
      <c r="P6" s="461"/>
      <c r="Q6" s="461"/>
      <c r="R6" s="461"/>
      <c r="S6" s="461"/>
      <c r="T6" s="405"/>
      <c r="U6" s="405"/>
      <c r="V6" s="405"/>
    </row>
    <row r="7" spans="1:22" ht="12.75" customHeight="1" x14ac:dyDescent="0.45">
      <c r="A7" s="461"/>
      <c r="B7" s="461"/>
      <c r="C7" s="461" t="s">
        <v>369</v>
      </c>
      <c r="D7" s="461"/>
      <c r="E7" s="461"/>
      <c r="F7" s="461"/>
      <c r="G7" s="461"/>
      <c r="H7" s="461"/>
      <c r="I7" s="461"/>
      <c r="J7" s="693"/>
      <c r="K7" s="693"/>
      <c r="L7" s="693"/>
      <c r="M7" s="461"/>
      <c r="N7" s="461"/>
      <c r="O7" s="461"/>
      <c r="P7" s="461"/>
      <c r="Q7" s="461"/>
      <c r="R7" s="461"/>
      <c r="S7" s="461"/>
      <c r="T7" s="405"/>
      <c r="U7" s="405"/>
      <c r="V7" s="405"/>
    </row>
    <row r="8" spans="1:22" ht="12.75" customHeight="1" x14ac:dyDescent="0.45">
      <c r="A8" s="461"/>
      <c r="B8" s="461"/>
      <c r="C8" s="461"/>
      <c r="D8" s="461"/>
      <c r="E8" s="461"/>
      <c r="F8" s="461"/>
      <c r="G8" s="461"/>
      <c r="H8" s="461"/>
      <c r="I8" s="461"/>
      <c r="J8" s="693"/>
      <c r="K8" s="693"/>
      <c r="L8" s="693"/>
      <c r="M8" s="461"/>
      <c r="N8" s="461"/>
      <c r="O8" s="461"/>
      <c r="P8" s="461"/>
      <c r="Q8" s="461"/>
      <c r="R8" s="461"/>
      <c r="S8" s="461"/>
    </row>
    <row r="9" spans="1:22" ht="12.75" customHeight="1" x14ac:dyDescent="0.45">
      <c r="A9" s="462" t="s">
        <v>248</v>
      </c>
      <c r="B9" s="462"/>
      <c r="C9" s="463"/>
      <c r="D9" s="464"/>
      <c r="E9" s="464"/>
      <c r="F9" s="464"/>
      <c r="G9" s="464"/>
      <c r="H9" s="464"/>
      <c r="I9" s="464"/>
      <c r="J9" s="464"/>
      <c r="K9" s="464"/>
      <c r="L9" s="464"/>
      <c r="M9" s="464"/>
      <c r="N9" s="464"/>
      <c r="O9" s="464"/>
      <c r="P9" s="464"/>
      <c r="Q9" s="464"/>
      <c r="R9" s="464"/>
      <c r="S9" s="461"/>
    </row>
    <row r="10" spans="1:22" ht="12.75" customHeight="1" x14ac:dyDescent="0.45">
      <c r="A10" s="695"/>
      <c r="B10" s="695"/>
      <c r="C10" s="695"/>
      <c r="D10" s="695"/>
      <c r="E10" s="695"/>
      <c r="F10" s="695"/>
      <c r="G10" s="695"/>
      <c r="H10" s="695"/>
      <c r="I10" s="695"/>
      <c r="J10" s="695"/>
      <c r="K10" s="695"/>
      <c r="L10" s="695"/>
      <c r="M10" s="695"/>
      <c r="N10" s="695"/>
      <c r="O10" s="695"/>
      <c r="P10" s="695"/>
      <c r="Q10" s="695"/>
      <c r="R10" s="461"/>
      <c r="S10" s="461"/>
    </row>
    <row r="11" spans="1:22" ht="12.75" customHeight="1" x14ac:dyDescent="0.45">
      <c r="A11" s="461"/>
      <c r="B11" s="696"/>
      <c r="C11" s="461"/>
      <c r="D11" s="461"/>
      <c r="E11" s="461"/>
      <c r="F11" s="461"/>
      <c r="G11" s="461"/>
      <c r="H11" s="461"/>
      <c r="I11" s="461"/>
      <c r="J11" s="461"/>
      <c r="K11" s="461"/>
      <c r="L11" s="714"/>
      <c r="M11" s="714"/>
      <c r="N11" s="714"/>
      <c r="O11" s="714"/>
      <c r="P11" s="714"/>
      <c r="Q11" s="714"/>
      <c r="R11" s="714"/>
      <c r="S11" s="461"/>
    </row>
    <row r="12" spans="1:22" s="201" customFormat="1" ht="12.75" customHeight="1" x14ac:dyDescent="0.45">
      <c r="A12" s="695"/>
      <c r="B12" s="695"/>
      <c r="C12" s="695"/>
      <c r="D12" s="695"/>
      <c r="E12" s="695"/>
      <c r="F12" s="695"/>
      <c r="G12" s="695"/>
      <c r="H12" s="695"/>
      <c r="I12" s="695"/>
      <c r="J12" s="715"/>
      <c r="K12" s="715"/>
      <c r="L12" s="1971" t="s">
        <v>405</v>
      </c>
      <c r="M12" s="1972"/>
      <c r="N12" s="1972"/>
      <c r="O12" s="1972"/>
      <c r="P12" s="1972"/>
      <c r="Q12" s="1972"/>
      <c r="R12" s="1973"/>
      <c r="S12" s="461"/>
    </row>
    <row r="13" spans="1:22" s="201" customFormat="1" ht="12.75" customHeight="1" x14ac:dyDescent="0.45">
      <c r="A13" s="695"/>
      <c r="B13" s="695"/>
      <c r="C13" s="695"/>
      <c r="D13" s="695"/>
      <c r="E13" s="695"/>
      <c r="F13" s="695"/>
      <c r="G13" s="695"/>
      <c r="H13" s="695"/>
      <c r="I13" s="695"/>
      <c r="J13" s="715"/>
      <c r="K13" s="715"/>
      <c r="L13" s="8" t="str">
        <f>'II. Inputs, Baseline Energy Mix'!N18</f>
        <v>CCGT</v>
      </c>
      <c r="M13" s="16" t="str">
        <f>'II. Inputs, Baseline Energy Mix'!O18</f>
        <v>Technology #2</v>
      </c>
      <c r="N13" s="17" t="str">
        <f>'II. Inputs, Baseline Energy Mix'!P18</f>
        <v>Technology #3</v>
      </c>
      <c r="O13" s="9" t="str">
        <f>'II. Inputs, Baseline Energy Mix'!Q18</f>
        <v>Technology #4</v>
      </c>
      <c r="P13" s="10" t="str">
        <f>'II. Inputs, Baseline Energy Mix'!R18</f>
        <v>Technology #5</v>
      </c>
      <c r="Q13" s="18" t="str">
        <f>'II. Inputs, Baseline Energy Mix'!S18</f>
        <v>Technology #6</v>
      </c>
      <c r="R13" s="465" t="s">
        <v>142</v>
      </c>
      <c r="S13" s="695"/>
    </row>
    <row r="14" spans="1:22" s="201" customFormat="1" ht="12.75" customHeight="1" x14ac:dyDescent="0.45">
      <c r="A14" s="695"/>
      <c r="B14" s="695" t="s">
        <v>250</v>
      </c>
      <c r="C14" s="695"/>
      <c r="D14" s="695"/>
      <c r="E14" s="695"/>
      <c r="F14" s="695"/>
      <c r="G14" s="695"/>
      <c r="H14" s="695"/>
      <c r="I14" s="695"/>
      <c r="J14" s="715" t="s">
        <v>14</v>
      </c>
      <c r="K14" s="715"/>
      <c r="L14" s="467">
        <f>'II. Inputs, Baseline Energy Mix'!N19</f>
        <v>1</v>
      </c>
      <c r="M14" s="468">
        <f>'II. Inputs, Baseline Energy Mix'!O19</f>
        <v>0</v>
      </c>
      <c r="N14" s="469">
        <f>'II. Inputs, Baseline Energy Mix'!P19</f>
        <v>0</v>
      </c>
      <c r="O14" s="470">
        <f>'II. Inputs, Baseline Energy Mix'!Q19</f>
        <v>0</v>
      </c>
      <c r="P14" s="471">
        <f>'II. Inputs, Baseline Energy Mix'!R19</f>
        <v>0</v>
      </c>
      <c r="Q14" s="472">
        <f>'II. Inputs, Baseline Energy Mix'!S19</f>
        <v>0</v>
      </c>
      <c r="R14" s="473">
        <f>SUM(L14:Q14)</f>
        <v>1</v>
      </c>
      <c r="S14" s="695"/>
    </row>
    <row r="15" spans="1:22" s="201" customFormat="1" ht="12.75" customHeight="1" x14ac:dyDescent="0.45">
      <c r="A15" s="695"/>
      <c r="B15" s="696" t="s">
        <v>165</v>
      </c>
      <c r="C15" s="695"/>
      <c r="D15" s="696"/>
      <c r="E15" s="696"/>
      <c r="F15" s="696"/>
      <c r="G15" s="696"/>
      <c r="H15" s="696"/>
      <c r="I15" s="696"/>
      <c r="J15" s="697" t="s">
        <v>727</v>
      </c>
      <c r="K15" s="715"/>
      <c r="L15" s="1822">
        <f>SUM('IV. LCOE, Baseline Energy Mix'!G57)/1000</f>
        <v>5.1308059369047788E-2</v>
      </c>
      <c r="M15" s="1823">
        <f>SUM('IV. LCOE, Baseline Energy Mix'!G102)/1000</f>
        <v>0</v>
      </c>
      <c r="N15" s="1824">
        <f>SUM('IV. LCOE, Baseline Energy Mix'!G149)/1000</f>
        <v>0</v>
      </c>
      <c r="O15" s="1825">
        <f>SUM('IV. LCOE, Baseline Energy Mix'!G194)/1000</f>
        <v>0</v>
      </c>
      <c r="P15" s="1826">
        <f>SUM('IV. LCOE, Baseline Energy Mix'!G241)/1000</f>
        <v>0</v>
      </c>
      <c r="Q15" s="1827">
        <f>SUM('IV. LCOE, Baseline Energy Mix'!G286)/1000</f>
        <v>0</v>
      </c>
      <c r="R15" s="1828">
        <f>SUMPRODUCT(L14:Q14,L15:Q15)</f>
        <v>5.1308059369047788E-2</v>
      </c>
      <c r="S15" s="695"/>
    </row>
    <row r="16" spans="1:22" ht="12.75" customHeight="1" x14ac:dyDescent="0.45">
      <c r="A16" s="461"/>
      <c r="B16" s="461"/>
      <c r="C16" s="461"/>
      <c r="D16" s="461"/>
      <c r="E16" s="461"/>
      <c r="F16" s="461"/>
      <c r="G16" s="461"/>
      <c r="H16" s="461"/>
      <c r="I16" s="461"/>
      <c r="J16" s="693"/>
      <c r="K16" s="693"/>
      <c r="L16" s="693"/>
      <c r="M16" s="461"/>
      <c r="N16" s="461"/>
      <c r="O16" s="461"/>
      <c r="P16" s="461"/>
      <c r="Q16" s="461"/>
      <c r="R16" s="461"/>
      <c r="S16" s="461"/>
      <c r="T16" s="475"/>
      <c r="U16" s="475"/>
      <c r="V16" s="475"/>
    </row>
    <row r="17" spans="1:22" ht="12.75" customHeight="1" x14ac:dyDescent="0.45">
      <c r="A17" s="462" t="s">
        <v>370</v>
      </c>
      <c r="B17" s="462"/>
      <c r="C17" s="463"/>
      <c r="D17" s="464"/>
      <c r="E17" s="464"/>
      <c r="F17" s="1829"/>
      <c r="G17" s="464"/>
      <c r="H17" s="464"/>
      <c r="I17" s="464"/>
      <c r="J17" s="464"/>
      <c r="K17" s="464"/>
      <c r="L17" s="464"/>
      <c r="M17" s="464"/>
      <c r="N17" s="464"/>
      <c r="O17" s="464"/>
      <c r="P17" s="464"/>
      <c r="Q17" s="464"/>
      <c r="R17" s="464"/>
      <c r="S17" s="461"/>
      <c r="T17" s="475"/>
      <c r="U17" s="475"/>
      <c r="V17" s="475"/>
    </row>
    <row r="18" spans="1:22" ht="12.75" customHeight="1" x14ac:dyDescent="0.45">
      <c r="A18" s="461"/>
      <c r="B18" s="461"/>
      <c r="C18" s="461"/>
      <c r="D18" s="461"/>
      <c r="E18" s="461"/>
      <c r="F18" s="461"/>
      <c r="G18" s="461"/>
      <c r="H18" s="461"/>
      <c r="I18" s="461"/>
      <c r="J18" s="693"/>
      <c r="K18" s="693"/>
      <c r="L18" s="693"/>
      <c r="M18" s="461"/>
      <c r="N18" s="461"/>
      <c r="O18" s="461"/>
      <c r="P18" s="461"/>
      <c r="Q18" s="461"/>
      <c r="R18" s="461"/>
      <c r="S18" s="461"/>
      <c r="T18" s="475"/>
      <c r="U18" s="475"/>
      <c r="V18" s="475"/>
    </row>
    <row r="19" spans="1:22" ht="12.75" customHeight="1" x14ac:dyDescent="0.45">
      <c r="A19" s="461"/>
      <c r="B19" s="461"/>
      <c r="C19" s="461"/>
      <c r="D19" s="461"/>
      <c r="E19" s="461"/>
      <c r="F19" s="461"/>
      <c r="G19" s="461"/>
      <c r="H19" s="461"/>
      <c r="I19" s="461"/>
      <c r="J19" s="693"/>
      <c r="K19" s="693"/>
      <c r="L19" s="693"/>
      <c r="M19" s="461"/>
      <c r="N19" s="461"/>
      <c r="O19" s="461"/>
      <c r="P19" s="461"/>
      <c r="Q19" s="461"/>
      <c r="R19" s="461"/>
      <c r="S19" s="461"/>
      <c r="T19" s="475"/>
      <c r="U19" s="475"/>
      <c r="V19" s="475"/>
    </row>
    <row r="20" spans="1:22" ht="12.75" customHeight="1" x14ac:dyDescent="0.45">
      <c r="A20" s="461"/>
      <c r="B20" s="702" t="s">
        <v>135</v>
      </c>
      <c r="C20" s="698"/>
      <c r="D20" s="698"/>
      <c r="E20" s="698"/>
      <c r="F20" s="698"/>
      <c r="G20" s="698"/>
      <c r="H20" s="698"/>
      <c r="I20" s="698"/>
      <c r="J20" s="703"/>
      <c r="K20" s="703"/>
      <c r="L20" s="703"/>
      <c r="M20" s="698"/>
      <c r="N20" s="698"/>
      <c r="O20" s="698"/>
      <c r="P20" s="698"/>
      <c r="Q20" s="698"/>
      <c r="R20" s="698"/>
      <c r="S20" s="461"/>
    </row>
    <row r="21" spans="1:22" ht="12.75" customHeight="1" x14ac:dyDescent="0.45">
      <c r="A21" s="461"/>
      <c r="B21" s="696"/>
      <c r="C21" s="461"/>
      <c r="D21" s="461"/>
      <c r="E21" s="461"/>
      <c r="F21" s="461"/>
      <c r="G21" s="461"/>
      <c r="H21" s="461"/>
      <c r="I21" s="461"/>
      <c r="J21" s="693"/>
      <c r="K21" s="693"/>
      <c r="L21" s="693"/>
      <c r="M21" s="461"/>
      <c r="N21" s="461"/>
      <c r="O21" s="461"/>
      <c r="P21" s="461"/>
      <c r="Q21" s="461"/>
      <c r="R21" s="461"/>
      <c r="S21" s="461"/>
    </row>
    <row r="22" spans="1:22" ht="12.75" customHeight="1" x14ac:dyDescent="0.45">
      <c r="A22" s="461"/>
      <c r="B22" s="461"/>
      <c r="C22" s="461"/>
      <c r="D22" s="461"/>
      <c r="E22" s="461"/>
      <c r="F22" s="461"/>
      <c r="G22" s="461"/>
      <c r="H22" s="461"/>
      <c r="I22" s="461"/>
      <c r="J22" s="693"/>
      <c r="K22" s="693"/>
      <c r="L22" s="1917" t="s">
        <v>412</v>
      </c>
      <c r="M22" s="1918"/>
      <c r="N22" s="1918"/>
      <c r="O22" s="1919"/>
      <c r="P22" s="461"/>
      <c r="Q22" s="461"/>
      <c r="R22" s="461"/>
      <c r="S22" s="461"/>
      <c r="T22" s="1974"/>
      <c r="U22" s="1974"/>
      <c r="V22" s="1975"/>
    </row>
    <row r="23" spans="1:22" ht="12.75" customHeight="1" x14ac:dyDescent="0.45">
      <c r="A23" s="461"/>
      <c r="B23" s="461"/>
      <c r="C23" s="461" t="s">
        <v>40</v>
      </c>
      <c r="D23" s="461"/>
      <c r="E23" s="461"/>
      <c r="F23" s="461"/>
      <c r="G23" s="461"/>
      <c r="H23" s="461"/>
      <c r="I23" s="461"/>
      <c r="J23" s="693" t="s">
        <v>13</v>
      </c>
      <c r="K23" s="693"/>
      <c r="L23" s="1989">
        <f>'III. Inputs, Renewable Energy'!$U$14</f>
        <v>835</v>
      </c>
      <c r="M23" s="1990"/>
      <c r="N23" s="1990"/>
      <c r="O23" s="1991"/>
      <c r="P23" s="461"/>
      <c r="Q23" s="461"/>
      <c r="R23" s="461"/>
      <c r="S23" s="461"/>
      <c r="T23" s="1976"/>
      <c r="U23" s="1976"/>
      <c r="V23" s="1975"/>
    </row>
    <row r="24" spans="1:22" ht="12.75" customHeight="1" x14ac:dyDescent="0.45">
      <c r="A24" s="461"/>
      <c r="B24" s="461"/>
      <c r="C24" s="461" t="s">
        <v>164</v>
      </c>
      <c r="D24" s="461"/>
      <c r="E24" s="461"/>
      <c r="F24" s="461"/>
      <c r="G24" s="461"/>
      <c r="H24" s="461"/>
      <c r="I24" s="461"/>
      <c r="J24" s="693"/>
      <c r="K24" s="693"/>
      <c r="L24" s="1992"/>
      <c r="M24" s="1993"/>
      <c r="N24" s="1993"/>
      <c r="O24" s="1994"/>
      <c r="P24" s="461"/>
      <c r="Q24" s="461"/>
      <c r="R24" s="461"/>
      <c r="S24" s="461"/>
      <c r="T24" s="476"/>
      <c r="U24" s="476"/>
      <c r="V24" s="405"/>
    </row>
    <row r="25" spans="1:22" ht="12.75" customHeight="1" x14ac:dyDescent="0.45">
      <c r="A25" s="461"/>
      <c r="B25" s="461"/>
      <c r="C25" s="461"/>
      <c r="D25" s="461" t="s">
        <v>371</v>
      </c>
      <c r="E25" s="461"/>
      <c r="F25" s="461"/>
      <c r="G25" s="461"/>
      <c r="H25" s="461"/>
      <c r="I25" s="461"/>
      <c r="J25" s="693" t="s">
        <v>14</v>
      </c>
      <c r="K25" s="693"/>
      <c r="L25" s="1983">
        <f>IF(L23&gt;0, 'III. Inputs, Renewable Energy'!$U$258,0)</f>
        <v>0.19400000000000001</v>
      </c>
      <c r="M25" s="1984"/>
      <c r="N25" s="1984"/>
      <c r="O25" s="1985"/>
      <c r="P25" s="461"/>
      <c r="Q25" s="461"/>
      <c r="R25" s="461"/>
      <c r="S25" s="461"/>
      <c r="T25" s="1974"/>
      <c r="U25" s="1974"/>
      <c r="V25" s="1975"/>
    </row>
    <row r="26" spans="1:22" ht="12.75" customHeight="1" x14ac:dyDescent="0.45">
      <c r="A26" s="461"/>
      <c r="B26" s="461"/>
      <c r="C26" s="461"/>
      <c r="D26" s="461" t="s">
        <v>146</v>
      </c>
      <c r="E26" s="461"/>
      <c r="F26" s="461"/>
      <c r="G26" s="461"/>
      <c r="H26" s="461"/>
      <c r="I26" s="461"/>
      <c r="J26" s="693" t="s">
        <v>347</v>
      </c>
      <c r="K26" s="693"/>
      <c r="L26" s="1995">
        <f>IF(L23&gt;0, 24*365*$L$25*$L$23,0)</f>
        <v>1419032.4000000001</v>
      </c>
      <c r="M26" s="1996"/>
      <c r="N26" s="1996"/>
      <c r="O26" s="1997"/>
      <c r="P26" s="461"/>
      <c r="Q26" s="461"/>
      <c r="R26" s="461"/>
      <c r="S26" s="461"/>
    </row>
    <row r="27" spans="1:22" ht="12.75" customHeight="1" x14ac:dyDescent="0.45">
      <c r="A27" s="461"/>
      <c r="B27" s="461"/>
      <c r="C27" s="461" t="s">
        <v>167</v>
      </c>
      <c r="D27" s="461"/>
      <c r="E27" s="461"/>
      <c r="F27" s="461"/>
      <c r="G27" s="461"/>
      <c r="H27" s="461"/>
      <c r="I27" s="461"/>
      <c r="J27" s="693"/>
      <c r="K27" s="693"/>
      <c r="L27" s="1995"/>
      <c r="M27" s="1996"/>
      <c r="N27" s="1996"/>
      <c r="O27" s="1997"/>
      <c r="P27" s="461"/>
      <c r="Q27" s="461"/>
      <c r="R27" s="461"/>
      <c r="S27" s="461"/>
    </row>
    <row r="28" spans="1:22" ht="12.75" customHeight="1" x14ac:dyDescent="0.45">
      <c r="A28" s="461"/>
      <c r="B28" s="461"/>
      <c r="C28" s="461"/>
      <c r="D28" s="461" t="s">
        <v>168</v>
      </c>
      <c r="E28" s="461"/>
      <c r="F28" s="461"/>
      <c r="G28" s="461"/>
      <c r="H28" s="461"/>
      <c r="I28" s="461"/>
      <c r="J28" s="693" t="s">
        <v>18</v>
      </c>
      <c r="K28" s="693"/>
      <c r="L28" s="1992">
        <f>IF(L23&gt;0, 'III. Inputs, Renewable Energy'!$U$16,0)</f>
        <v>20</v>
      </c>
      <c r="M28" s="1993"/>
      <c r="N28" s="1993"/>
      <c r="O28" s="1994"/>
      <c r="P28" s="461"/>
      <c r="Q28" s="461"/>
      <c r="R28" s="461"/>
      <c r="S28" s="461"/>
      <c r="T28" s="477"/>
      <c r="U28" s="477"/>
      <c r="V28" s="405"/>
    </row>
    <row r="29" spans="1:22" ht="12.75" customHeight="1" x14ac:dyDescent="0.45">
      <c r="A29" s="461"/>
      <c r="B29" s="461"/>
      <c r="C29" s="461"/>
      <c r="D29" s="461" t="s">
        <v>372</v>
      </c>
      <c r="E29" s="461"/>
      <c r="F29" s="461"/>
      <c r="G29" s="461"/>
      <c r="H29" s="461"/>
      <c r="I29" s="461"/>
      <c r="J29" s="693" t="s">
        <v>726</v>
      </c>
      <c r="K29" s="693"/>
      <c r="L29" s="1998">
        <f>'III. Inputs, Renewable Energy'!$U$15</f>
        <v>636627.20463880163</v>
      </c>
      <c r="M29" s="1999"/>
      <c r="N29" s="1999"/>
      <c r="O29" s="2000"/>
      <c r="P29" s="461"/>
      <c r="Q29" s="699"/>
      <c r="R29" s="461"/>
      <c r="S29" s="461"/>
      <c r="T29" s="477"/>
      <c r="U29" s="477"/>
      <c r="V29" s="405"/>
    </row>
    <row r="30" spans="1:22" x14ac:dyDescent="0.45">
      <c r="A30" s="461"/>
      <c r="B30" s="461"/>
      <c r="C30" s="461" t="s">
        <v>169</v>
      </c>
      <c r="D30" s="461"/>
      <c r="E30" s="461"/>
      <c r="F30" s="461"/>
      <c r="G30" s="461"/>
      <c r="H30" s="461"/>
      <c r="I30" s="461"/>
      <c r="J30" s="693"/>
      <c r="K30" s="693"/>
      <c r="L30" s="1964"/>
      <c r="M30" s="1954"/>
      <c r="N30" s="1954"/>
      <c r="O30" s="1965"/>
      <c r="P30" s="461"/>
      <c r="Q30" s="461"/>
      <c r="R30" s="461"/>
      <c r="S30" s="461"/>
    </row>
    <row r="31" spans="1:22" ht="12.75" customHeight="1" x14ac:dyDescent="0.45">
      <c r="A31" s="461"/>
      <c r="B31" s="461"/>
      <c r="C31" s="461"/>
      <c r="D31" s="461" t="s">
        <v>144</v>
      </c>
      <c r="E31" s="461"/>
      <c r="F31" s="461"/>
      <c r="G31" s="461"/>
      <c r="H31" s="461"/>
      <c r="I31" s="461"/>
      <c r="J31" s="693" t="s">
        <v>14</v>
      </c>
      <c r="K31" s="693"/>
      <c r="L31" s="1983">
        <f>IF(L23&gt;0, 'III. Inputs, Renewable Energy'!$U$18,0)</f>
        <v>0.25</v>
      </c>
      <c r="M31" s="1984"/>
      <c r="N31" s="1984"/>
      <c r="O31" s="1985"/>
      <c r="P31" s="461"/>
      <c r="Q31" s="461"/>
      <c r="R31" s="461"/>
      <c r="S31" s="461"/>
      <c r="T31" s="475"/>
      <c r="U31" s="475"/>
      <c r="V31" s="475"/>
    </row>
    <row r="32" spans="1:22" ht="12.75" customHeight="1" x14ac:dyDescent="0.45">
      <c r="A32" s="461"/>
      <c r="B32" s="461"/>
      <c r="C32" s="461"/>
      <c r="D32" s="461" t="s">
        <v>145</v>
      </c>
      <c r="E32" s="461"/>
      <c r="F32" s="461"/>
      <c r="G32" s="461"/>
      <c r="H32" s="461"/>
      <c r="I32" s="461"/>
      <c r="J32" s="693" t="s">
        <v>14</v>
      </c>
      <c r="K32" s="693"/>
      <c r="L32" s="1986">
        <f>IF(L23&gt;0, 'III. Inputs, Renewable Energy'!$U$19,0)</f>
        <v>7.0000000000000007E-2</v>
      </c>
      <c r="M32" s="1987"/>
      <c r="N32" s="1987"/>
      <c r="O32" s="1988"/>
      <c r="P32" s="461"/>
      <c r="Q32" s="461"/>
      <c r="R32" s="461"/>
      <c r="S32" s="461"/>
      <c r="T32" s="475"/>
      <c r="U32" s="475"/>
      <c r="V32" s="475"/>
    </row>
    <row r="33" spans="1:22" ht="12.75" customHeight="1" x14ac:dyDescent="0.45">
      <c r="A33" s="461"/>
      <c r="B33" s="461"/>
      <c r="C33" s="461"/>
      <c r="D33" s="461"/>
      <c r="E33" s="461"/>
      <c r="F33" s="461"/>
      <c r="G33" s="461"/>
      <c r="H33" s="461"/>
      <c r="I33" s="461"/>
      <c r="J33" s="693"/>
      <c r="K33" s="693"/>
      <c r="L33" s="693"/>
      <c r="M33" s="461"/>
      <c r="N33" s="461"/>
      <c r="O33" s="461"/>
      <c r="P33" s="461"/>
      <c r="Q33" s="461"/>
      <c r="R33" s="461"/>
      <c r="S33" s="461"/>
      <c r="T33" s="475"/>
      <c r="U33" s="475"/>
      <c r="V33" s="475"/>
    </row>
    <row r="34" spans="1:22" ht="12.75" customHeight="1" x14ac:dyDescent="0.45">
      <c r="A34" s="461"/>
      <c r="B34" s="461"/>
      <c r="C34" s="461"/>
      <c r="D34" s="461"/>
      <c r="E34" s="461"/>
      <c r="F34" s="461"/>
      <c r="G34" s="461"/>
      <c r="H34" s="461"/>
      <c r="I34" s="461"/>
      <c r="J34" s="693"/>
      <c r="K34" s="693"/>
      <c r="L34" s="693"/>
      <c r="M34" s="461"/>
      <c r="N34" s="461"/>
      <c r="O34" s="461"/>
      <c r="P34" s="461"/>
      <c r="Q34" s="461"/>
      <c r="R34" s="461"/>
      <c r="S34" s="461"/>
      <c r="T34" s="475"/>
      <c r="U34" s="475"/>
      <c r="V34" s="475"/>
    </row>
    <row r="35" spans="1:22" ht="12.75" customHeight="1" x14ac:dyDescent="0.45">
      <c r="A35" s="461"/>
      <c r="B35" s="702" t="s">
        <v>125</v>
      </c>
      <c r="C35" s="698"/>
      <c r="D35" s="698"/>
      <c r="E35" s="698"/>
      <c r="F35" s="698"/>
      <c r="G35" s="698"/>
      <c r="H35" s="698"/>
      <c r="I35" s="698"/>
      <c r="J35" s="703"/>
      <c r="K35" s="703"/>
      <c r="L35" s="703"/>
      <c r="M35" s="698"/>
      <c r="N35" s="698"/>
      <c r="O35" s="698"/>
      <c r="P35" s="698"/>
      <c r="Q35" s="698"/>
      <c r="R35" s="698"/>
      <c r="S35" s="461"/>
      <c r="T35" s="475"/>
      <c r="U35" s="475"/>
      <c r="V35" s="475"/>
    </row>
    <row r="36" spans="1:22" ht="12.75" customHeight="1" x14ac:dyDescent="0.45">
      <c r="A36" s="461"/>
      <c r="B36" s="461"/>
      <c r="C36" s="461"/>
      <c r="D36" s="461"/>
      <c r="E36" s="461"/>
      <c r="F36" s="461"/>
      <c r="G36" s="461"/>
      <c r="H36" s="461"/>
      <c r="I36" s="461"/>
      <c r="J36" s="693"/>
      <c r="K36" s="693"/>
      <c r="L36" s="693"/>
      <c r="M36" s="461"/>
      <c r="N36" s="461"/>
      <c r="O36" s="461"/>
      <c r="P36" s="461"/>
      <c r="Q36" s="461"/>
      <c r="R36" s="461"/>
      <c r="S36" s="461"/>
      <c r="T36" s="475"/>
      <c r="U36" s="475"/>
      <c r="V36" s="475"/>
    </row>
    <row r="37" spans="1:22" ht="12.75" customHeight="1" x14ac:dyDescent="0.45">
      <c r="A37" s="461"/>
      <c r="B37" s="696"/>
      <c r="C37" s="461"/>
      <c r="D37" s="461"/>
      <c r="E37" s="461"/>
      <c r="F37" s="461"/>
      <c r="G37" s="461"/>
      <c r="H37" s="461"/>
      <c r="I37" s="461"/>
      <c r="J37" s="693"/>
      <c r="K37" s="693"/>
      <c r="L37" s="1917" t="s">
        <v>412</v>
      </c>
      <c r="M37" s="1918"/>
      <c r="N37" s="1918"/>
      <c r="O37" s="1919"/>
      <c r="P37" s="461"/>
      <c r="Q37" s="461"/>
      <c r="R37" s="461"/>
      <c r="S37" s="461"/>
      <c r="T37" s="475"/>
      <c r="U37" s="475"/>
      <c r="V37" s="475"/>
    </row>
    <row r="38" spans="1:22" ht="12.75" customHeight="1" x14ac:dyDescent="0.45">
      <c r="A38" s="461"/>
      <c r="B38" s="461"/>
      <c r="C38" s="461"/>
      <c r="D38" s="461"/>
      <c r="E38" s="461"/>
      <c r="F38" s="461"/>
      <c r="G38" s="461"/>
      <c r="H38" s="461"/>
      <c r="I38" s="461"/>
      <c r="J38" s="693"/>
      <c r="K38" s="693"/>
      <c r="L38" s="1920" t="s">
        <v>170</v>
      </c>
      <c r="M38" s="1921"/>
      <c r="N38" s="1922" t="s">
        <v>171</v>
      </c>
      <c r="O38" s="1923"/>
      <c r="P38" s="461"/>
      <c r="Q38" s="461"/>
      <c r="R38" s="461"/>
      <c r="S38" s="461"/>
    </row>
    <row r="39" spans="1:22" ht="12.75" customHeight="1" x14ac:dyDescent="0.45">
      <c r="A39" s="461"/>
      <c r="B39" s="461"/>
      <c r="C39" s="461" t="s">
        <v>23</v>
      </c>
      <c r="D39" s="461"/>
      <c r="E39" s="461"/>
      <c r="F39" s="461"/>
      <c r="G39" s="461"/>
      <c r="H39" s="461"/>
      <c r="I39" s="461"/>
      <c r="J39" s="693"/>
      <c r="K39" s="693"/>
      <c r="L39" s="1968"/>
      <c r="M39" s="1969"/>
      <c r="N39" s="1966"/>
      <c r="O39" s="1967"/>
      <c r="P39" s="461"/>
      <c r="Q39" s="461"/>
      <c r="R39" s="461"/>
      <c r="S39" s="461"/>
      <c r="T39" s="1976"/>
      <c r="U39" s="1976"/>
      <c r="V39" s="1975"/>
    </row>
    <row r="40" spans="1:22" ht="12.75" customHeight="1" x14ac:dyDescent="0.45">
      <c r="A40" s="461"/>
      <c r="B40" s="461"/>
      <c r="C40" s="461"/>
      <c r="D40" s="461" t="s">
        <v>134</v>
      </c>
      <c r="E40" s="461"/>
      <c r="F40" s="461"/>
      <c r="G40" s="461"/>
      <c r="H40" s="461"/>
      <c r="I40" s="461"/>
      <c r="J40" s="693" t="s">
        <v>14</v>
      </c>
      <c r="K40" s="693"/>
      <c r="L40" s="1979" t="str">
        <f>CONCATENATE('III. Inputs, Renewable Energy'!$S$34*100,"%/",'III. Inputs, Renewable Energy'!$S$33*100,"%")</f>
        <v>70%/30%</v>
      </c>
      <c r="M40" s="1980"/>
      <c r="N40" s="1981" t="str">
        <f>CONCATENATE('III. Inputs, Renewable Energy'!$V$34*100,"%/",'III. Inputs, Renewable Energy'!$V$33*100,"%")</f>
        <v>72.5%/27.5%</v>
      </c>
      <c r="O40" s="1982"/>
      <c r="P40" s="461"/>
      <c r="Q40" s="461"/>
      <c r="R40" s="461"/>
      <c r="S40" s="461"/>
      <c r="T40" s="1977"/>
      <c r="U40" s="1977"/>
      <c r="V40" s="1978"/>
    </row>
    <row r="41" spans="1:22" ht="12.75" customHeight="1" x14ac:dyDescent="0.45">
      <c r="A41" s="461"/>
      <c r="B41" s="461"/>
      <c r="C41" s="461"/>
      <c r="D41" s="461"/>
      <c r="E41" s="461"/>
      <c r="F41" s="461"/>
      <c r="G41" s="461"/>
      <c r="H41" s="461"/>
      <c r="I41" s="461"/>
      <c r="J41" s="693"/>
      <c r="K41" s="693"/>
      <c r="L41" s="1968"/>
      <c r="M41" s="1969"/>
      <c r="N41" s="1966"/>
      <c r="O41" s="1967"/>
      <c r="P41" s="461"/>
      <c r="Q41" s="461"/>
      <c r="R41" s="461"/>
      <c r="S41" s="461"/>
    </row>
    <row r="42" spans="1:22" ht="12.75" customHeight="1" x14ac:dyDescent="0.45">
      <c r="A42" s="461"/>
      <c r="B42" s="461"/>
      <c r="C42" s="461" t="s">
        <v>72</v>
      </c>
      <c r="D42" s="461"/>
      <c r="E42" s="461"/>
      <c r="F42" s="461"/>
      <c r="G42" s="461"/>
      <c r="H42" s="461"/>
      <c r="I42" s="461"/>
      <c r="J42" s="693" t="s">
        <v>14</v>
      </c>
      <c r="K42" s="693"/>
      <c r="L42" s="1939">
        <f>'III. Inputs, Renewable Energy'!S41</f>
        <v>0.17</v>
      </c>
      <c r="M42" s="1970"/>
      <c r="N42" s="1909">
        <f>'III. Inputs, Renewable Energy'!V41</f>
        <v>0.12994976297665545</v>
      </c>
      <c r="O42" s="1910"/>
      <c r="P42" s="461"/>
      <c r="Q42" s="461"/>
      <c r="R42" s="461"/>
      <c r="S42" s="461"/>
    </row>
    <row r="43" spans="1:22" ht="12.75" customHeight="1" x14ac:dyDescent="0.45">
      <c r="A43" s="461"/>
      <c r="B43" s="461"/>
      <c r="C43" s="696"/>
      <c r="D43" s="461"/>
      <c r="E43" s="461"/>
      <c r="F43" s="461"/>
      <c r="G43" s="461"/>
      <c r="H43" s="461"/>
      <c r="I43" s="461"/>
      <c r="J43" s="693"/>
      <c r="K43" s="693"/>
      <c r="L43" s="406"/>
      <c r="M43" s="478"/>
      <c r="N43" s="407"/>
      <c r="O43" s="408"/>
      <c r="P43" s="461"/>
      <c r="Q43" s="461"/>
      <c r="R43" s="461"/>
      <c r="S43" s="461"/>
    </row>
    <row r="44" spans="1:22" ht="12.75" customHeight="1" x14ac:dyDescent="0.45">
      <c r="A44" s="461"/>
      <c r="B44" s="461"/>
      <c r="C44" s="461" t="s">
        <v>47</v>
      </c>
      <c r="D44" s="461"/>
      <c r="E44" s="461"/>
      <c r="F44" s="461"/>
      <c r="G44" s="461"/>
      <c r="H44" s="461"/>
      <c r="I44" s="461"/>
      <c r="J44" s="693"/>
      <c r="K44" s="693"/>
      <c r="L44" s="1968"/>
      <c r="M44" s="1969"/>
      <c r="N44" s="1966"/>
      <c r="O44" s="1967"/>
      <c r="P44" s="461"/>
      <c r="Q44" s="461"/>
      <c r="R44" s="461"/>
      <c r="S44" s="461"/>
    </row>
    <row r="45" spans="1:22" ht="12.75" customHeight="1" x14ac:dyDescent="0.45">
      <c r="A45" s="461"/>
      <c r="B45" s="461"/>
      <c r="C45" s="461"/>
      <c r="D45" s="415" t="s">
        <v>186</v>
      </c>
      <c r="E45" s="415"/>
      <c r="F45" s="415"/>
      <c r="G45" s="415"/>
      <c r="H45" s="415"/>
      <c r="I45" s="461"/>
      <c r="J45" s="693" t="s">
        <v>14</v>
      </c>
      <c r="K45" s="693"/>
      <c r="L45" s="1939" t="str">
        <f>'III. Inputs, Renewable Energy'!S43</f>
        <v>NA</v>
      </c>
      <c r="M45" s="1970"/>
      <c r="N45" s="1909">
        <f>'III. Inputs, Renewable Energy'!V43</f>
        <v>0.04</v>
      </c>
      <c r="O45" s="1910"/>
      <c r="P45" s="461"/>
      <c r="Q45" s="461"/>
      <c r="R45" s="461"/>
      <c r="S45" s="461"/>
    </row>
    <row r="46" spans="1:22" ht="12.75" customHeight="1" x14ac:dyDescent="0.45">
      <c r="A46" s="461"/>
      <c r="B46" s="461"/>
      <c r="C46" s="461"/>
      <c r="D46" s="461" t="s">
        <v>253</v>
      </c>
      <c r="E46" s="461"/>
      <c r="F46" s="461"/>
      <c r="G46" s="461"/>
      <c r="H46" s="461"/>
      <c r="I46" s="461"/>
      <c r="J46" s="693" t="s">
        <v>14</v>
      </c>
      <c r="K46" s="693"/>
      <c r="L46" s="1939" t="str">
        <f>'III. Inputs, Renewable Energy'!S44</f>
        <v>NA</v>
      </c>
      <c r="M46" s="1970"/>
      <c r="N46" s="1909" t="str">
        <f>'III. Inputs, Renewable Energy'!V44</f>
        <v>NA</v>
      </c>
      <c r="O46" s="1910"/>
      <c r="P46" s="461"/>
      <c r="Q46" s="461"/>
      <c r="R46" s="461"/>
      <c r="S46" s="461"/>
    </row>
    <row r="47" spans="1:22" ht="12.75" customHeight="1" x14ac:dyDescent="0.45">
      <c r="A47" s="461"/>
      <c r="B47" s="461"/>
      <c r="C47" s="461"/>
      <c r="D47" s="461" t="s">
        <v>254</v>
      </c>
      <c r="E47" s="461"/>
      <c r="F47" s="461"/>
      <c r="G47" s="461"/>
      <c r="H47" s="461"/>
      <c r="I47" s="461"/>
      <c r="J47" s="693" t="s">
        <v>14</v>
      </c>
      <c r="K47" s="693"/>
      <c r="L47" s="1939">
        <f>IF(('III. Inputs, Renewable Energy'!S38=0), "NA", 'III. Inputs, Renewable Energy'!S45)</f>
        <v>0.08</v>
      </c>
      <c r="M47" s="1970"/>
      <c r="N47" s="1909">
        <f>IF('III. Inputs, Renewable Energy'!V45=0, "NA", 'III. Inputs, Renewable Energy'!V45)</f>
        <v>5.8339140534262486E-2</v>
      </c>
      <c r="O47" s="1910"/>
      <c r="P47" s="461"/>
      <c r="Q47" s="461"/>
      <c r="R47" s="461"/>
      <c r="S47" s="461"/>
    </row>
    <row r="48" spans="1:22" ht="12.75" customHeight="1" x14ac:dyDescent="0.45">
      <c r="A48" s="461"/>
      <c r="B48" s="461"/>
      <c r="C48" s="461"/>
      <c r="D48" s="461"/>
      <c r="E48" s="461"/>
      <c r="F48" s="461"/>
      <c r="G48" s="461"/>
      <c r="H48" s="461"/>
      <c r="I48" s="461"/>
      <c r="J48" s="693"/>
      <c r="K48" s="693"/>
      <c r="L48" s="1968"/>
      <c r="M48" s="1969"/>
      <c r="N48" s="1966"/>
      <c r="O48" s="1967"/>
      <c r="P48" s="461"/>
      <c r="Q48" s="461"/>
      <c r="R48" s="461"/>
      <c r="S48" s="461"/>
    </row>
    <row r="49" spans="1:19" ht="12.75" customHeight="1" x14ac:dyDescent="0.45">
      <c r="A49" s="461"/>
      <c r="B49" s="461"/>
      <c r="C49" s="461" t="s">
        <v>346</v>
      </c>
      <c r="D49" s="461"/>
      <c r="E49" s="461"/>
      <c r="F49" s="461"/>
      <c r="G49" s="461"/>
      <c r="H49" s="461"/>
      <c r="I49" s="461"/>
      <c r="J49" s="693" t="s">
        <v>14</v>
      </c>
      <c r="K49" s="693"/>
      <c r="L49" s="1939">
        <f>IFERROR(('III. Inputs, Renewable Energy'!S34*(1-L31)*((SUM(L45)*(L89/L92))+(SUM(L46)*(L90/L92))+(SUM(L47)*(L91/L92))))+('III. Inputs, Renewable Energy'!S33*L42),"NA")</f>
        <v>9.2999999999999999E-2</v>
      </c>
      <c r="M49" s="1940"/>
      <c r="N49" s="1909">
        <f>IFERROR(('III. Inputs, Renewable Energy'!V34*(1-L31)*((SUM(N45)*(N89/N92))+(SUM(N46)*(N90/N92))+(SUM(N47)*(N91/N92)))+('III. Inputs, Renewable Energy'!V33*N42)),"NA")</f>
        <v>6.4466520184433912E-2</v>
      </c>
      <c r="O49" s="1910"/>
      <c r="P49" s="461"/>
      <c r="Q49" s="461"/>
      <c r="R49" s="461"/>
      <c r="S49" s="461"/>
    </row>
    <row r="50" spans="1:19" ht="12.75" customHeight="1" x14ac:dyDescent="0.45">
      <c r="A50" s="461"/>
      <c r="B50" s="461"/>
      <c r="C50" s="461"/>
      <c r="D50" s="461"/>
      <c r="E50" s="461"/>
      <c r="F50" s="461"/>
      <c r="G50" s="461"/>
      <c r="H50" s="461"/>
      <c r="I50" s="461"/>
      <c r="J50" s="693"/>
      <c r="K50" s="693"/>
      <c r="L50" s="401"/>
      <c r="M50" s="402"/>
      <c r="N50" s="403"/>
      <c r="O50" s="404"/>
      <c r="P50" s="461"/>
      <c r="Q50" s="461"/>
      <c r="R50" s="461"/>
      <c r="S50" s="461"/>
    </row>
    <row r="51" spans="1:19" ht="12.75" customHeight="1" x14ac:dyDescent="0.45">
      <c r="A51" s="461"/>
      <c r="B51" s="461"/>
      <c r="C51" s="461" t="s">
        <v>126</v>
      </c>
      <c r="D51" s="461"/>
      <c r="E51" s="461"/>
      <c r="F51" s="461"/>
      <c r="G51" s="461"/>
      <c r="H51" s="461"/>
      <c r="I51" s="461"/>
      <c r="J51" s="693"/>
      <c r="K51" s="693"/>
      <c r="L51" s="1968"/>
      <c r="M51" s="1969"/>
      <c r="N51" s="1966"/>
      <c r="O51" s="1967"/>
      <c r="P51" s="461"/>
      <c r="Q51" s="461"/>
      <c r="R51" s="461"/>
      <c r="S51" s="461"/>
    </row>
    <row r="52" spans="1:19" ht="12.75" customHeight="1" x14ac:dyDescent="0.45">
      <c r="A52" s="461"/>
      <c r="B52" s="461"/>
      <c r="C52" s="461"/>
      <c r="D52" s="415" t="s">
        <v>186</v>
      </c>
      <c r="E52" s="415"/>
      <c r="F52" s="415"/>
      <c r="G52" s="415"/>
      <c r="H52" s="415"/>
      <c r="I52" s="461"/>
      <c r="J52" s="693" t="s">
        <v>18</v>
      </c>
      <c r="K52" s="693"/>
      <c r="L52" s="1935" t="str">
        <f>IF('III. Inputs, Renewable Energy'!S48=0,"NA",'III. Inputs, Renewable Energy'!S48)</f>
        <v>NA</v>
      </c>
      <c r="M52" s="1936"/>
      <c r="N52" s="1950">
        <f>IF('III. Inputs, Renewable Energy'!V48=0,"NA",'III. Inputs, Renewable Energy'!V48)</f>
        <v>20</v>
      </c>
      <c r="O52" s="1951"/>
      <c r="P52" s="461"/>
      <c r="Q52" s="461"/>
      <c r="R52" s="461"/>
      <c r="S52" s="461"/>
    </row>
    <row r="53" spans="1:19" ht="12.75" customHeight="1" x14ac:dyDescent="0.45">
      <c r="A53" s="461"/>
      <c r="B53" s="461"/>
      <c r="C53" s="461"/>
      <c r="D53" s="461" t="s">
        <v>253</v>
      </c>
      <c r="E53" s="461"/>
      <c r="F53" s="461"/>
      <c r="G53" s="461"/>
      <c r="H53" s="461"/>
      <c r="I53" s="461"/>
      <c r="J53" s="693" t="s">
        <v>18</v>
      </c>
      <c r="K53" s="693"/>
      <c r="L53" s="1935" t="str">
        <f>IF('III. Inputs, Renewable Energy'!S49=0,"NA",'III. Inputs, Renewable Energy'!S49)</f>
        <v>NA</v>
      </c>
      <c r="M53" s="1936"/>
      <c r="N53" s="1950" t="str">
        <f>IF('III. Inputs, Renewable Energy'!V49=0,"NA",'III. Inputs, Renewable Energy'!V49)</f>
        <v>NA</v>
      </c>
      <c r="O53" s="1951"/>
      <c r="P53" s="461"/>
      <c r="Q53" s="461"/>
      <c r="R53" s="461"/>
      <c r="S53" s="461"/>
    </row>
    <row r="54" spans="1:19" ht="12.75" customHeight="1" x14ac:dyDescent="0.45">
      <c r="A54" s="461"/>
      <c r="B54" s="461"/>
      <c r="C54" s="461"/>
      <c r="D54" s="461" t="s">
        <v>254</v>
      </c>
      <c r="E54" s="461"/>
      <c r="F54" s="461"/>
      <c r="G54" s="461"/>
      <c r="H54" s="461"/>
      <c r="I54" s="461"/>
      <c r="J54" s="693" t="s">
        <v>18</v>
      </c>
      <c r="K54" s="693"/>
      <c r="L54" s="1937">
        <f>IF('III. Inputs, Renewable Energy'!S38=0,"NA", 'III. Inputs, Renewable Energy'!S50)</f>
        <v>11</v>
      </c>
      <c r="M54" s="1938"/>
      <c r="N54" s="1952">
        <f>IF('III. Inputs, Renewable Energy'!V50=0, "NA", 'III. Inputs, Renewable Energy'!V50)</f>
        <v>12</v>
      </c>
      <c r="O54" s="1953"/>
      <c r="P54" s="461"/>
      <c r="Q54" s="461"/>
      <c r="R54" s="461"/>
      <c r="S54" s="461"/>
    </row>
    <row r="55" spans="1:19" ht="12.75" customHeight="1" x14ac:dyDescent="0.45">
      <c r="A55" s="461"/>
      <c r="B55" s="461"/>
      <c r="C55" s="461"/>
      <c r="D55" s="461"/>
      <c r="E55" s="461"/>
      <c r="F55" s="461"/>
      <c r="G55" s="461"/>
      <c r="H55" s="461"/>
      <c r="I55" s="461"/>
      <c r="J55" s="693"/>
      <c r="K55" s="693"/>
      <c r="L55" s="1954"/>
      <c r="M55" s="1954"/>
      <c r="N55" s="1934"/>
      <c r="O55" s="1934"/>
      <c r="P55" s="461"/>
      <c r="Q55" s="461"/>
      <c r="R55" s="461"/>
      <c r="S55" s="461"/>
    </row>
    <row r="56" spans="1:19" ht="12.75" customHeight="1" x14ac:dyDescent="0.45">
      <c r="A56" s="461"/>
      <c r="B56" s="461"/>
      <c r="C56" s="461"/>
      <c r="D56" s="461"/>
      <c r="E56" s="461"/>
      <c r="F56" s="461"/>
      <c r="G56" s="461"/>
      <c r="H56" s="461"/>
      <c r="I56" s="461"/>
      <c r="J56" s="693"/>
      <c r="K56" s="693"/>
      <c r="L56" s="693"/>
      <c r="M56" s="693"/>
      <c r="N56" s="711"/>
      <c r="O56" s="711"/>
      <c r="P56" s="461"/>
      <c r="Q56" s="461"/>
      <c r="R56" s="461"/>
      <c r="S56" s="461"/>
    </row>
    <row r="57" spans="1:19" ht="12.75" customHeight="1" x14ac:dyDescent="0.45">
      <c r="A57" s="461"/>
      <c r="B57" s="702" t="s">
        <v>252</v>
      </c>
      <c r="C57" s="698"/>
      <c r="D57" s="698"/>
      <c r="E57" s="698"/>
      <c r="F57" s="698"/>
      <c r="G57" s="698"/>
      <c r="H57" s="698"/>
      <c r="I57" s="698"/>
      <c r="J57" s="703"/>
      <c r="K57" s="703"/>
      <c r="L57" s="703"/>
      <c r="M57" s="698"/>
      <c r="N57" s="698"/>
      <c r="O57" s="698"/>
      <c r="P57" s="698"/>
      <c r="Q57" s="698"/>
      <c r="R57" s="698"/>
      <c r="S57" s="461"/>
    </row>
    <row r="58" spans="1:19" ht="12.75" customHeight="1" x14ac:dyDescent="0.45">
      <c r="A58" s="461"/>
      <c r="B58" s="461"/>
      <c r="C58" s="461"/>
      <c r="D58" s="461"/>
      <c r="E58" s="461"/>
      <c r="F58" s="461"/>
      <c r="G58" s="461"/>
      <c r="H58" s="461"/>
      <c r="I58" s="461"/>
      <c r="J58" s="693"/>
      <c r="K58" s="693"/>
      <c r="L58" s="712"/>
      <c r="M58" s="713"/>
      <c r="N58" s="712"/>
      <c r="O58" s="713"/>
      <c r="P58" s="461"/>
      <c r="Q58" s="461"/>
      <c r="R58" s="461"/>
      <c r="S58" s="461"/>
    </row>
    <row r="59" spans="1:19" ht="12.75" customHeight="1" x14ac:dyDescent="0.45">
      <c r="A59" s="461"/>
      <c r="B59" s="461"/>
      <c r="C59" s="461"/>
      <c r="D59" s="461"/>
      <c r="E59" s="461"/>
      <c r="F59" s="461"/>
      <c r="G59" s="461"/>
      <c r="H59" s="461"/>
      <c r="I59" s="461"/>
      <c r="J59" s="693"/>
      <c r="K59" s="693"/>
      <c r="L59" s="1917" t="s">
        <v>412</v>
      </c>
      <c r="M59" s="1918"/>
      <c r="N59" s="1918"/>
      <c r="O59" s="1919"/>
      <c r="P59" s="461"/>
      <c r="Q59" s="461"/>
      <c r="R59" s="461"/>
      <c r="S59" s="461"/>
    </row>
    <row r="60" spans="1:19" ht="12.75" customHeight="1" x14ac:dyDescent="0.45">
      <c r="A60" s="461"/>
      <c r="B60" s="461"/>
      <c r="C60" s="461"/>
      <c r="D60" s="461"/>
      <c r="E60" s="461"/>
      <c r="F60" s="461"/>
      <c r="G60" s="461"/>
      <c r="H60" s="461"/>
      <c r="I60" s="461"/>
      <c r="J60" s="693"/>
      <c r="K60" s="693"/>
      <c r="L60" s="1920" t="s">
        <v>170</v>
      </c>
      <c r="M60" s="1921"/>
      <c r="N60" s="1922" t="s">
        <v>171</v>
      </c>
      <c r="O60" s="1923"/>
      <c r="P60" s="461"/>
      <c r="Q60" s="461"/>
      <c r="R60" s="461"/>
      <c r="S60" s="461"/>
    </row>
    <row r="61" spans="1:19" s="474" customFormat="1" ht="12.75" customHeight="1" x14ac:dyDescent="0.45">
      <c r="A61" s="696"/>
      <c r="B61" s="696" t="s">
        <v>374</v>
      </c>
      <c r="C61" s="696"/>
      <c r="D61" s="696"/>
      <c r="E61" s="696"/>
      <c r="F61" s="696"/>
      <c r="G61" s="696"/>
      <c r="H61" s="696"/>
      <c r="I61" s="696"/>
      <c r="J61" s="697" t="s">
        <v>727</v>
      </c>
      <c r="K61" s="697"/>
      <c r="L61" s="1955">
        <f>SUM(L62:M64)</f>
        <v>7.0704801349774304E-2</v>
      </c>
      <c r="M61" s="1956"/>
      <c r="N61" s="1957">
        <f>SUM(N62:O64)</f>
        <v>5.619292139076857E-2</v>
      </c>
      <c r="O61" s="1958"/>
      <c r="P61" s="696"/>
      <c r="Q61" s="696"/>
      <c r="R61" s="696"/>
      <c r="S61" s="696"/>
    </row>
    <row r="62" spans="1:19" s="474" customFormat="1" ht="12.75" customHeight="1" x14ac:dyDescent="0.45">
      <c r="A62" s="696"/>
      <c r="B62" s="696"/>
      <c r="C62" s="461" t="s">
        <v>375</v>
      </c>
      <c r="D62" s="696"/>
      <c r="E62" s="696"/>
      <c r="F62" s="696"/>
      <c r="G62" s="696"/>
      <c r="H62" s="696"/>
      <c r="I62" s="696"/>
      <c r="J62" s="693" t="s">
        <v>727</v>
      </c>
      <c r="K62" s="697"/>
      <c r="L62" s="1941">
        <f>'V. LCOE, RE Generation'!G50/1000</f>
        <v>7.0704801349774304E-2</v>
      </c>
      <c r="M62" s="1942"/>
      <c r="N62" s="1945">
        <f>'V. LCOE, RE Generation'!G140/1000</f>
        <v>5.619292139076857E-2</v>
      </c>
      <c r="O62" s="1942"/>
      <c r="P62" s="461"/>
      <c r="Q62" s="696"/>
      <c r="R62" s="696"/>
      <c r="S62" s="696"/>
    </row>
    <row r="63" spans="1:19" s="474" customFormat="1" ht="12.75" customHeight="1" x14ac:dyDescent="0.45">
      <c r="A63" s="696"/>
      <c r="B63" s="696"/>
      <c r="C63" s="461" t="s">
        <v>403</v>
      </c>
      <c r="D63" s="696"/>
      <c r="E63" s="696"/>
      <c r="F63" s="696"/>
      <c r="G63" s="696"/>
      <c r="H63" s="696"/>
      <c r="I63" s="696"/>
      <c r="J63" s="693" t="s">
        <v>727</v>
      </c>
      <c r="K63" s="697"/>
      <c r="L63" s="1941">
        <f>'VI. LCOE, RE Grid Intercon'!G50/1000</f>
        <v>0</v>
      </c>
      <c r="M63" s="1942"/>
      <c r="N63" s="1945">
        <f>'VI. LCOE, RE Grid Intercon'!G140/1000</f>
        <v>0</v>
      </c>
      <c r="O63" s="1942"/>
      <c r="P63" s="696"/>
      <c r="Q63" s="696"/>
      <c r="R63" s="696"/>
      <c r="S63" s="696"/>
    </row>
    <row r="64" spans="1:19" s="474" customFormat="1" ht="12.75" hidden="1" customHeight="1" outlineLevel="1" x14ac:dyDescent="0.45">
      <c r="A64" s="696"/>
      <c r="B64" s="696"/>
      <c r="C64" s="461" t="s">
        <v>376</v>
      </c>
      <c r="D64" s="696"/>
      <c r="E64" s="696"/>
      <c r="F64" s="696"/>
      <c r="G64" s="696"/>
      <c r="H64" s="696"/>
      <c r="I64" s="696"/>
      <c r="J64" s="693" t="s">
        <v>727</v>
      </c>
      <c r="K64" s="697"/>
      <c r="L64" s="1943">
        <v>0</v>
      </c>
      <c r="M64" s="1944"/>
      <c r="N64" s="1946">
        <v>0</v>
      </c>
      <c r="O64" s="1947"/>
      <c r="P64" s="696"/>
      <c r="Q64" s="696"/>
      <c r="R64" s="696"/>
      <c r="S64" s="696"/>
    </row>
    <row r="65" spans="1:19" s="474" customFormat="1" ht="12.75" customHeight="1" collapsed="1" x14ac:dyDescent="0.45">
      <c r="A65" s="696"/>
      <c r="B65" s="696"/>
      <c r="C65" s="461"/>
      <c r="D65" s="696"/>
      <c r="E65" s="696"/>
      <c r="F65" s="696"/>
      <c r="G65" s="696"/>
      <c r="H65" s="696"/>
      <c r="I65" s="696"/>
      <c r="J65" s="693"/>
      <c r="K65" s="697"/>
      <c r="L65" s="1948"/>
      <c r="M65" s="1949"/>
      <c r="N65" s="1959"/>
      <c r="O65" s="1949"/>
      <c r="P65" s="696"/>
      <c r="Q65" s="696"/>
      <c r="R65" s="696"/>
      <c r="S65" s="696"/>
    </row>
    <row r="66" spans="1:19" ht="12.75" customHeight="1" x14ac:dyDescent="0.45">
      <c r="A66" s="461"/>
      <c r="B66" s="696" t="s">
        <v>249</v>
      </c>
      <c r="C66" s="696"/>
      <c r="D66" s="696"/>
      <c r="E66" s="696"/>
      <c r="F66" s="696"/>
      <c r="G66" s="696"/>
      <c r="H66" s="696"/>
      <c r="I66" s="461"/>
      <c r="J66" s="693"/>
      <c r="K66" s="693"/>
      <c r="L66" s="1871">
        <f>$R$15</f>
        <v>5.1308059369047788E-2</v>
      </c>
      <c r="M66" s="1872"/>
      <c r="N66" s="1873">
        <f>$R$15</f>
        <v>5.1308059369047788E-2</v>
      </c>
      <c r="O66" s="1874"/>
      <c r="P66" s="461"/>
      <c r="Q66" s="461"/>
      <c r="R66" s="461"/>
      <c r="S66" s="461"/>
    </row>
    <row r="67" spans="1:19" ht="12.75" customHeight="1" x14ac:dyDescent="0.45">
      <c r="A67" s="461"/>
      <c r="B67" s="696"/>
      <c r="C67" s="696"/>
      <c r="D67" s="696"/>
      <c r="E67" s="696"/>
      <c r="F67" s="696"/>
      <c r="G67" s="696"/>
      <c r="H67" s="696"/>
      <c r="I67" s="461"/>
      <c r="J67" s="693"/>
      <c r="K67" s="693"/>
      <c r="L67" s="1830"/>
      <c r="M67" s="1831"/>
      <c r="N67" s="1832"/>
      <c r="O67" s="1833"/>
      <c r="P67" s="461"/>
      <c r="Q67" s="461"/>
      <c r="R67" s="461"/>
      <c r="S67" s="461"/>
    </row>
    <row r="68" spans="1:19" ht="12.75" customHeight="1" x14ac:dyDescent="0.45">
      <c r="A68" s="461"/>
      <c r="B68" s="696"/>
      <c r="C68" s="461" t="s">
        <v>625</v>
      </c>
      <c r="D68" s="461"/>
      <c r="E68" s="461"/>
      <c r="F68" s="461"/>
      <c r="G68" s="461"/>
      <c r="H68" s="461"/>
      <c r="I68" s="461"/>
      <c r="J68" s="693" t="s">
        <v>727</v>
      </c>
      <c r="K68" s="693"/>
      <c r="L68" s="1871">
        <f>L61-L66</f>
        <v>1.9396741980726516E-2</v>
      </c>
      <c r="M68" s="1872"/>
      <c r="N68" s="1873">
        <f>N61-N66</f>
        <v>4.8848620217207817E-3</v>
      </c>
      <c r="O68" s="1874"/>
      <c r="P68" s="461"/>
      <c r="Q68" s="461"/>
      <c r="R68" s="461"/>
      <c r="S68" s="461"/>
    </row>
    <row r="69" spans="1:19" ht="12.75" customHeight="1" x14ac:dyDescent="0.45">
      <c r="A69" s="461"/>
      <c r="B69" s="696"/>
      <c r="C69" s="461"/>
      <c r="D69" s="461" t="s">
        <v>562</v>
      </c>
      <c r="E69" s="461"/>
      <c r="F69" s="461"/>
      <c r="G69" s="461"/>
      <c r="H69" s="461"/>
      <c r="I69" s="461"/>
      <c r="J69" s="693" t="s">
        <v>747</v>
      </c>
      <c r="K69" s="693"/>
      <c r="L69" s="1875">
        <f>L68*$L$26*1000</f>
        <v>27524605.325091101</v>
      </c>
      <c r="M69" s="1876"/>
      <c r="N69" s="1877">
        <f>N68*$L$26*1000</f>
        <v>6931777.4783512931</v>
      </c>
      <c r="O69" s="1878"/>
      <c r="P69" s="461"/>
      <c r="Q69" s="461"/>
      <c r="R69" s="461"/>
      <c r="S69" s="461"/>
    </row>
    <row r="70" spans="1:19" ht="12.75" customHeight="1" x14ac:dyDescent="0.45">
      <c r="A70" s="461"/>
      <c r="B70" s="696"/>
      <c r="C70" s="461"/>
      <c r="D70" s="1870" t="s">
        <v>563</v>
      </c>
      <c r="E70" s="1870"/>
      <c r="F70" s="1870"/>
      <c r="G70" s="1870"/>
      <c r="H70" s="1870"/>
      <c r="I70" s="1870"/>
      <c r="J70" s="693" t="s">
        <v>725</v>
      </c>
      <c r="K70" s="693"/>
      <c r="L70" s="1875">
        <f>'VII. Instrument Costing'!I28</f>
        <v>200588622.92974377</v>
      </c>
      <c r="M70" s="1876"/>
      <c r="N70" s="1877">
        <f>'VII. Instrument Costing'!I29</f>
        <v>50516099.410529718</v>
      </c>
      <c r="O70" s="1878"/>
      <c r="P70" s="461"/>
      <c r="Q70" s="461"/>
      <c r="R70" s="461"/>
      <c r="S70" s="461"/>
    </row>
    <row r="71" spans="1:19" ht="12.75" customHeight="1" x14ac:dyDescent="0.45">
      <c r="A71" s="461"/>
      <c r="B71" s="696"/>
      <c r="C71" s="461"/>
      <c r="D71" s="461"/>
      <c r="E71" s="461"/>
      <c r="F71" s="461"/>
      <c r="G71" s="461"/>
      <c r="H71" s="461"/>
      <c r="I71" s="461"/>
      <c r="J71" s="693"/>
      <c r="K71" s="693"/>
      <c r="L71" s="1830"/>
      <c r="M71" s="1831"/>
      <c r="N71" s="1832"/>
      <c r="O71" s="1833"/>
      <c r="P71" s="461"/>
      <c r="Q71" s="461"/>
      <c r="R71" s="461"/>
      <c r="S71" s="461"/>
    </row>
    <row r="72" spans="1:19" ht="12.75" customHeight="1" x14ac:dyDescent="0.45">
      <c r="A72" s="461"/>
      <c r="B72" s="696"/>
      <c r="C72" s="461" t="s">
        <v>626</v>
      </c>
      <c r="D72" s="461"/>
      <c r="E72" s="461"/>
      <c r="F72" s="461"/>
      <c r="G72" s="461"/>
      <c r="H72" s="461"/>
      <c r="I72" s="461"/>
      <c r="J72" s="693" t="s">
        <v>727</v>
      </c>
      <c r="K72" s="693"/>
      <c r="L72" s="1871"/>
      <c r="M72" s="1872"/>
      <c r="N72" s="1873">
        <f>N68-L68</f>
        <v>-1.4511879959005734E-2</v>
      </c>
      <c r="O72" s="1874"/>
      <c r="P72" s="461"/>
      <c r="Q72" s="461"/>
      <c r="R72" s="461"/>
      <c r="S72" s="461"/>
    </row>
    <row r="73" spans="1:19" ht="12.75" customHeight="1" x14ac:dyDescent="0.45">
      <c r="A73" s="461"/>
      <c r="B73" s="696"/>
      <c r="C73" s="461"/>
      <c r="D73" s="461" t="s">
        <v>630</v>
      </c>
      <c r="E73" s="461"/>
      <c r="F73" s="461"/>
      <c r="G73" s="461"/>
      <c r="H73" s="461"/>
      <c r="I73" s="461"/>
      <c r="J73" s="693" t="s">
        <v>747</v>
      </c>
      <c r="K73" s="693"/>
      <c r="L73" s="1830"/>
      <c r="M73" s="1831"/>
      <c r="N73" s="1877">
        <f>N72*$L$26*1000</f>
        <v>-20592827.846739814</v>
      </c>
      <c r="O73" s="1878"/>
      <c r="P73" s="461"/>
      <c r="Q73" s="461"/>
      <c r="R73" s="461"/>
      <c r="S73" s="461"/>
    </row>
    <row r="74" spans="1:19" ht="12.75" customHeight="1" x14ac:dyDescent="0.45">
      <c r="A74" s="461"/>
      <c r="B74" s="696"/>
      <c r="C74" s="461"/>
      <c r="D74" s="1870" t="s">
        <v>563</v>
      </c>
      <c r="E74" s="1870"/>
      <c r="F74" s="1870"/>
      <c r="G74" s="1870"/>
      <c r="H74" s="1870"/>
      <c r="I74" s="1870"/>
      <c r="J74" s="693" t="s">
        <v>725</v>
      </c>
      <c r="K74" s="693"/>
      <c r="L74" s="1834"/>
      <c r="M74" s="1835"/>
      <c r="N74" s="1879">
        <f>N70-L70</f>
        <v>-150072523.51921403</v>
      </c>
      <c r="O74" s="1880"/>
      <c r="P74" s="461"/>
      <c r="Q74" s="461"/>
      <c r="R74" s="461"/>
      <c r="S74" s="461"/>
    </row>
    <row r="75" spans="1:19" ht="12.75" customHeight="1" x14ac:dyDescent="0.45">
      <c r="A75" s="461"/>
      <c r="B75" s="461"/>
      <c r="C75" s="461"/>
      <c r="D75" s="461"/>
      <c r="E75" s="461"/>
      <c r="F75" s="461"/>
      <c r="G75" s="461"/>
      <c r="H75" s="461"/>
      <c r="I75" s="461"/>
      <c r="J75" s="693"/>
      <c r="K75" s="693"/>
      <c r="L75" s="693"/>
      <c r="M75" s="461"/>
      <c r="N75" s="461"/>
      <c r="O75" s="461"/>
      <c r="P75" s="461"/>
      <c r="Q75" s="461"/>
      <c r="R75" s="461"/>
      <c r="S75" s="461"/>
    </row>
    <row r="76" spans="1:19" ht="12.75" customHeight="1" x14ac:dyDescent="0.45">
      <c r="A76" s="461"/>
      <c r="B76" s="461"/>
      <c r="C76" s="461"/>
      <c r="D76" s="461"/>
      <c r="E76" s="461"/>
      <c r="F76" s="461"/>
      <c r="G76" s="461"/>
      <c r="H76" s="461"/>
      <c r="I76" s="461"/>
      <c r="J76" s="693"/>
      <c r="K76" s="693"/>
      <c r="L76" s="693"/>
      <c r="M76" s="461"/>
      <c r="N76" s="461"/>
      <c r="O76" s="461"/>
      <c r="P76" s="461"/>
      <c r="Q76" s="461"/>
      <c r="R76" s="461"/>
      <c r="S76" s="461"/>
    </row>
    <row r="77" spans="1:19" ht="12.75" customHeight="1" x14ac:dyDescent="0.45">
      <c r="A77" s="461"/>
      <c r="B77" s="702" t="s">
        <v>127</v>
      </c>
      <c r="C77" s="698"/>
      <c r="D77" s="698"/>
      <c r="E77" s="698"/>
      <c r="F77" s="698"/>
      <c r="G77" s="698"/>
      <c r="H77" s="698"/>
      <c r="I77" s="698"/>
      <c r="J77" s="703"/>
      <c r="K77" s="703"/>
      <c r="L77" s="703"/>
      <c r="M77" s="698"/>
      <c r="N77" s="698"/>
      <c r="O77" s="698"/>
      <c r="P77" s="698"/>
      <c r="Q77" s="698"/>
      <c r="R77" s="698"/>
      <c r="S77" s="461"/>
    </row>
    <row r="78" spans="1:19" ht="12.75" customHeight="1" x14ac:dyDescent="0.45">
      <c r="A78" s="461"/>
      <c r="B78" s="461"/>
      <c r="C78" s="461"/>
      <c r="D78" s="461"/>
      <c r="E78" s="461"/>
      <c r="F78" s="461"/>
      <c r="G78" s="461"/>
      <c r="H78" s="461"/>
      <c r="I78" s="696"/>
      <c r="J78" s="697"/>
      <c r="K78" s="697"/>
      <c r="L78" s="697"/>
      <c r="M78" s="461"/>
      <c r="N78" s="461"/>
      <c r="O78" s="461"/>
      <c r="P78" s="461"/>
      <c r="Q78" s="461"/>
      <c r="R78" s="461"/>
      <c r="S78" s="461"/>
    </row>
    <row r="79" spans="1:19" ht="12.75" customHeight="1" x14ac:dyDescent="0.45">
      <c r="A79" s="461"/>
      <c r="B79" s="461"/>
      <c r="C79" s="461"/>
      <c r="D79" s="461"/>
      <c r="E79" s="461"/>
      <c r="F79" s="461"/>
      <c r="G79" s="461"/>
      <c r="H79" s="461"/>
      <c r="I79" s="461"/>
      <c r="J79" s="693"/>
      <c r="K79" s="693"/>
      <c r="L79" s="1917" t="s">
        <v>412</v>
      </c>
      <c r="M79" s="1918"/>
      <c r="N79" s="1918"/>
      <c r="O79" s="1919"/>
      <c r="P79" s="461"/>
      <c r="Q79" s="461"/>
      <c r="R79" s="461"/>
      <c r="S79" s="461"/>
    </row>
    <row r="80" spans="1:19" ht="12.75" customHeight="1" x14ac:dyDescent="0.45">
      <c r="A80" s="461"/>
      <c r="B80" s="696"/>
      <c r="C80" s="461"/>
      <c r="D80" s="461"/>
      <c r="E80" s="461"/>
      <c r="F80" s="461"/>
      <c r="G80" s="461"/>
      <c r="H80" s="461"/>
      <c r="I80" s="461"/>
      <c r="J80" s="693"/>
      <c r="K80" s="693"/>
      <c r="L80" s="1920" t="s">
        <v>170</v>
      </c>
      <c r="M80" s="1921"/>
      <c r="N80" s="1922" t="s">
        <v>171</v>
      </c>
      <c r="O80" s="1923"/>
      <c r="P80" s="461"/>
      <c r="Q80" s="461"/>
      <c r="R80" s="461"/>
      <c r="S80" s="461"/>
    </row>
    <row r="81" spans="1:19" ht="12.75" customHeight="1" x14ac:dyDescent="0.45">
      <c r="A81" s="461"/>
      <c r="B81" s="461" t="s">
        <v>377</v>
      </c>
      <c r="C81" s="461"/>
      <c r="D81" s="461"/>
      <c r="E81" s="461"/>
      <c r="F81" s="461"/>
      <c r="G81" s="461"/>
      <c r="H81" s="461"/>
      <c r="I81" s="693"/>
      <c r="J81" s="693" t="s">
        <v>725</v>
      </c>
      <c r="K81" s="461"/>
      <c r="L81" s="1960">
        <f>L82+L83</f>
        <v>531583715.87339938</v>
      </c>
      <c r="M81" s="1961"/>
      <c r="N81" s="1962">
        <f>N82+N83</f>
        <v>531583715.87339938</v>
      </c>
      <c r="O81" s="1963"/>
      <c r="P81" s="461"/>
      <c r="Q81" s="461"/>
      <c r="R81" s="461"/>
      <c r="S81" s="461"/>
    </row>
    <row r="82" spans="1:19" ht="12.75" customHeight="1" outlineLevel="1" x14ac:dyDescent="0.45">
      <c r="A82" s="461"/>
      <c r="B82" s="461"/>
      <c r="C82" s="461" t="s">
        <v>443</v>
      </c>
      <c r="D82" s="461"/>
      <c r="E82" s="461"/>
      <c r="F82" s="461"/>
      <c r="G82" s="461"/>
      <c r="H82" s="461"/>
      <c r="I82" s="693"/>
      <c r="J82" s="693" t="s">
        <v>725</v>
      </c>
      <c r="K82" s="461"/>
      <c r="L82" s="1881">
        <f>$L$23*$L$29</f>
        <v>531583715.87339938</v>
      </c>
      <c r="M82" s="1889"/>
      <c r="N82" s="1883">
        <f>$L$23*$L$29</f>
        <v>531583715.87339938</v>
      </c>
      <c r="O82" s="1889"/>
      <c r="P82" s="461"/>
      <c r="Q82" s="461"/>
      <c r="R82" s="461"/>
      <c r="S82" s="461"/>
    </row>
    <row r="83" spans="1:19" ht="12.75" customHeight="1" outlineLevel="1" x14ac:dyDescent="0.45">
      <c r="A83" s="461"/>
      <c r="B83" s="461"/>
      <c r="C83" s="461" t="s">
        <v>444</v>
      </c>
      <c r="D83" s="461"/>
      <c r="E83" s="461"/>
      <c r="F83" s="461"/>
      <c r="G83" s="461"/>
      <c r="H83" s="461"/>
      <c r="I83" s="693"/>
      <c r="J83" s="693" t="s">
        <v>725</v>
      </c>
      <c r="K83" s="461"/>
      <c r="L83" s="1881">
        <f>'III. Inputs, Renewable Energy'!U293</f>
        <v>0</v>
      </c>
      <c r="M83" s="1889"/>
      <c r="N83" s="1883">
        <f>'III. Inputs, Renewable Energy'!U293</f>
        <v>0</v>
      </c>
      <c r="O83" s="1889"/>
      <c r="P83" s="461"/>
      <c r="Q83" s="461"/>
      <c r="R83" s="461"/>
      <c r="S83" s="461"/>
    </row>
    <row r="84" spans="1:19" ht="12.75" customHeight="1" x14ac:dyDescent="0.45">
      <c r="A84" s="461"/>
      <c r="B84" s="461"/>
      <c r="C84" s="461"/>
      <c r="D84" s="461"/>
      <c r="E84" s="461"/>
      <c r="F84" s="461"/>
      <c r="G84" s="461"/>
      <c r="H84" s="461"/>
      <c r="I84" s="693"/>
      <c r="J84" s="461"/>
      <c r="K84" s="461"/>
      <c r="L84" s="1881"/>
      <c r="M84" s="1882"/>
      <c r="N84" s="1883"/>
      <c r="O84" s="1884"/>
      <c r="P84" s="461"/>
      <c r="Q84" s="461"/>
      <c r="R84" s="461"/>
      <c r="S84" s="461"/>
    </row>
    <row r="85" spans="1:19" ht="12.75" customHeight="1" x14ac:dyDescent="0.45">
      <c r="A85" s="461"/>
      <c r="B85" s="461" t="s">
        <v>128</v>
      </c>
      <c r="C85" s="461"/>
      <c r="D85" s="461"/>
      <c r="E85" s="461"/>
      <c r="F85" s="461"/>
      <c r="G85" s="461"/>
      <c r="H85" s="461"/>
      <c r="I85" s="693"/>
      <c r="J85" s="693" t="s">
        <v>725</v>
      </c>
      <c r="K85" s="461"/>
      <c r="L85" s="1881">
        <f>L81*'III. Inputs, Renewable Energy'!S33</f>
        <v>159475114.76201981</v>
      </c>
      <c r="M85" s="1882"/>
      <c r="N85" s="1883">
        <f>N81*'III. Inputs, Renewable Energy'!V33</f>
        <v>146185521.86518484</v>
      </c>
      <c r="O85" s="1884"/>
      <c r="P85" s="461"/>
      <c r="Q85" s="700"/>
      <c r="R85" s="461"/>
      <c r="S85" s="461"/>
    </row>
    <row r="86" spans="1:19" ht="12.75" customHeight="1" x14ac:dyDescent="0.45">
      <c r="A86" s="461"/>
      <c r="B86" s="461"/>
      <c r="C86" s="461"/>
      <c r="D86" s="461"/>
      <c r="E86" s="461"/>
      <c r="F86" s="461"/>
      <c r="G86" s="461"/>
      <c r="H86" s="461"/>
      <c r="I86" s="697"/>
      <c r="J86" s="461"/>
      <c r="K86" s="461"/>
      <c r="L86" s="1930"/>
      <c r="M86" s="1931"/>
      <c r="N86" s="1932"/>
      <c r="O86" s="1933">
        <f>SUM(O85)</f>
        <v>0</v>
      </c>
      <c r="P86" s="461"/>
      <c r="Q86" s="1737"/>
      <c r="R86" s="461"/>
      <c r="S86" s="461"/>
    </row>
    <row r="87" spans="1:19" s="474" customFormat="1" ht="12.75" customHeight="1" x14ac:dyDescent="0.45">
      <c r="A87" s="696"/>
      <c r="B87" s="461" t="s">
        <v>251</v>
      </c>
      <c r="C87" s="696"/>
      <c r="D87" s="696"/>
      <c r="E87" s="696"/>
      <c r="F87" s="696"/>
      <c r="G87" s="696"/>
      <c r="H87" s="696"/>
      <c r="I87" s="697"/>
      <c r="J87" s="696"/>
      <c r="K87" s="696"/>
      <c r="L87" s="1930"/>
      <c r="M87" s="1931"/>
      <c r="N87" s="1932"/>
      <c r="O87" s="1933"/>
      <c r="P87" s="696"/>
      <c r="Q87" s="696"/>
      <c r="R87" s="696"/>
      <c r="S87" s="696"/>
    </row>
    <row r="88" spans="1:19" s="474" customFormat="1" ht="12.75" customHeight="1" x14ac:dyDescent="0.45">
      <c r="A88" s="696"/>
      <c r="B88" s="696"/>
      <c r="C88" s="461" t="s">
        <v>153</v>
      </c>
      <c r="D88" s="461"/>
      <c r="E88" s="461"/>
      <c r="F88" s="461"/>
      <c r="G88" s="461"/>
      <c r="H88" s="461"/>
      <c r="I88" s="697"/>
      <c r="J88" s="696"/>
      <c r="K88" s="696"/>
      <c r="L88" s="1515"/>
      <c r="M88" s="1516"/>
      <c r="N88" s="1517"/>
      <c r="O88" s="1518"/>
      <c r="P88" s="696"/>
      <c r="Q88" s="696"/>
      <c r="R88" s="696"/>
      <c r="S88" s="696"/>
    </row>
    <row r="89" spans="1:19" ht="12.75" customHeight="1" x14ac:dyDescent="0.45">
      <c r="A89" s="461"/>
      <c r="B89" s="461"/>
      <c r="C89" s="461"/>
      <c r="D89" s="461" t="s">
        <v>186</v>
      </c>
      <c r="E89" s="461"/>
      <c r="F89" s="461"/>
      <c r="G89" s="461"/>
      <c r="H89" s="461"/>
      <c r="I89" s="693"/>
      <c r="J89" s="693" t="s">
        <v>725</v>
      </c>
      <c r="K89" s="693"/>
      <c r="L89" s="1881">
        <f>L$81*'III. Inputs, Renewable Energy'!S$34*SUM('III. Inputs, Renewable Energy'!S36)</f>
        <v>0</v>
      </c>
      <c r="M89" s="1882"/>
      <c r="N89" s="1883">
        <f>N$81*'III. Inputs, Renewable Energy'!V$34*SUM('III. Inputs, Renewable Energy'!V36)</f>
        <v>115619458.20246436</v>
      </c>
      <c r="O89" s="1884"/>
      <c r="P89" s="1737"/>
      <c r="Q89" s="461"/>
      <c r="R89" s="461"/>
      <c r="S89" s="461"/>
    </row>
    <row r="90" spans="1:19" ht="12.75" customHeight="1" x14ac:dyDescent="0.45">
      <c r="A90" s="461"/>
      <c r="B90" s="461"/>
      <c r="C90" s="461"/>
      <c r="D90" s="461" t="s">
        <v>253</v>
      </c>
      <c r="E90" s="461"/>
      <c r="F90" s="461"/>
      <c r="G90" s="461"/>
      <c r="H90" s="461"/>
      <c r="I90" s="693"/>
      <c r="J90" s="693" t="s">
        <v>725</v>
      </c>
      <c r="K90" s="693"/>
      <c r="L90" s="1881">
        <f>L$81*'III. Inputs, Renewable Energy'!S$34*SUM('III. Inputs, Renewable Energy'!S37)</f>
        <v>0</v>
      </c>
      <c r="M90" s="1882"/>
      <c r="N90" s="1883">
        <f>N$81*'III. Inputs, Renewable Energy'!V$34*SUM('III. Inputs, Renewable Energy'!V37)</f>
        <v>0</v>
      </c>
      <c r="O90" s="1884"/>
      <c r="P90" s="461"/>
      <c r="Q90" s="461"/>
      <c r="R90" s="461"/>
      <c r="S90" s="461"/>
    </row>
    <row r="91" spans="1:19" ht="12.75" customHeight="1" x14ac:dyDescent="0.45">
      <c r="A91" s="461"/>
      <c r="B91" s="461"/>
      <c r="C91" s="461"/>
      <c r="D91" s="461" t="s">
        <v>254</v>
      </c>
      <c r="E91" s="461"/>
      <c r="F91" s="461"/>
      <c r="G91" s="461"/>
      <c r="H91" s="461"/>
      <c r="I91" s="693"/>
      <c r="J91" s="693" t="s">
        <v>725</v>
      </c>
      <c r="K91" s="693"/>
      <c r="L91" s="1881">
        <f>L$81*'III. Inputs, Renewable Energy'!S$34*'III. Inputs, Renewable Energy'!S38</f>
        <v>372108601.11137956</v>
      </c>
      <c r="M91" s="1882"/>
      <c r="N91" s="1883">
        <f>N$81*'III. Inputs, Renewable Energy'!V$34*'III. Inputs, Renewable Energy'!V38</f>
        <v>269778735.80575013</v>
      </c>
      <c r="O91" s="1884"/>
      <c r="P91" s="461"/>
      <c r="Q91" s="461"/>
      <c r="R91" s="461"/>
      <c r="S91" s="461"/>
    </row>
    <row r="92" spans="1:19" ht="12.75" customHeight="1" x14ac:dyDescent="0.45">
      <c r="A92" s="461"/>
      <c r="B92" s="461" t="s">
        <v>129</v>
      </c>
      <c r="C92" s="461"/>
      <c r="D92" s="461"/>
      <c r="E92" s="461"/>
      <c r="F92" s="461"/>
      <c r="G92" s="461"/>
      <c r="H92" s="461"/>
      <c r="I92" s="697"/>
      <c r="J92" s="693" t="s">
        <v>725</v>
      </c>
      <c r="K92" s="461"/>
      <c r="L92" s="1885">
        <f>SUM(L89:M91)</f>
        <v>372108601.11137956</v>
      </c>
      <c r="M92" s="1886"/>
      <c r="N92" s="1887">
        <f>SUM(N89:O91)</f>
        <v>385398194.00821447</v>
      </c>
      <c r="O92" s="1888"/>
      <c r="P92" s="461"/>
      <c r="Q92" s="461"/>
      <c r="R92" s="461"/>
      <c r="S92" s="461"/>
    </row>
    <row r="93" spans="1:19" ht="12.75" customHeight="1" x14ac:dyDescent="0.45">
      <c r="A93" s="461"/>
      <c r="B93" s="696"/>
      <c r="C93" s="461"/>
      <c r="D93" s="461"/>
      <c r="E93" s="461"/>
      <c r="F93" s="461"/>
      <c r="G93" s="461"/>
      <c r="H93" s="461"/>
      <c r="I93" s="697"/>
      <c r="J93" s="461"/>
      <c r="K93" s="461"/>
      <c r="L93" s="1519"/>
      <c r="M93" s="1519"/>
      <c r="N93" s="1519"/>
      <c r="O93" s="1519"/>
      <c r="P93" s="461"/>
      <c r="Q93" s="461"/>
      <c r="R93" s="461"/>
      <c r="S93" s="461"/>
    </row>
    <row r="94" spans="1:19" ht="12.75" customHeight="1" x14ac:dyDescent="0.45">
      <c r="A94" s="461"/>
      <c r="B94" s="696"/>
      <c r="C94" s="461"/>
      <c r="D94" s="461"/>
      <c r="E94" s="461"/>
      <c r="F94" s="461"/>
      <c r="G94" s="461"/>
      <c r="H94" s="461"/>
      <c r="I94" s="697"/>
      <c r="J94" s="461"/>
      <c r="K94" s="461"/>
      <c r="L94" s="1519"/>
      <c r="M94" s="1519"/>
      <c r="N94" s="1519"/>
      <c r="O94" s="1519"/>
      <c r="P94" s="461"/>
      <c r="Q94" s="461"/>
      <c r="R94" s="461"/>
      <c r="S94" s="461"/>
    </row>
    <row r="95" spans="1:19" ht="12.75" customHeight="1" x14ac:dyDescent="0.45">
      <c r="A95" s="461"/>
      <c r="B95" s="702" t="s">
        <v>130</v>
      </c>
      <c r="C95" s="698"/>
      <c r="D95" s="698"/>
      <c r="E95" s="698"/>
      <c r="F95" s="698"/>
      <c r="G95" s="698"/>
      <c r="H95" s="698"/>
      <c r="I95" s="698"/>
      <c r="J95" s="703"/>
      <c r="K95" s="703"/>
      <c r="L95" s="703"/>
      <c r="M95" s="698"/>
      <c r="N95" s="698"/>
      <c r="O95" s="698"/>
      <c r="P95" s="698"/>
      <c r="Q95" s="698"/>
      <c r="R95" s="698"/>
      <c r="S95" s="461"/>
    </row>
    <row r="96" spans="1:19" ht="12.75" customHeight="1" x14ac:dyDescent="0.45">
      <c r="A96" s="461"/>
      <c r="B96" s="704"/>
      <c r="C96" s="705"/>
      <c r="D96" s="705"/>
      <c r="E96" s="705"/>
      <c r="F96" s="705"/>
      <c r="G96" s="705"/>
      <c r="H96" s="705"/>
      <c r="I96" s="697"/>
      <c r="J96" s="461"/>
      <c r="K96" s="461"/>
      <c r="L96" s="1519"/>
      <c r="M96" s="1519"/>
      <c r="N96" s="1519"/>
      <c r="O96" s="1519"/>
      <c r="P96" s="461"/>
      <c r="Q96" s="461"/>
      <c r="R96" s="461"/>
      <c r="S96" s="461"/>
    </row>
    <row r="97" spans="1:19" ht="12.75" customHeight="1" x14ac:dyDescent="0.45">
      <c r="A97" s="461"/>
      <c r="B97" s="461"/>
      <c r="C97" s="461"/>
      <c r="D97" s="461"/>
      <c r="E97" s="461"/>
      <c r="F97" s="461"/>
      <c r="G97" s="461"/>
      <c r="H97" s="461"/>
      <c r="I97" s="693"/>
      <c r="J97" s="461"/>
      <c r="K97" s="461"/>
      <c r="L97" s="1917" t="s">
        <v>412</v>
      </c>
      <c r="M97" s="1918"/>
      <c r="N97" s="1918"/>
      <c r="O97" s="1919"/>
      <c r="P97" s="461"/>
      <c r="Q97" s="461"/>
      <c r="R97" s="461"/>
      <c r="S97" s="461"/>
    </row>
    <row r="98" spans="1:19" ht="12.75" customHeight="1" x14ac:dyDescent="0.45">
      <c r="A98" s="461"/>
      <c r="B98" s="461"/>
      <c r="C98" s="461"/>
      <c r="D98" s="461"/>
      <c r="E98" s="461"/>
      <c r="F98" s="461"/>
      <c r="G98" s="461"/>
      <c r="H98" s="461"/>
      <c r="I98" s="697"/>
      <c r="J98" s="461"/>
      <c r="K98" s="461"/>
      <c r="L98" s="1920" t="s">
        <v>170</v>
      </c>
      <c r="M98" s="1921"/>
      <c r="N98" s="1922" t="s">
        <v>171</v>
      </c>
      <c r="O98" s="1923"/>
      <c r="P98" s="461"/>
      <c r="Q98" s="461"/>
      <c r="R98" s="461"/>
      <c r="S98" s="461"/>
    </row>
    <row r="99" spans="1:19" ht="12.75" customHeight="1" x14ac:dyDescent="0.45">
      <c r="A99" s="461"/>
      <c r="B99" s="696" t="s">
        <v>257</v>
      </c>
      <c r="C99" s="461"/>
      <c r="D99" s="461"/>
      <c r="E99" s="461"/>
      <c r="F99" s="461"/>
      <c r="G99" s="461"/>
      <c r="H99" s="461"/>
      <c r="I99" s="697"/>
      <c r="J99" s="461"/>
      <c r="K99" s="461"/>
      <c r="L99" s="480"/>
      <c r="M99" s="481"/>
      <c r="N99" s="482"/>
      <c r="O99" s="483"/>
      <c r="P99" s="461"/>
      <c r="Q99" s="461"/>
      <c r="R99" s="461"/>
      <c r="S99" s="461"/>
    </row>
    <row r="100" spans="1:19" ht="12.75" customHeight="1" x14ac:dyDescent="0.45">
      <c r="A100" s="461"/>
      <c r="B100" s="696"/>
      <c r="C100" s="461" t="s">
        <v>258</v>
      </c>
      <c r="D100" s="461"/>
      <c r="E100" s="461"/>
      <c r="F100" s="461"/>
      <c r="G100" s="461"/>
      <c r="H100" s="461"/>
      <c r="I100" s="697"/>
      <c r="J100" s="461"/>
      <c r="K100" s="461"/>
      <c r="L100" s="484"/>
      <c r="M100" s="485"/>
      <c r="N100" s="486"/>
      <c r="O100" s="487"/>
      <c r="P100" s="461"/>
      <c r="Q100" s="461"/>
      <c r="R100" s="461"/>
      <c r="S100" s="461"/>
    </row>
    <row r="101" spans="1:19" ht="12.75" customHeight="1" x14ac:dyDescent="0.45">
      <c r="A101" s="461"/>
      <c r="B101" s="461"/>
      <c r="C101" s="461"/>
      <c r="D101" s="461" t="str">
        <f>CONCATENATE('III. Inputs, Renewable Energy'!D93," Instruments")</f>
        <v>Power Market Risk Instruments</v>
      </c>
      <c r="E101" s="461"/>
      <c r="F101" s="461"/>
      <c r="G101" s="461"/>
      <c r="H101" s="461"/>
      <c r="I101" s="693"/>
      <c r="J101" s="693" t="s">
        <v>725</v>
      </c>
      <c r="K101" s="693"/>
      <c r="L101" s="1881">
        <f>IF('III. Inputs, Renewable Energy'!S112="N",0,IF('III. Inputs, Renewable Energy'!Q176="Lump Sum", 'III. Inputs, Renewable Energy'!R176, 'III. Inputs, Renewable Energy'!U176))</f>
        <v>3968386.095983665</v>
      </c>
      <c r="M101" s="1882"/>
      <c r="N101" s="1883">
        <f>IF('III. Inputs, Renewable Energy'!V112="N",0,IF('III. Inputs, Renewable Energy'!Q176="Lump Sum", 'III. Inputs, Renewable Energy'!V176, 'III. Inputs, Renewable Energy'!Y176))</f>
        <v>3968386.095983665</v>
      </c>
      <c r="O101" s="1884"/>
      <c r="P101" s="461"/>
      <c r="Q101" s="701"/>
      <c r="R101" s="461"/>
      <c r="S101" s="461"/>
    </row>
    <row r="102" spans="1:19" ht="12.75" customHeight="1" x14ac:dyDescent="0.45">
      <c r="A102" s="461"/>
      <c r="B102" s="461"/>
      <c r="C102" s="461"/>
      <c r="D102" s="461" t="str">
        <f>CONCATENATE('III. Inputs, Renewable Energy'!D94," Instruments")</f>
        <v>Permits Risk Instruments</v>
      </c>
      <c r="E102" s="461"/>
      <c r="F102" s="461"/>
      <c r="G102" s="461"/>
      <c r="H102" s="461"/>
      <c r="I102" s="693"/>
      <c r="J102" s="693" t="s">
        <v>725</v>
      </c>
      <c r="K102" s="693"/>
      <c r="L102" s="1881">
        <f>IF('III. Inputs, Renewable Energy'!S113="N",0,IF('III. Inputs, Renewable Energy'!Q177="Lump Sum", 'III. Inputs, Renewable Energy'!R177, 'III. Inputs, Renewable Energy'!U177))</f>
        <v>1015844.3921582524</v>
      </c>
      <c r="M102" s="1882"/>
      <c r="N102" s="1883">
        <f>IF('III. Inputs, Renewable Energy'!V113="N",0,IF('III. Inputs, Renewable Energy'!Q177="Lump Sum", 'III. Inputs, Renewable Energy'!V177, 'III. Inputs, Renewable Energy'!Y177))</f>
        <v>1015844.3921582524</v>
      </c>
      <c r="O102" s="1884"/>
      <c r="P102" s="461"/>
      <c r="Q102" s="461"/>
      <c r="R102" s="461"/>
      <c r="S102" s="461"/>
    </row>
    <row r="103" spans="1:19" ht="12.75" customHeight="1" x14ac:dyDescent="0.45">
      <c r="A103" s="461"/>
      <c r="B103" s="461"/>
      <c r="C103" s="461"/>
      <c r="D103" s="461" t="str">
        <f>CONCATENATE('III. Inputs, Renewable Energy'!D95," Instruments")</f>
        <v>Social Acceptance Risk Instruments</v>
      </c>
      <c r="E103" s="461"/>
      <c r="F103" s="461"/>
      <c r="G103" s="461"/>
      <c r="H103" s="461"/>
      <c r="I103" s="693"/>
      <c r="J103" s="693" t="s">
        <v>725</v>
      </c>
      <c r="K103" s="693"/>
      <c r="L103" s="1881">
        <f>IF('III. Inputs, Renewable Energy'!S114="N",0,IF('III. Inputs, Renewable Energy'!Q178="Lump Sum", 'III. Inputs, Renewable Energy'!R178, 'III. Inputs, Renewable Energy'!U178))</f>
        <v>0</v>
      </c>
      <c r="M103" s="1882"/>
      <c r="N103" s="1883">
        <f>IF('III. Inputs, Renewable Energy'!V114="N",0,IF('III. Inputs, Renewable Energy'!Q178="Lump Sum", 'III. Inputs, Renewable Energy'!V178, 'III. Inputs, Renewable Energy'!Y178))</f>
        <v>571705.0226114149</v>
      </c>
      <c r="O103" s="1884"/>
      <c r="P103" s="461"/>
      <c r="Q103" s="461"/>
      <c r="R103" s="461"/>
      <c r="S103" s="461"/>
    </row>
    <row r="104" spans="1:19" ht="12.75" customHeight="1" x14ac:dyDescent="0.45">
      <c r="A104" s="461"/>
      <c r="B104" s="461"/>
      <c r="C104" s="461"/>
      <c r="D104" s="461" t="str">
        <f>CONCATENATE('III. Inputs, Renewable Energy'!D96," Instruments")</f>
        <v>Developer Risk Instruments</v>
      </c>
      <c r="E104" s="461"/>
      <c r="F104" s="461"/>
      <c r="G104" s="461"/>
      <c r="H104" s="461"/>
      <c r="I104" s="693"/>
      <c r="J104" s="693" t="s">
        <v>725</v>
      </c>
      <c r="K104" s="693"/>
      <c r="L104" s="1881">
        <f>IF('III. Inputs, Renewable Energy'!S115="N",0,IF('III. Inputs, Renewable Energy'!Q179="Lump Sum", 'III. Inputs, Renewable Energy'!R179, 'III. Inputs, Renewable Energy'!U179))</f>
        <v>0</v>
      </c>
      <c r="M104" s="1882"/>
      <c r="N104" s="1883">
        <f>IF('III. Inputs, Renewable Energy'!V115="N",0,IF('III. Inputs, Renewable Energy'!Q179="Lump Sum", 'III. Inputs, Renewable Energy'!V179, 'III. Inputs, Renewable Energy'!Y179))</f>
        <v>1130747.1109255655</v>
      </c>
      <c r="O104" s="1884"/>
      <c r="P104" s="461"/>
      <c r="Q104" s="461"/>
      <c r="R104" s="461"/>
      <c r="S104" s="461"/>
    </row>
    <row r="105" spans="1:19" ht="12.75" customHeight="1" x14ac:dyDescent="0.45">
      <c r="A105" s="461"/>
      <c r="B105" s="461"/>
      <c r="C105" s="461"/>
      <c r="D105" s="461" t="str">
        <f>CONCATENATE('III. Inputs, Renewable Energy'!D97," Instruments")</f>
        <v>Grid/Transmission Risk Instruments</v>
      </c>
      <c r="E105" s="461"/>
      <c r="F105" s="461"/>
      <c r="G105" s="461"/>
      <c r="H105" s="461"/>
      <c r="I105" s="693"/>
      <c r="J105" s="693" t="s">
        <v>725</v>
      </c>
      <c r="K105" s="693"/>
      <c r="L105" s="1881">
        <f>IF('III. Inputs, Renewable Energy'!S116="N",0,IF('III. Inputs, Renewable Energy'!Q180="Lump Sum", 'III. Inputs, Renewable Energy'!R180, 'III. Inputs, Renewable Energy'!U180))</f>
        <v>0</v>
      </c>
      <c r="M105" s="1882"/>
      <c r="N105" s="1883">
        <f>IF('III. Inputs, Renewable Energy'!V116="N",0,IF('III. Inputs, Renewable Energy'!Q180="Lump Sum", 'III. Inputs, Renewable Energy'!V180, 'III. Inputs, Renewable Energy'!Y180))</f>
        <v>981622.51056798222</v>
      </c>
      <c r="O105" s="1884"/>
      <c r="P105" s="461"/>
      <c r="Q105" s="461"/>
      <c r="R105" s="461"/>
      <c r="S105" s="461"/>
    </row>
    <row r="106" spans="1:19" ht="12.75" customHeight="1" x14ac:dyDescent="0.45">
      <c r="A106" s="461"/>
      <c r="B106" s="461"/>
      <c r="C106" s="461"/>
      <c r="D106" s="461" t="str">
        <f>CONCATENATE('III. Inputs, Renewable Energy'!D98," Instruments")</f>
        <v>Counterparty Risk Instruments</v>
      </c>
      <c r="E106" s="461"/>
      <c r="F106" s="461"/>
      <c r="G106" s="461"/>
      <c r="H106" s="461"/>
      <c r="I106" s="693"/>
      <c r="J106" s="693" t="s">
        <v>725</v>
      </c>
      <c r="K106" s="693"/>
      <c r="L106" s="1881">
        <f>IF('III. Inputs, Renewable Energy'!S117="N",0,IF('III. Inputs, Renewable Energy'!Q181="Lump Sum", 'III. Inputs, Renewable Energy'!R181, 'III. Inputs, Renewable Energy'!U181))</f>
        <v>0</v>
      </c>
      <c r="M106" s="1882"/>
      <c r="N106" s="1883">
        <f>IF('III. Inputs, Renewable Energy'!V117="N",0,IF('III. Inputs, Renewable Energy'!Q181="Lump Sum", 'III. Inputs, Renewable Energy'!V181, 'III. Inputs, Renewable Energy'!Y181))</f>
        <v>936007.50956903212</v>
      </c>
      <c r="O106" s="1884"/>
      <c r="P106" s="461"/>
      <c r="Q106" s="461"/>
      <c r="R106" s="1520"/>
      <c r="S106" s="461"/>
    </row>
    <row r="107" spans="1:19" ht="12.75" customHeight="1" x14ac:dyDescent="0.45">
      <c r="A107" s="461"/>
      <c r="B107" s="461"/>
      <c r="C107" s="461"/>
      <c r="D107" s="461" t="str">
        <f>CONCATENATE('III. Inputs, Renewable Energy'!D99," Instruments")</f>
        <v>Financing Risk Instruments</v>
      </c>
      <c r="E107" s="461"/>
      <c r="F107" s="461"/>
      <c r="G107" s="461"/>
      <c r="H107" s="461"/>
      <c r="I107" s="693"/>
      <c r="J107" s="693" t="s">
        <v>725</v>
      </c>
      <c r="K107" s="693"/>
      <c r="L107" s="1881">
        <f>IF('III. Inputs, Renewable Energy'!S118="N",0,IF('III. Inputs, Renewable Energy'!Q182="Lump Sum", 'III. Inputs, Renewable Energy'!R182, 'III. Inputs, Renewable Energy'!U182))</f>
        <v>0</v>
      </c>
      <c r="M107" s="1882"/>
      <c r="N107" s="1883">
        <f>IF('III. Inputs, Renewable Energy'!V118="N",0,IF('III. Inputs, Renewable Energy'!Q182="Lump Sum", 'III. Inputs, Renewable Energy'!V182, 'III. Inputs, Renewable Energy'!Y182))</f>
        <v>659962.79207401024</v>
      </c>
      <c r="O107" s="1884"/>
      <c r="P107" s="461"/>
      <c r="Q107" s="461"/>
      <c r="R107" s="1520"/>
      <c r="S107" s="461"/>
    </row>
    <row r="108" spans="1:19" ht="12.75" customHeight="1" x14ac:dyDescent="0.45">
      <c r="A108" s="461"/>
      <c r="B108" s="461"/>
      <c r="C108" s="696" t="s">
        <v>301</v>
      </c>
      <c r="D108" s="461"/>
      <c r="E108" s="461"/>
      <c r="F108" s="461"/>
      <c r="G108" s="461"/>
      <c r="H108" s="461"/>
      <c r="I108" s="697"/>
      <c r="J108" s="697" t="s">
        <v>725</v>
      </c>
      <c r="K108" s="693"/>
      <c r="L108" s="1930">
        <f>SUM(L101:M107)</f>
        <v>4984230.4881419176</v>
      </c>
      <c r="M108" s="1931"/>
      <c r="N108" s="1932">
        <f>SUM(N101:O107)</f>
        <v>9264275.4338899218</v>
      </c>
      <c r="O108" s="1933"/>
      <c r="P108" s="461"/>
      <c r="Q108" s="696"/>
      <c r="R108" s="1521"/>
      <c r="S108" s="461"/>
    </row>
    <row r="109" spans="1:19" ht="12.75" customHeight="1" x14ac:dyDescent="0.45">
      <c r="A109" s="461"/>
      <c r="B109" s="461"/>
      <c r="C109" s="461"/>
      <c r="D109" s="461"/>
      <c r="E109" s="461"/>
      <c r="F109" s="461"/>
      <c r="G109" s="461"/>
      <c r="H109" s="461"/>
      <c r="I109" s="693"/>
      <c r="J109" s="693"/>
      <c r="K109" s="693"/>
      <c r="L109" s="1881"/>
      <c r="M109" s="1882"/>
      <c r="N109" s="1883"/>
      <c r="O109" s="1884"/>
      <c r="P109" s="461"/>
      <c r="Q109" s="461"/>
      <c r="R109" s="700"/>
      <c r="S109" s="461"/>
    </row>
    <row r="110" spans="1:19" ht="12.75" customHeight="1" x14ac:dyDescent="0.45">
      <c r="A110" s="461"/>
      <c r="B110" s="696" t="s">
        <v>48</v>
      </c>
      <c r="C110" s="461"/>
      <c r="D110" s="461"/>
      <c r="E110" s="461"/>
      <c r="F110" s="461"/>
      <c r="G110" s="461"/>
      <c r="H110" s="461"/>
      <c r="I110" s="697"/>
      <c r="J110" s="461"/>
      <c r="K110" s="461"/>
      <c r="L110" s="1930"/>
      <c r="M110" s="1931"/>
      <c r="N110" s="1883"/>
      <c r="O110" s="1884"/>
      <c r="P110" s="461"/>
      <c r="Q110" s="696"/>
      <c r="R110" s="1521"/>
      <c r="S110" s="461"/>
    </row>
    <row r="111" spans="1:19" ht="12.75" customHeight="1" x14ac:dyDescent="0.45">
      <c r="A111" s="461"/>
      <c r="B111" s="696"/>
      <c r="C111" s="461" t="s">
        <v>353</v>
      </c>
      <c r="D111" s="461"/>
      <c r="E111" s="461"/>
      <c r="F111" s="461"/>
      <c r="G111" s="461"/>
      <c r="H111" s="461"/>
      <c r="I111" s="697"/>
      <c r="J111" s="461"/>
      <c r="K111" s="461"/>
      <c r="L111" s="1515"/>
      <c r="M111" s="1516"/>
      <c r="N111" s="1522"/>
      <c r="O111" s="1523"/>
      <c r="P111" s="461"/>
      <c r="Q111" s="461"/>
      <c r="R111" s="1520"/>
      <c r="S111" s="461"/>
    </row>
    <row r="112" spans="1:19" ht="12.75" customHeight="1" x14ac:dyDescent="0.45">
      <c r="A112" s="461"/>
      <c r="B112" s="696"/>
      <c r="C112" s="461"/>
      <c r="D112" s="461" t="str">
        <f>CONCATENATE('III. Inputs, Renewable Energy'!D97," Instruments")</f>
        <v>Grid/Transmission Risk Instruments</v>
      </c>
      <c r="E112" s="461"/>
      <c r="F112" s="461"/>
      <c r="G112" s="461"/>
      <c r="H112" s="461"/>
      <c r="I112" s="697"/>
      <c r="J112" s="693" t="s">
        <v>725</v>
      </c>
      <c r="K112" s="693" t="s">
        <v>545</v>
      </c>
      <c r="L112" s="1881">
        <f>IF('III. Inputs, Renewable Energy'!S124="N",0,IF('III. Inputs, Renewable Energy'!Q190="Lump Sum", 'III. Inputs, Renewable Energy'!R190, 'III. Inputs, Renewable Energy'!U190))</f>
        <v>0</v>
      </c>
      <c r="M112" s="1882"/>
      <c r="N112" s="1883">
        <f>IF('III. Inputs, Renewable Energy'!V124="N",0,IF('III. Inputs, Renewable Energy'!Q190="Lump Sum", 'III. Inputs, Renewable Energy'!V190, 'III. Inputs, Renewable Energy'!Y190))</f>
        <v>5811110.3046963457</v>
      </c>
      <c r="O112" s="1884"/>
      <c r="P112" s="461"/>
      <c r="Q112" s="461"/>
      <c r="R112" s="461"/>
      <c r="S112" s="461"/>
    </row>
    <row r="113" spans="1:19" ht="12.75" customHeight="1" x14ac:dyDescent="0.45">
      <c r="A113" s="461"/>
      <c r="B113" s="696"/>
      <c r="C113" s="461"/>
      <c r="D113" s="461" t="str">
        <f>CONCATENATE('III. Inputs, Renewable Energy'!D98," Instruments")</f>
        <v>Counterparty Risk Instruments</v>
      </c>
      <c r="E113" s="461"/>
      <c r="F113" s="461"/>
      <c r="G113" s="461"/>
      <c r="H113" s="461"/>
      <c r="I113" s="697"/>
      <c r="J113" s="693" t="s">
        <v>725</v>
      </c>
      <c r="K113" s="693" t="s">
        <v>547</v>
      </c>
      <c r="L113" s="1881">
        <f>IF('III. Inputs, Renewable Energy'!S125="N",0,IF('III. Inputs, Renewable Energy'!Q191="Lump Sum", 'III. Inputs, Renewable Energy'!R191, 'III. Inputs, Renewable Energy'!U191))</f>
        <v>0</v>
      </c>
      <c r="M113" s="1882"/>
      <c r="N113" s="1883">
        <f>IF('III. Inputs, Renewable Energy'!V125="N",0,IF('III. Inputs, Renewable Energy'!Q191="Lump Sum", 'III. Inputs, Renewable Energy'!V191, 'III. Inputs, Renewable Energy'!Y191))</f>
        <v>6682776.850400799</v>
      </c>
      <c r="O113" s="1884"/>
      <c r="P113" s="461"/>
      <c r="Q113" s="461"/>
      <c r="R113" s="1520"/>
      <c r="S113" s="461"/>
    </row>
    <row r="114" spans="1:19" ht="12.75" customHeight="1" x14ac:dyDescent="0.45">
      <c r="A114" s="461"/>
      <c r="B114" s="696"/>
      <c r="C114" s="461"/>
      <c r="D114" s="461" t="str">
        <f>CONCATENATE('III. Inputs, Renewable Energy'!D99," Instruments")</f>
        <v>Financing Risk Instruments</v>
      </c>
      <c r="E114" s="461"/>
      <c r="F114" s="461"/>
      <c r="G114" s="461"/>
      <c r="H114" s="461"/>
      <c r="I114" s="697"/>
      <c r="J114" s="693"/>
      <c r="K114" s="461"/>
      <c r="L114" s="1515"/>
      <c r="M114" s="1516"/>
      <c r="N114" s="1522"/>
      <c r="O114" s="1523"/>
      <c r="P114" s="461"/>
      <c r="Q114" s="461"/>
      <c r="R114" s="700"/>
      <c r="S114" s="461"/>
    </row>
    <row r="115" spans="1:19" ht="12.75" customHeight="1" x14ac:dyDescent="0.45">
      <c r="A115" s="461"/>
      <c r="B115" s="461"/>
      <c r="C115" s="461"/>
      <c r="D115" s="461"/>
      <c r="E115" s="461" t="s">
        <v>186</v>
      </c>
      <c r="F115" s="461"/>
      <c r="G115" s="461"/>
      <c r="H115" s="461"/>
      <c r="I115" s="693"/>
      <c r="J115" s="693" t="s">
        <v>725</v>
      </c>
      <c r="K115" s="693" t="s">
        <v>544</v>
      </c>
      <c r="L115" s="1881">
        <f>IFERROR(L89*'III. Inputs, Renewable Energy'!U241/'III. Inputs, Renewable Energy'!$U$249,"NA")</f>
        <v>0</v>
      </c>
      <c r="M115" s="1882"/>
      <c r="N115" s="1883">
        <f>IFERROR(N89*'III. Inputs, Renewable Energy'!$U$241/'III. Inputs, Renewable Energy'!$U$249,"NA")</f>
        <v>28904864.550616089</v>
      </c>
      <c r="O115" s="1884"/>
      <c r="P115" s="461"/>
      <c r="Q115" s="461"/>
      <c r="R115" s="461"/>
      <c r="S115" s="461"/>
    </row>
    <row r="116" spans="1:19" ht="12.75" customHeight="1" x14ac:dyDescent="0.45">
      <c r="A116" s="461"/>
      <c r="B116" s="461"/>
      <c r="C116" s="461"/>
      <c r="D116" s="461"/>
      <c r="E116" s="461" t="s">
        <v>255</v>
      </c>
      <c r="F116" s="461"/>
      <c r="G116" s="461"/>
      <c r="H116" s="461"/>
      <c r="I116" s="693"/>
      <c r="J116" s="693" t="s">
        <v>725</v>
      </c>
      <c r="K116" s="693" t="s">
        <v>544</v>
      </c>
      <c r="L116" s="1881">
        <f>IFERROR((L90*'III. Inputs, Renewable Energy'!S222*'III. Inputs, Renewable Energy'!U243/'III. Inputs, Renewable Energy'!U249),"NA")</f>
        <v>0</v>
      </c>
      <c r="M116" s="1882"/>
      <c r="N116" s="1883">
        <f>IFERROR((N90*'III. Inputs, Renewable Energy'!V222*'III. Inputs, Renewable Energy'!$U$243/'III. Inputs, Renewable Energy'!$U$249),"NA")</f>
        <v>0</v>
      </c>
      <c r="O116" s="1884"/>
      <c r="P116" s="461"/>
      <c r="Q116" s="461"/>
      <c r="R116" s="461"/>
      <c r="S116" s="461"/>
    </row>
    <row r="117" spans="1:19" ht="12.75" customHeight="1" x14ac:dyDescent="0.45">
      <c r="A117" s="461"/>
      <c r="B117" s="461"/>
      <c r="C117" s="461"/>
      <c r="D117" s="461" t="str">
        <f>CONCATENATE('III. Inputs, Renewable Energy'!D100," Instruments")</f>
        <v>Political Risk Instruments</v>
      </c>
      <c r="E117" s="461"/>
      <c r="F117" s="461"/>
      <c r="G117" s="461"/>
      <c r="H117" s="461"/>
      <c r="I117" s="693"/>
      <c r="J117" s="693" t="s">
        <v>725</v>
      </c>
      <c r="K117" s="693" t="s">
        <v>544</v>
      </c>
      <c r="L117" s="1881">
        <f>IF('III. Inputs, Renewable Energy'!S227&gt;0, 'III. Inputs, Renewable Energy'!$S$227*'III. Inputs, Renewable Energy'!$U$245*'I. Summary Outputs'!L85/'III. Inputs, Renewable Energy'!U249, 0)</f>
        <v>0</v>
      </c>
      <c r="M117" s="1882"/>
      <c r="N117" s="1883">
        <f>IF('III. Inputs, Renewable Energy'!V227&gt;0, 'III. Inputs, Renewable Energy'!$V$227*'III. Inputs, Renewable Energy'!$U$245*'I. Summary Outputs'!N85/'III. Inputs, Renewable Energy'!$U$249,0)</f>
        <v>0</v>
      </c>
      <c r="O117" s="1884"/>
      <c r="P117" s="461"/>
      <c r="Q117" s="461"/>
      <c r="R117" s="1520"/>
      <c r="S117" s="461"/>
    </row>
    <row r="118" spans="1:19" ht="12.75" customHeight="1" x14ac:dyDescent="0.45">
      <c r="A118" s="461"/>
      <c r="B118" s="461"/>
      <c r="C118" s="461"/>
      <c r="D118" s="461" t="str">
        <f>CONCATENATE('III. Inputs, Renewable Energy'!D101," Instruments")</f>
        <v>Currency/Macro Risk Instruments</v>
      </c>
      <c r="E118" s="461"/>
      <c r="F118" s="461"/>
      <c r="G118" s="461"/>
      <c r="H118" s="461"/>
      <c r="I118" s="693"/>
      <c r="J118" s="693" t="s">
        <v>725</v>
      </c>
      <c r="K118" s="693" t="s">
        <v>545</v>
      </c>
      <c r="L118" s="1881">
        <f>IF('III. Inputs, Renewable Energy'!S131="N",0,IF('III. Inputs, Renewable Energy'!Q192="Lump Sum", 'III. Inputs, Renewable Energy'!R192, 'III. Inputs, Renewable Energy'!U192))</f>
        <v>0</v>
      </c>
      <c r="M118" s="1882"/>
      <c r="N118" s="1883">
        <f>IF('III. Inputs, Renewable Energy'!V131="N",0,IF('III. Inputs, Renewable Energy'!Q192="Lump Sum", 'III. Inputs, Renewable Energy'!V192, 'III. Inputs, Renewable Energy'!Y192))</f>
        <v>4067777.2132874429</v>
      </c>
      <c r="O118" s="1884"/>
      <c r="P118" s="461"/>
      <c r="Q118" s="461"/>
      <c r="R118" s="1737"/>
      <c r="S118" s="461"/>
    </row>
    <row r="119" spans="1:19" ht="12.75" customHeight="1" x14ac:dyDescent="0.45">
      <c r="A119" s="461"/>
      <c r="B119" s="461"/>
      <c r="C119" s="696" t="s">
        <v>302</v>
      </c>
      <c r="D119" s="461"/>
      <c r="E119" s="461"/>
      <c r="F119" s="461"/>
      <c r="G119" s="461"/>
      <c r="H119" s="461"/>
      <c r="I119" s="697"/>
      <c r="J119" s="697" t="s">
        <v>725</v>
      </c>
      <c r="K119" s="693"/>
      <c r="L119" s="1930">
        <f>SUM(L112:M118)</f>
        <v>0</v>
      </c>
      <c r="M119" s="1931"/>
      <c r="N119" s="1932">
        <f>SUM(N112:O118)</f>
        <v>45466528.919000678</v>
      </c>
      <c r="O119" s="1933"/>
      <c r="P119" s="461"/>
      <c r="Q119" s="461"/>
      <c r="R119" s="461"/>
      <c r="S119" s="461"/>
    </row>
    <row r="120" spans="1:19" ht="12.75" customHeight="1" x14ac:dyDescent="0.45">
      <c r="A120" s="461"/>
      <c r="B120" s="461"/>
      <c r="C120" s="461"/>
      <c r="D120" s="461"/>
      <c r="E120" s="461"/>
      <c r="F120" s="461"/>
      <c r="G120" s="461"/>
      <c r="H120" s="461"/>
      <c r="I120" s="693"/>
      <c r="J120" s="693"/>
      <c r="K120" s="693"/>
      <c r="L120" s="1881"/>
      <c r="M120" s="1882"/>
      <c r="N120" s="1883"/>
      <c r="O120" s="1884"/>
      <c r="P120" s="461"/>
      <c r="Q120" s="461"/>
      <c r="R120" s="461"/>
      <c r="S120" s="461"/>
    </row>
    <row r="121" spans="1:19" ht="12.75" customHeight="1" x14ac:dyDescent="0.45">
      <c r="A121" s="461"/>
      <c r="B121" s="696" t="s">
        <v>256</v>
      </c>
      <c r="C121" s="461"/>
      <c r="D121" s="461"/>
      <c r="E121" s="461"/>
      <c r="F121" s="461"/>
      <c r="G121" s="461"/>
      <c r="H121" s="461"/>
      <c r="I121" s="697"/>
      <c r="J121" s="693"/>
      <c r="K121" s="693"/>
      <c r="L121" s="1930"/>
      <c r="M121" s="1931"/>
      <c r="N121" s="1883"/>
      <c r="O121" s="1884"/>
      <c r="P121" s="461"/>
      <c r="Q121" s="461"/>
      <c r="R121" s="461"/>
      <c r="S121" s="461"/>
    </row>
    <row r="122" spans="1:19" ht="12.75" customHeight="1" x14ac:dyDescent="0.45">
      <c r="A122" s="461"/>
      <c r="B122" s="461"/>
      <c r="C122" s="415" t="s">
        <v>631</v>
      </c>
      <c r="D122" s="415"/>
      <c r="E122" s="415"/>
      <c r="F122" s="415"/>
      <c r="G122" s="415"/>
      <c r="H122" s="415"/>
      <c r="I122" s="415"/>
      <c r="J122" s="693" t="s">
        <v>725</v>
      </c>
      <c r="K122" s="693"/>
      <c r="L122" s="1885">
        <f>L70</f>
        <v>200588622.92974377</v>
      </c>
      <c r="M122" s="1886"/>
      <c r="N122" s="1887">
        <f>N70</f>
        <v>50516099.410529718</v>
      </c>
      <c r="O122" s="1888"/>
      <c r="P122" s="461"/>
      <c r="Q122" s="461"/>
      <c r="R122" s="461"/>
      <c r="S122" s="461"/>
    </row>
    <row r="123" spans="1:19" ht="12.75" customHeight="1" x14ac:dyDescent="0.45">
      <c r="A123" s="461"/>
      <c r="B123" s="461"/>
      <c r="C123" s="461"/>
      <c r="D123" s="461"/>
      <c r="E123" s="461"/>
      <c r="F123" s="461"/>
      <c r="G123" s="461"/>
      <c r="H123" s="461"/>
      <c r="I123" s="696"/>
      <c r="J123" s="697"/>
      <c r="K123" s="697"/>
      <c r="L123" s="697"/>
      <c r="M123" s="697"/>
      <c r="N123" s="1521"/>
      <c r="O123" s="461"/>
      <c r="P123" s="461"/>
      <c r="Q123" s="461"/>
      <c r="R123" s="461"/>
      <c r="S123" s="461"/>
    </row>
    <row r="124" spans="1:19" ht="12.75" customHeight="1" x14ac:dyDescent="0.45">
      <c r="A124" s="461"/>
      <c r="B124" s="702" t="s">
        <v>480</v>
      </c>
      <c r="C124" s="698"/>
      <c r="D124" s="698"/>
      <c r="E124" s="698"/>
      <c r="F124" s="698"/>
      <c r="G124" s="698"/>
      <c r="H124" s="698"/>
      <c r="I124" s="698"/>
      <c r="J124" s="703"/>
      <c r="K124" s="703"/>
      <c r="L124" s="703"/>
      <c r="M124" s="698"/>
      <c r="N124" s="698"/>
      <c r="O124" s="698"/>
      <c r="P124" s="698"/>
      <c r="Q124" s="698"/>
      <c r="R124" s="698"/>
      <c r="S124" s="461"/>
    </row>
    <row r="125" spans="1:19" ht="12.75" customHeight="1" x14ac:dyDescent="0.45">
      <c r="A125" s="461"/>
      <c r="B125" s="461"/>
      <c r="C125" s="461"/>
      <c r="D125" s="461"/>
      <c r="E125" s="461"/>
      <c r="F125" s="461"/>
      <c r="G125" s="461"/>
      <c r="H125" s="461"/>
      <c r="I125" s="696"/>
      <c r="J125" s="697"/>
      <c r="K125" s="697"/>
      <c r="L125" s="697"/>
      <c r="M125" s="697"/>
      <c r="N125" s="1521"/>
      <c r="O125" s="461"/>
      <c r="P125" s="461"/>
      <c r="Q125" s="461"/>
      <c r="R125" s="461"/>
      <c r="S125" s="461"/>
    </row>
    <row r="126" spans="1:19" ht="12.75" customHeight="1" x14ac:dyDescent="0.45">
      <c r="A126" s="461"/>
      <c r="B126" s="696"/>
      <c r="C126" s="461"/>
      <c r="D126" s="461"/>
      <c r="E126" s="461"/>
      <c r="F126" s="461"/>
      <c r="G126" s="461"/>
      <c r="H126" s="461"/>
      <c r="I126" s="461"/>
      <c r="J126" s="697"/>
      <c r="K126" s="697"/>
      <c r="L126" s="1917" t="s">
        <v>412</v>
      </c>
      <c r="M126" s="1918"/>
      <c r="N126" s="1918"/>
      <c r="O126" s="1919"/>
      <c r="P126" s="461"/>
      <c r="Q126" s="461"/>
      <c r="R126" s="461"/>
      <c r="S126" s="461"/>
    </row>
    <row r="127" spans="1:19" ht="12.75" customHeight="1" x14ac:dyDescent="0.45">
      <c r="A127" s="461"/>
      <c r="B127" s="461"/>
      <c r="C127" s="696"/>
      <c r="D127" s="696"/>
      <c r="E127" s="696"/>
      <c r="F127" s="696"/>
      <c r="G127" s="696"/>
      <c r="H127" s="696"/>
      <c r="I127" s="461"/>
      <c r="J127" s="697"/>
      <c r="K127" s="697"/>
      <c r="L127" s="1920" t="s">
        <v>170</v>
      </c>
      <c r="M127" s="1921"/>
      <c r="N127" s="1922" t="s">
        <v>171</v>
      </c>
      <c r="O127" s="1923"/>
      <c r="P127" s="461"/>
      <c r="Q127" s="461"/>
      <c r="R127" s="461"/>
      <c r="S127" s="461"/>
    </row>
    <row r="128" spans="1:19" ht="12.75" customHeight="1" x14ac:dyDescent="0.45">
      <c r="A128" s="461"/>
      <c r="B128" s="461"/>
      <c r="C128" s="696" t="s">
        <v>131</v>
      </c>
      <c r="D128" s="696"/>
      <c r="E128" s="696"/>
      <c r="F128" s="696"/>
      <c r="G128" s="696"/>
      <c r="H128" s="696"/>
      <c r="I128" s="461"/>
      <c r="J128" s="697"/>
      <c r="K128" s="697"/>
      <c r="L128" s="1924"/>
      <c r="M128" s="1925"/>
      <c r="N128" s="1926"/>
      <c r="O128" s="1927"/>
      <c r="P128" s="461"/>
      <c r="Q128" s="461"/>
      <c r="R128" s="461"/>
      <c r="S128" s="461"/>
    </row>
    <row r="129" spans="1:19" ht="12.75" customHeight="1" x14ac:dyDescent="0.45">
      <c r="A129" s="461"/>
      <c r="B129" s="461"/>
      <c r="C129" s="696"/>
      <c r="D129" s="696" t="s">
        <v>214</v>
      </c>
      <c r="E129" s="696"/>
      <c r="F129" s="696"/>
      <c r="G129" s="696"/>
      <c r="H129" s="696"/>
      <c r="I129" s="461"/>
      <c r="J129" s="697"/>
      <c r="K129" s="697"/>
      <c r="L129" s="1928">
        <f>IF(SUM(L131:M133)=0, "NA", L130/SUM(L131:M133))</f>
        <v>2.585865336960631</v>
      </c>
      <c r="M129" s="1929"/>
      <c r="N129" s="1915">
        <f>IF(SUM(N131:O133)=0, "NA", N130/SUM(N131:O133))</f>
        <v>5.0508252201729569</v>
      </c>
      <c r="O129" s="1916"/>
      <c r="P129" s="461"/>
      <c r="Q129" s="461"/>
      <c r="R129" s="461"/>
      <c r="S129" s="461"/>
    </row>
    <row r="130" spans="1:19" ht="12.75" customHeight="1" x14ac:dyDescent="0.45">
      <c r="A130" s="461"/>
      <c r="B130" s="461"/>
      <c r="C130" s="461"/>
      <c r="D130" s="461" t="s">
        <v>378</v>
      </c>
      <c r="E130" s="461"/>
      <c r="F130" s="461"/>
      <c r="G130" s="461"/>
      <c r="H130" s="461"/>
      <c r="I130" s="461"/>
      <c r="J130" s="693" t="s">
        <v>725</v>
      </c>
      <c r="K130" s="693"/>
      <c r="L130" s="1881">
        <f>$L$81</f>
        <v>531583715.87339938</v>
      </c>
      <c r="M130" s="1882"/>
      <c r="N130" s="1883">
        <f>$N$81</f>
        <v>531583715.87339938</v>
      </c>
      <c r="O130" s="1884"/>
      <c r="P130" s="461"/>
      <c r="Q130" s="461"/>
      <c r="R130" s="461"/>
      <c r="S130" s="461"/>
    </row>
    <row r="131" spans="1:19" ht="12.75" customHeight="1" x14ac:dyDescent="0.45">
      <c r="A131" s="461"/>
      <c r="B131" s="461"/>
      <c r="C131" s="461"/>
      <c r="D131" s="1870" t="s">
        <v>631</v>
      </c>
      <c r="E131" s="1870"/>
      <c r="F131" s="1870"/>
      <c r="G131" s="1870"/>
      <c r="H131" s="1870"/>
      <c r="I131" s="1870"/>
      <c r="J131" s="693" t="s">
        <v>725</v>
      </c>
      <c r="K131" s="693"/>
      <c r="L131" s="1881">
        <f>$L$122</f>
        <v>200588622.92974377</v>
      </c>
      <c r="M131" s="1882"/>
      <c r="N131" s="1883">
        <f>$N$122</f>
        <v>50516099.410529718</v>
      </c>
      <c r="O131" s="1884"/>
      <c r="P131" s="461"/>
      <c r="Q131" s="461"/>
      <c r="R131" s="461"/>
      <c r="S131" s="461"/>
    </row>
    <row r="132" spans="1:19" ht="12.75" customHeight="1" x14ac:dyDescent="0.45">
      <c r="A132" s="461"/>
      <c r="B132" s="461"/>
      <c r="C132" s="461"/>
      <c r="D132" s="461" t="s">
        <v>260</v>
      </c>
      <c r="E132" s="461"/>
      <c r="F132" s="461"/>
      <c r="G132" s="461"/>
      <c r="H132" s="461"/>
      <c r="I132" s="461"/>
      <c r="J132" s="693" t="s">
        <v>725</v>
      </c>
      <c r="K132" s="693"/>
      <c r="L132" s="1881">
        <f>$L$119</f>
        <v>0</v>
      </c>
      <c r="M132" s="1882"/>
      <c r="N132" s="1883">
        <f>$N$119</f>
        <v>45466528.919000678</v>
      </c>
      <c r="O132" s="1884"/>
      <c r="P132" s="461"/>
      <c r="Q132" s="461"/>
      <c r="R132" s="461"/>
      <c r="S132" s="461"/>
    </row>
    <row r="133" spans="1:19" ht="12.75" customHeight="1" x14ac:dyDescent="0.45">
      <c r="A133" s="461"/>
      <c r="B133" s="461"/>
      <c r="C133" s="461"/>
      <c r="D133" s="461" t="s">
        <v>259</v>
      </c>
      <c r="E133" s="461"/>
      <c r="F133" s="461"/>
      <c r="G133" s="461"/>
      <c r="H133" s="461"/>
      <c r="I133" s="461"/>
      <c r="J133" s="693" t="s">
        <v>725</v>
      </c>
      <c r="K133" s="693"/>
      <c r="L133" s="1881">
        <f>$L$108</f>
        <v>4984230.4881419176</v>
      </c>
      <c r="M133" s="1882"/>
      <c r="N133" s="1883">
        <f>$N$108</f>
        <v>9264275.4338899218</v>
      </c>
      <c r="O133" s="1884"/>
      <c r="P133" s="461"/>
      <c r="Q133" s="461"/>
      <c r="R133" s="461"/>
      <c r="S133" s="461"/>
    </row>
    <row r="134" spans="1:19" ht="12.75" customHeight="1" x14ac:dyDescent="0.45">
      <c r="A134" s="461"/>
      <c r="B134" s="461"/>
      <c r="C134" s="461"/>
      <c r="D134" s="461"/>
      <c r="E134" s="461"/>
      <c r="F134" s="461"/>
      <c r="G134" s="461"/>
      <c r="H134" s="461"/>
      <c r="I134" s="461"/>
      <c r="J134" s="693"/>
      <c r="K134" s="693"/>
      <c r="L134" s="1524"/>
      <c r="M134" s="1525"/>
      <c r="N134" s="1522"/>
      <c r="O134" s="1523"/>
      <c r="P134" s="461"/>
      <c r="Q134" s="461"/>
      <c r="R134" s="461"/>
      <c r="S134" s="461"/>
    </row>
    <row r="135" spans="1:19" ht="12.75" customHeight="1" x14ac:dyDescent="0.45">
      <c r="A135" s="461"/>
      <c r="B135" s="461"/>
      <c r="C135" s="696" t="s">
        <v>132</v>
      </c>
      <c r="D135" s="461"/>
      <c r="E135" s="461"/>
      <c r="F135" s="461"/>
      <c r="G135" s="461"/>
      <c r="H135" s="461"/>
      <c r="I135" s="461"/>
      <c r="J135" s="693"/>
      <c r="K135" s="693"/>
      <c r="L135" s="1524"/>
      <c r="M135" s="1525"/>
      <c r="N135" s="1522"/>
      <c r="O135" s="1523"/>
      <c r="P135" s="461"/>
      <c r="Q135" s="461"/>
      <c r="R135" s="461"/>
      <c r="S135" s="461"/>
    </row>
    <row r="136" spans="1:19" ht="12.75" customHeight="1" x14ac:dyDescent="0.45">
      <c r="A136" s="461"/>
      <c r="B136" s="461"/>
      <c r="C136" s="461"/>
      <c r="D136" s="696" t="s">
        <v>214</v>
      </c>
      <c r="E136" s="696"/>
      <c r="F136" s="696"/>
      <c r="G136" s="696"/>
      <c r="H136" s="696"/>
      <c r="I136" s="461"/>
      <c r="J136" s="697"/>
      <c r="K136" s="697"/>
      <c r="L136" s="1881"/>
      <c r="M136" s="1882"/>
      <c r="N136" s="1915">
        <f>IF(N137+N138=0, "NA", N140/(N137+N138))</f>
        <v>2.7420120221801194</v>
      </c>
      <c r="O136" s="1916"/>
      <c r="P136" s="461"/>
      <c r="Q136" s="461"/>
      <c r="R136" s="461"/>
      <c r="S136" s="461"/>
    </row>
    <row r="137" spans="1:19" ht="12.75" customHeight="1" x14ac:dyDescent="0.45">
      <c r="A137" s="461"/>
      <c r="B137" s="461"/>
      <c r="C137" s="461"/>
      <c r="D137" s="461" t="s">
        <v>260</v>
      </c>
      <c r="E137" s="461"/>
      <c r="F137" s="461"/>
      <c r="G137" s="461"/>
      <c r="H137" s="461"/>
      <c r="I137" s="461"/>
      <c r="J137" s="693" t="s">
        <v>725</v>
      </c>
      <c r="K137" s="693"/>
      <c r="L137" s="1881">
        <f>$L$119</f>
        <v>0</v>
      </c>
      <c r="M137" s="1882"/>
      <c r="N137" s="1883">
        <f>$N$119</f>
        <v>45466528.919000678</v>
      </c>
      <c r="O137" s="1884"/>
      <c r="P137" s="461"/>
      <c r="Q137" s="461"/>
      <c r="R137" s="461"/>
      <c r="S137" s="461"/>
    </row>
    <row r="138" spans="1:19" ht="12.75" customHeight="1" x14ac:dyDescent="0.45">
      <c r="A138" s="461"/>
      <c r="B138" s="461"/>
      <c r="C138" s="461"/>
      <c r="D138" s="461" t="s">
        <v>259</v>
      </c>
      <c r="E138" s="461"/>
      <c r="F138" s="461"/>
      <c r="G138" s="461"/>
      <c r="H138" s="461"/>
      <c r="I138" s="461"/>
      <c r="J138" s="693" t="s">
        <v>725</v>
      </c>
      <c r="K138" s="693"/>
      <c r="L138" s="1881">
        <f>$L$108</f>
        <v>4984230.4881419176</v>
      </c>
      <c r="M138" s="1882"/>
      <c r="N138" s="1883">
        <f>$N$108</f>
        <v>9264275.4338899218</v>
      </c>
      <c r="O138" s="1884"/>
      <c r="P138" s="461"/>
      <c r="Q138" s="461"/>
      <c r="R138" s="461"/>
      <c r="S138" s="461"/>
    </row>
    <row r="139" spans="1:19" ht="12.75" customHeight="1" x14ac:dyDescent="0.45">
      <c r="A139" s="461"/>
      <c r="B139" s="461"/>
      <c r="C139" s="461"/>
      <c r="D139" s="1870" t="s">
        <v>631</v>
      </c>
      <c r="E139" s="1870"/>
      <c r="F139" s="1870"/>
      <c r="G139" s="1870"/>
      <c r="H139" s="1870"/>
      <c r="I139" s="1870"/>
      <c r="J139" s="693" t="s">
        <v>725</v>
      </c>
      <c r="K139" s="693"/>
      <c r="L139" s="1881">
        <f>L122</f>
        <v>200588622.92974377</v>
      </c>
      <c r="M139" s="1882"/>
      <c r="N139" s="1883">
        <f>N122</f>
        <v>50516099.410529718</v>
      </c>
      <c r="O139" s="1884"/>
      <c r="P139" s="1520"/>
      <c r="Q139" s="461"/>
      <c r="R139" s="461"/>
      <c r="S139" s="461"/>
    </row>
    <row r="140" spans="1:19" ht="12.75" customHeight="1" x14ac:dyDescent="0.45">
      <c r="A140" s="706"/>
      <c r="B140" s="461"/>
      <c r="C140" s="461"/>
      <c r="D140" s="1870" t="s">
        <v>564</v>
      </c>
      <c r="E140" s="1870"/>
      <c r="F140" s="1870"/>
      <c r="G140" s="1870"/>
      <c r="H140" s="1870"/>
      <c r="I140" s="1870"/>
      <c r="J140" s="693" t="s">
        <v>725</v>
      </c>
      <c r="K140" s="693"/>
      <c r="L140" s="1881"/>
      <c r="M140" s="1882"/>
      <c r="N140" s="1883">
        <f>-(N139-L139)</f>
        <v>150072523.51921403</v>
      </c>
      <c r="O140" s="1884"/>
      <c r="P140" s="461"/>
      <c r="Q140" s="461"/>
      <c r="R140" s="461"/>
      <c r="S140" s="461"/>
    </row>
    <row r="141" spans="1:19" ht="12.75" customHeight="1" x14ac:dyDescent="0.45">
      <c r="A141" s="461"/>
      <c r="B141" s="461"/>
      <c r="C141" s="461"/>
      <c r="D141" s="461"/>
      <c r="E141" s="461"/>
      <c r="F141" s="461"/>
      <c r="G141" s="461"/>
      <c r="H141" s="461"/>
      <c r="I141" s="461"/>
      <c r="J141" s="693"/>
      <c r="K141" s="693"/>
      <c r="L141" s="1524"/>
      <c r="M141" s="402"/>
      <c r="N141" s="1522"/>
      <c r="O141" s="404"/>
      <c r="P141" s="461"/>
      <c r="Q141" s="461"/>
      <c r="R141" s="461"/>
      <c r="S141" s="461"/>
    </row>
    <row r="142" spans="1:19" ht="12.75" customHeight="1" x14ac:dyDescent="0.45">
      <c r="A142" s="461"/>
      <c r="B142" s="461"/>
      <c r="C142" s="696" t="s">
        <v>158</v>
      </c>
      <c r="D142" s="696"/>
      <c r="E142" s="696"/>
      <c r="F142" s="696"/>
      <c r="G142" s="696"/>
      <c r="H142" s="696"/>
      <c r="I142" s="461"/>
      <c r="J142" s="707"/>
      <c r="K142" s="707"/>
      <c r="L142" s="1911"/>
      <c r="M142" s="1912"/>
      <c r="N142" s="1913"/>
      <c r="O142" s="1914"/>
      <c r="P142" s="461"/>
      <c r="Q142" s="461"/>
      <c r="R142" s="461"/>
      <c r="S142" s="461"/>
    </row>
    <row r="143" spans="1:19" ht="12.75" customHeight="1" x14ac:dyDescent="0.45">
      <c r="A143" s="461"/>
      <c r="B143" s="461"/>
      <c r="C143" s="461"/>
      <c r="D143" s="461" t="s">
        <v>379</v>
      </c>
      <c r="E143" s="461"/>
      <c r="F143" s="461"/>
      <c r="G143" s="461"/>
      <c r="H143" s="461"/>
      <c r="I143" s="461"/>
      <c r="J143" s="693" t="s">
        <v>727</v>
      </c>
      <c r="K143" s="693"/>
      <c r="L143" s="1905">
        <f>$L$61</f>
        <v>7.0704801349774304E-2</v>
      </c>
      <c r="M143" s="1906"/>
      <c r="N143" s="1907">
        <f>$N$61</f>
        <v>5.619292139076857E-2</v>
      </c>
      <c r="O143" s="1908"/>
      <c r="P143" s="461"/>
      <c r="Q143" s="461"/>
      <c r="R143" s="461"/>
      <c r="S143" s="461"/>
    </row>
    <row r="144" spans="1:19" ht="12.75" customHeight="1" x14ac:dyDescent="0.45">
      <c r="A144" s="461"/>
      <c r="B144" s="461"/>
      <c r="C144" s="461"/>
      <c r="D144" s="461" t="s">
        <v>380</v>
      </c>
      <c r="E144" s="461"/>
      <c r="F144" s="461"/>
      <c r="G144" s="461"/>
      <c r="H144" s="461"/>
      <c r="I144" s="461"/>
      <c r="J144" s="693" t="s">
        <v>14</v>
      </c>
      <c r="K144" s="693"/>
      <c r="L144" s="1836"/>
      <c r="M144" s="1837"/>
      <c r="N144" s="1909">
        <f>IF(L143=0,"NA",IF(OR(N143&lt;0,L143&lt;0),-((N143/L143)-1),(N143/L143)-1))</f>
        <v>-0.20524603254616258</v>
      </c>
      <c r="O144" s="1910"/>
      <c r="P144" s="461"/>
      <c r="Q144" s="461"/>
      <c r="R144" s="461"/>
      <c r="S144" s="461"/>
    </row>
    <row r="145" spans="1:19" ht="12.75" customHeight="1" x14ac:dyDescent="0.45">
      <c r="A145" s="461"/>
      <c r="B145" s="461"/>
      <c r="C145" s="461"/>
      <c r="D145" s="461" t="s">
        <v>235</v>
      </c>
      <c r="E145" s="461"/>
      <c r="F145" s="461"/>
      <c r="G145" s="461"/>
      <c r="H145" s="461"/>
      <c r="I145" s="461"/>
      <c r="J145" s="693" t="s">
        <v>727</v>
      </c>
      <c r="K145" s="693"/>
      <c r="L145" s="1905">
        <f>L66</f>
        <v>5.1308059369047788E-2</v>
      </c>
      <c r="M145" s="1906"/>
      <c r="N145" s="1907">
        <f>N66</f>
        <v>5.1308059369047788E-2</v>
      </c>
      <c r="O145" s="1908"/>
      <c r="P145" s="461"/>
      <c r="Q145" s="461"/>
      <c r="R145" s="461"/>
      <c r="S145" s="461"/>
    </row>
    <row r="146" spans="1:19" ht="12.75" customHeight="1" x14ac:dyDescent="0.45">
      <c r="A146" s="461"/>
      <c r="B146" s="461"/>
      <c r="C146" s="461"/>
      <c r="D146" s="461" t="s">
        <v>261</v>
      </c>
      <c r="E146" s="461"/>
      <c r="F146" s="461"/>
      <c r="G146" s="461"/>
      <c r="H146" s="461"/>
      <c r="I146" s="461"/>
      <c r="J146" s="693" t="s">
        <v>727</v>
      </c>
      <c r="K146" s="693"/>
      <c r="L146" s="1905">
        <f>L68</f>
        <v>1.9396741980726516E-2</v>
      </c>
      <c r="M146" s="1906"/>
      <c r="N146" s="1907">
        <f>N68</f>
        <v>4.8848620217207817E-3</v>
      </c>
      <c r="O146" s="1908"/>
      <c r="P146" s="461"/>
      <c r="Q146" s="461"/>
      <c r="R146" s="461"/>
      <c r="S146" s="461"/>
    </row>
    <row r="147" spans="1:19" ht="12.75" customHeight="1" x14ac:dyDescent="0.45">
      <c r="A147" s="461"/>
      <c r="B147" s="461"/>
      <c r="C147" s="461"/>
      <c r="D147" s="461"/>
      <c r="E147" s="461"/>
      <c r="F147" s="461"/>
      <c r="G147" s="461"/>
      <c r="H147" s="461"/>
      <c r="I147" s="461"/>
      <c r="J147" s="693"/>
      <c r="K147" s="693"/>
      <c r="L147" s="132"/>
      <c r="M147" s="143"/>
      <c r="N147" s="407"/>
      <c r="O147" s="408"/>
      <c r="P147" s="461"/>
      <c r="Q147" s="461"/>
      <c r="R147" s="461"/>
      <c r="S147" s="461"/>
    </row>
    <row r="148" spans="1:19" ht="12.75" customHeight="1" x14ac:dyDescent="0.45">
      <c r="A148" s="461"/>
      <c r="B148" s="461"/>
      <c r="C148" s="696" t="s">
        <v>133</v>
      </c>
      <c r="D148" s="696"/>
      <c r="E148" s="696"/>
      <c r="F148" s="696"/>
      <c r="G148" s="696"/>
      <c r="H148" s="696"/>
      <c r="I148" s="461"/>
      <c r="J148" s="707"/>
      <c r="K148" s="707"/>
      <c r="L148" s="1911"/>
      <c r="M148" s="1912"/>
      <c r="N148" s="1913"/>
      <c r="O148" s="1914"/>
      <c r="P148" s="461"/>
      <c r="Q148" s="461"/>
      <c r="R148" s="461"/>
      <c r="S148" s="461"/>
    </row>
    <row r="149" spans="1:19" ht="12.75" customHeight="1" x14ac:dyDescent="0.45">
      <c r="A149" s="461"/>
      <c r="B149" s="461"/>
      <c r="C149" s="461"/>
      <c r="D149" s="461"/>
      <c r="E149" s="708" t="s">
        <v>450</v>
      </c>
      <c r="F149" s="461"/>
      <c r="G149" s="461"/>
      <c r="H149" s="461"/>
      <c r="I149" s="461"/>
      <c r="J149" s="693" t="s">
        <v>738</v>
      </c>
      <c r="K149" s="693"/>
      <c r="L149" s="1895">
        <f>IF($L$154=0,0,L139/($L$154*1000000))</f>
        <v>18.89784956247966</v>
      </c>
      <c r="M149" s="1896"/>
      <c r="N149" s="1897">
        <f>IF($N$154=0,0,N139/($N$154*1000000))</f>
        <v>4.7592213017875045</v>
      </c>
      <c r="O149" s="1898"/>
      <c r="P149" s="461"/>
      <c r="Q149" s="461"/>
      <c r="R149" s="461"/>
      <c r="S149" s="461"/>
    </row>
    <row r="150" spans="1:19" ht="12.75" customHeight="1" x14ac:dyDescent="0.45">
      <c r="A150" s="461"/>
      <c r="B150" s="461"/>
      <c r="C150" s="461"/>
      <c r="D150" s="461"/>
      <c r="E150" s="708" t="s">
        <v>451</v>
      </c>
      <c r="F150" s="461"/>
      <c r="G150" s="461"/>
      <c r="H150" s="461"/>
      <c r="I150" s="461"/>
      <c r="J150" s="693" t="s">
        <v>738</v>
      </c>
      <c r="K150" s="693"/>
      <c r="L150" s="1895">
        <f>IF($L$154=0,0,L137/($L$154*1000000))</f>
        <v>0</v>
      </c>
      <c r="M150" s="1896"/>
      <c r="N150" s="1897">
        <f>IF($N$154=0,0,N137/($N$154*1000000))</f>
        <v>4.2834913121685254</v>
      </c>
      <c r="O150" s="1898"/>
      <c r="P150" s="461"/>
      <c r="Q150" s="461"/>
      <c r="R150" s="461"/>
      <c r="S150" s="461"/>
    </row>
    <row r="151" spans="1:19" ht="12.75" customHeight="1" x14ac:dyDescent="0.45">
      <c r="A151" s="461"/>
      <c r="B151" s="461"/>
      <c r="C151" s="461"/>
      <c r="D151" s="461"/>
      <c r="E151" s="708" t="s">
        <v>452</v>
      </c>
      <c r="F151" s="461"/>
      <c r="G151" s="461"/>
      <c r="H151" s="461"/>
      <c r="I151" s="461"/>
      <c r="J151" s="693" t="s">
        <v>738</v>
      </c>
      <c r="K151" s="693"/>
      <c r="L151" s="1895">
        <f>IF($L$154=0,0,L138/($L$154*1000000))</f>
        <v>0.4695741791029745</v>
      </c>
      <c r="M151" s="1896"/>
      <c r="N151" s="1897">
        <f>IF($N$154=0,0,N138/($N$154*1000000))</f>
        <v>0.87280565018060741</v>
      </c>
      <c r="O151" s="1898"/>
      <c r="P151" s="461"/>
      <c r="Q151" s="461"/>
      <c r="R151" s="461"/>
      <c r="S151" s="461"/>
    </row>
    <row r="152" spans="1:19" s="474" customFormat="1" ht="12.75" customHeight="1" x14ac:dyDescent="0.45">
      <c r="A152" s="696"/>
      <c r="B152" s="696"/>
      <c r="C152" s="696"/>
      <c r="D152" s="696" t="s">
        <v>453</v>
      </c>
      <c r="E152" s="696"/>
      <c r="F152" s="696"/>
      <c r="G152" s="696"/>
      <c r="H152" s="696"/>
      <c r="I152" s="696"/>
      <c r="J152" s="697" t="s">
        <v>738</v>
      </c>
      <c r="K152" s="697"/>
      <c r="L152" s="1899">
        <f>SUM(L149:M151)</f>
        <v>19.367423741582634</v>
      </c>
      <c r="M152" s="1900"/>
      <c r="N152" s="1901">
        <f>SUM(N149:O151)</f>
        <v>9.9155182641366384</v>
      </c>
      <c r="O152" s="1902"/>
      <c r="P152" s="696"/>
      <c r="Q152" s="696"/>
      <c r="R152" s="696"/>
      <c r="S152" s="696"/>
    </row>
    <row r="153" spans="1:19" ht="12.75" customHeight="1" x14ac:dyDescent="0.45">
      <c r="A153" s="461"/>
      <c r="B153" s="461"/>
      <c r="C153" s="461"/>
      <c r="D153" s="461" t="s">
        <v>449</v>
      </c>
      <c r="E153" s="461"/>
      <c r="F153" s="461"/>
      <c r="G153" s="461"/>
      <c r="H153" s="461"/>
      <c r="I153" s="461"/>
      <c r="J153" s="693" t="s">
        <v>14</v>
      </c>
      <c r="K153" s="693"/>
      <c r="L153" s="1738"/>
      <c r="M153" s="1739"/>
      <c r="N153" s="1903">
        <f>IF(OR(L152=0,L152="NA"),"NA",IF(OR(L152&lt;0,AND(N152&gt;0,L152&lt;0)),-((N152/L152)-1),(N152/L152)-1))</f>
        <v>-0.48803111882931416</v>
      </c>
      <c r="O153" s="1904"/>
      <c r="P153" s="461"/>
      <c r="Q153" s="461"/>
      <c r="R153" s="461"/>
      <c r="S153" s="461"/>
    </row>
    <row r="154" spans="1:19" ht="12.75" customHeight="1" x14ac:dyDescent="0.45">
      <c r="A154" s="461"/>
      <c r="B154" s="461"/>
      <c r="C154" s="461"/>
      <c r="D154" s="1870" t="str">
        <f>CONCATENATE("Emission Reductions", " Over ", $L$28, " Years")</f>
        <v>Emission Reductions Over 20 Years</v>
      </c>
      <c r="E154" s="1870"/>
      <c r="F154" s="1870"/>
      <c r="G154" s="1870"/>
      <c r="H154" s="1870"/>
      <c r="I154" s="1870"/>
      <c r="J154" s="693" t="s">
        <v>303</v>
      </c>
      <c r="K154" s="693"/>
      <c r="L154" s="1890">
        <f>$L$26*('II. Inputs, Baseline Energy Mix'!$T$24)*$L$28/1000000</f>
        <v>10.614362352000001</v>
      </c>
      <c r="M154" s="1891"/>
      <c r="N154" s="1892">
        <f>$L$26*('II. Inputs, Baseline Energy Mix'!$T$24)*$L$28/1000000</f>
        <v>10.614362352000001</v>
      </c>
      <c r="O154" s="1893"/>
      <c r="P154" s="461"/>
      <c r="Q154" s="461"/>
      <c r="R154" s="461"/>
      <c r="S154" s="461"/>
    </row>
    <row r="155" spans="1:19" ht="13.15" x14ac:dyDescent="0.45">
      <c r="A155" s="461"/>
      <c r="B155" s="461"/>
      <c r="C155" s="461"/>
      <c r="D155" s="461"/>
      <c r="E155" s="461"/>
      <c r="F155" s="461"/>
      <c r="G155" s="461"/>
      <c r="H155" s="461"/>
      <c r="I155" s="461"/>
      <c r="J155" s="697"/>
      <c r="K155" s="697"/>
      <c r="L155" s="1894"/>
      <c r="M155" s="1894"/>
      <c r="N155" s="461"/>
      <c r="O155" s="461"/>
      <c r="P155" s="461"/>
      <c r="Q155" s="461"/>
      <c r="R155" s="461"/>
      <c r="S155" s="461"/>
    </row>
    <row r="156" spans="1:19" hidden="1" x14ac:dyDescent="0.45"/>
    <row r="157" spans="1:19" hidden="1" x14ac:dyDescent="0.45"/>
    <row r="158" spans="1:19" hidden="1" x14ac:dyDescent="0.45"/>
    <row r="159" spans="1:19" hidden="1" x14ac:dyDescent="0.45"/>
    <row r="160" spans="1:19"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sheetData>
  <sheetProtection formatCells="0" formatColumns="0" formatRows="0" insertColumns="0" insertRows="0"/>
  <mergeCells count="197">
    <mergeCell ref="N117:O117"/>
    <mergeCell ref="L12:R12"/>
    <mergeCell ref="T22:V22"/>
    <mergeCell ref="T23:V23"/>
    <mergeCell ref="T25:V25"/>
    <mergeCell ref="T40:V40"/>
    <mergeCell ref="T39:V39"/>
    <mergeCell ref="L39:M39"/>
    <mergeCell ref="L40:M40"/>
    <mergeCell ref="L38:M38"/>
    <mergeCell ref="N38:O38"/>
    <mergeCell ref="L37:O37"/>
    <mergeCell ref="N39:O39"/>
    <mergeCell ref="N40:O40"/>
    <mergeCell ref="L31:O31"/>
    <mergeCell ref="L32:O32"/>
    <mergeCell ref="L22:O22"/>
    <mergeCell ref="L23:O23"/>
    <mergeCell ref="L25:O25"/>
    <mergeCell ref="L28:O28"/>
    <mergeCell ref="L26:O26"/>
    <mergeCell ref="L29:O29"/>
    <mergeCell ref="L24:O24"/>
    <mergeCell ref="L27:O27"/>
    <mergeCell ref="L30:O30"/>
    <mergeCell ref="N44:O44"/>
    <mergeCell ref="N45:O45"/>
    <mergeCell ref="N46:O46"/>
    <mergeCell ref="N47:O47"/>
    <mergeCell ref="N48:O48"/>
    <mergeCell ref="N51:O51"/>
    <mergeCell ref="L44:M44"/>
    <mergeCell ref="L45:M45"/>
    <mergeCell ref="L47:M47"/>
    <mergeCell ref="L46:M46"/>
    <mergeCell ref="L48:M48"/>
    <mergeCell ref="L51:M51"/>
    <mergeCell ref="N42:O42"/>
    <mergeCell ref="L41:M41"/>
    <mergeCell ref="N41:O41"/>
    <mergeCell ref="L42:M42"/>
    <mergeCell ref="L119:M119"/>
    <mergeCell ref="N115:O115"/>
    <mergeCell ref="N121:O121"/>
    <mergeCell ref="N120:O120"/>
    <mergeCell ref="L115:M115"/>
    <mergeCell ref="L118:M118"/>
    <mergeCell ref="N118:O118"/>
    <mergeCell ref="L61:M61"/>
    <mergeCell ref="N61:O61"/>
    <mergeCell ref="L66:M66"/>
    <mergeCell ref="N66:O66"/>
    <mergeCell ref="N65:O65"/>
    <mergeCell ref="L81:M81"/>
    <mergeCell ref="L84:M84"/>
    <mergeCell ref="L85:M85"/>
    <mergeCell ref="L86:M86"/>
    <mergeCell ref="L80:M80"/>
    <mergeCell ref="N80:O80"/>
    <mergeCell ref="L79:O79"/>
    <mergeCell ref="N85:O85"/>
    <mergeCell ref="N81:O81"/>
    <mergeCell ref="N84:O84"/>
    <mergeCell ref="N86:O86"/>
    <mergeCell ref="L82:M82"/>
    <mergeCell ref="L121:M121"/>
    <mergeCell ref="L120:M120"/>
    <mergeCell ref="L49:M49"/>
    <mergeCell ref="N49:O49"/>
    <mergeCell ref="L112:M112"/>
    <mergeCell ref="L113:M113"/>
    <mergeCell ref="N113:O113"/>
    <mergeCell ref="N112:O112"/>
    <mergeCell ref="L62:M62"/>
    <mergeCell ref="L63:M63"/>
    <mergeCell ref="L64:M64"/>
    <mergeCell ref="N62:O62"/>
    <mergeCell ref="N63:O63"/>
    <mergeCell ref="N64:O64"/>
    <mergeCell ref="L65:M65"/>
    <mergeCell ref="N92:O92"/>
    <mergeCell ref="N116:O116"/>
    <mergeCell ref="N119:O119"/>
    <mergeCell ref="L116:M116"/>
    <mergeCell ref="L117:M117"/>
    <mergeCell ref="N52:O52"/>
    <mergeCell ref="N53:O53"/>
    <mergeCell ref="N54:O54"/>
    <mergeCell ref="L55:M55"/>
    <mergeCell ref="N55:O55"/>
    <mergeCell ref="N110:O110"/>
    <mergeCell ref="N109:O109"/>
    <mergeCell ref="L109:M109"/>
    <mergeCell ref="L90:M90"/>
    <mergeCell ref="L59:O59"/>
    <mergeCell ref="L60:M60"/>
    <mergeCell ref="N60:O60"/>
    <mergeCell ref="L52:M52"/>
    <mergeCell ref="L53:M53"/>
    <mergeCell ref="L54:M54"/>
    <mergeCell ref="L110:M110"/>
    <mergeCell ref="L108:M108"/>
    <mergeCell ref="N108:O108"/>
    <mergeCell ref="N107:O107"/>
    <mergeCell ref="N106:O106"/>
    <mergeCell ref="N105:O105"/>
    <mergeCell ref="L102:M102"/>
    <mergeCell ref="L103:M103"/>
    <mergeCell ref="L105:M105"/>
    <mergeCell ref="N103:O103"/>
    <mergeCell ref="N102:O102"/>
    <mergeCell ref="L92:M92"/>
    <mergeCell ref="L98:M98"/>
    <mergeCell ref="L101:M101"/>
    <mergeCell ref="L97:O97"/>
    <mergeCell ref="L87:M87"/>
    <mergeCell ref="L89:M89"/>
    <mergeCell ref="L91:M91"/>
    <mergeCell ref="N98:O98"/>
    <mergeCell ref="N101:O101"/>
    <mergeCell ref="N87:O87"/>
    <mergeCell ref="N89:O89"/>
    <mergeCell ref="N90:O90"/>
    <mergeCell ref="N91:O91"/>
    <mergeCell ref="L132:M132"/>
    <mergeCell ref="N132:O132"/>
    <mergeCell ref="L133:M133"/>
    <mergeCell ref="N133:O133"/>
    <mergeCell ref="L136:M136"/>
    <mergeCell ref="N136:O136"/>
    <mergeCell ref="L137:M137"/>
    <mergeCell ref="N137:O137"/>
    <mergeCell ref="L126:O126"/>
    <mergeCell ref="L127:M127"/>
    <mergeCell ref="N127:O127"/>
    <mergeCell ref="L128:M128"/>
    <mergeCell ref="N128:O128"/>
    <mergeCell ref="L129:M129"/>
    <mergeCell ref="N129:O129"/>
    <mergeCell ref="L130:M130"/>
    <mergeCell ref="N130:O130"/>
    <mergeCell ref="L138:M138"/>
    <mergeCell ref="N138:O138"/>
    <mergeCell ref="D139:I139"/>
    <mergeCell ref="L139:M139"/>
    <mergeCell ref="N139:O139"/>
    <mergeCell ref="D140:I140"/>
    <mergeCell ref="L140:M140"/>
    <mergeCell ref="N140:O140"/>
    <mergeCell ref="L142:M142"/>
    <mergeCell ref="N142:O142"/>
    <mergeCell ref="L143:M143"/>
    <mergeCell ref="N143:O143"/>
    <mergeCell ref="N144:O144"/>
    <mergeCell ref="L145:M145"/>
    <mergeCell ref="N145:O145"/>
    <mergeCell ref="L146:M146"/>
    <mergeCell ref="N146:O146"/>
    <mergeCell ref="L148:M148"/>
    <mergeCell ref="N148:O148"/>
    <mergeCell ref="D154:I154"/>
    <mergeCell ref="L154:M154"/>
    <mergeCell ref="N154:O154"/>
    <mergeCell ref="L155:M155"/>
    <mergeCell ref="L149:M149"/>
    <mergeCell ref="N149:O149"/>
    <mergeCell ref="L150:M150"/>
    <mergeCell ref="N150:O150"/>
    <mergeCell ref="L151:M151"/>
    <mergeCell ref="N151:O151"/>
    <mergeCell ref="L152:M152"/>
    <mergeCell ref="N152:O152"/>
    <mergeCell ref="N153:O153"/>
    <mergeCell ref="D131:I131"/>
    <mergeCell ref="D70:I70"/>
    <mergeCell ref="D74:I74"/>
    <mergeCell ref="L68:M68"/>
    <mergeCell ref="N68:O68"/>
    <mergeCell ref="L69:M69"/>
    <mergeCell ref="N69:O69"/>
    <mergeCell ref="L72:M72"/>
    <mergeCell ref="N72:O72"/>
    <mergeCell ref="L70:M70"/>
    <mergeCell ref="N70:O70"/>
    <mergeCell ref="N73:O73"/>
    <mergeCell ref="N74:O74"/>
    <mergeCell ref="L131:M131"/>
    <mergeCell ref="N131:O131"/>
    <mergeCell ref="L122:M122"/>
    <mergeCell ref="N122:O122"/>
    <mergeCell ref="L83:M83"/>
    <mergeCell ref="N82:O82"/>
    <mergeCell ref="N83:O83"/>
    <mergeCell ref="L106:M106"/>
    <mergeCell ref="L107:M107"/>
    <mergeCell ref="L104:M104"/>
    <mergeCell ref="N104:O104"/>
  </mergeCells>
  <pageMargins left="0.7" right="0.7" top="0.75" bottom="0.75" header="0.3" footer="0.3"/>
  <pageSetup scale="54" fitToHeight="0" orientation="landscape" horizontalDpi="4294967293" verticalDpi="4294967293" r:id="rId1"/>
  <headerFooter>
    <oddFooter>&amp;L&amp;A&amp;R&amp;P of &amp;N</oddFooter>
  </headerFooter>
  <rowBreaks count="1" manualBreakCount="1">
    <brk id="7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31"/>
  <sheetViews>
    <sheetView zoomScale="75" zoomScaleNormal="75" zoomScalePageLayoutView="70" workbookViewId="0"/>
  </sheetViews>
  <sheetFormatPr defaultColWidth="0" defaultRowHeight="12.75" zeroHeight="1" outlineLevelRow="1" x14ac:dyDescent="0.45"/>
  <cols>
    <col min="1" max="5" width="2.86328125" style="20" customWidth="1"/>
    <col min="6" max="6" width="7.265625" style="20" customWidth="1"/>
    <col min="7" max="7" width="5.265625" style="20" customWidth="1"/>
    <col min="8" max="13" width="15.86328125" style="20" customWidth="1"/>
    <col min="14" max="25" width="17" style="20" customWidth="1"/>
    <col min="26" max="26" width="2.73046875" style="20" customWidth="1"/>
    <col min="27" max="27" width="9.1328125" style="20" hidden="1" customWidth="1"/>
    <col min="28" max="28" width="3.1328125" style="20" hidden="1" customWidth="1"/>
    <col min="29" max="16384" width="9.1328125" style="20" hidden="1"/>
  </cols>
  <sheetData>
    <row r="1" spans="1:26" x14ac:dyDescent="0.45">
      <c r="A1" s="421" t="s">
        <v>584</v>
      </c>
      <c r="B1" s="656"/>
      <c r="C1" s="656"/>
      <c r="D1" s="656"/>
      <c r="E1" s="656"/>
      <c r="F1" s="656"/>
      <c r="G1" s="656"/>
      <c r="H1" s="656"/>
      <c r="I1" s="656"/>
      <c r="J1" s="656"/>
      <c r="K1" s="656"/>
      <c r="L1" s="656"/>
      <c r="M1" s="656"/>
      <c r="N1" s="656"/>
      <c r="O1" s="656"/>
      <c r="P1" s="656"/>
      <c r="Q1" s="656"/>
      <c r="R1" s="656"/>
      <c r="S1" s="656"/>
      <c r="T1" s="656"/>
      <c r="U1" s="656"/>
      <c r="V1" s="656"/>
      <c r="W1" s="656"/>
      <c r="X1" s="656"/>
      <c r="Y1" s="656"/>
      <c r="Z1" s="656"/>
    </row>
    <row r="2" spans="1:26" x14ac:dyDescent="0.45">
      <c r="A2" s="656"/>
      <c r="B2" s="656"/>
      <c r="C2" s="656"/>
      <c r="D2" s="656"/>
      <c r="E2" s="656"/>
      <c r="F2" s="656"/>
      <c r="G2" s="656"/>
      <c r="H2" s="656"/>
      <c r="I2" s="656"/>
      <c r="J2" s="656"/>
      <c r="K2" s="656"/>
      <c r="L2" s="656"/>
      <c r="M2" s="656"/>
      <c r="N2" s="656"/>
      <c r="O2" s="656"/>
      <c r="P2" s="656"/>
      <c r="Q2" s="656"/>
      <c r="R2" s="656"/>
      <c r="S2" s="656"/>
      <c r="T2" s="656"/>
      <c r="U2" s="656"/>
      <c r="V2" s="656"/>
      <c r="W2" s="656"/>
      <c r="X2" s="656"/>
      <c r="Y2" s="656"/>
      <c r="Z2" s="656"/>
    </row>
    <row r="3" spans="1:26" ht="13.15" x14ac:dyDescent="0.45">
      <c r="A3" s="488" t="s">
        <v>262</v>
      </c>
      <c r="B3" s="488"/>
      <c r="C3" s="488"/>
      <c r="D3" s="488"/>
      <c r="E3" s="488"/>
      <c r="F3" s="488"/>
      <c r="G3" s="488"/>
      <c r="H3" s="488"/>
      <c r="I3" s="488"/>
      <c r="J3" s="488"/>
      <c r="K3" s="489"/>
      <c r="L3" s="489"/>
      <c r="M3" s="489"/>
      <c r="N3" s="490"/>
      <c r="O3" s="490"/>
      <c r="P3" s="490"/>
      <c r="Q3" s="490"/>
      <c r="R3" s="490"/>
      <c r="S3" s="490"/>
      <c r="T3" s="490"/>
      <c r="U3" s="656"/>
      <c r="V3" s="656"/>
      <c r="W3" s="656"/>
      <c r="X3" s="656"/>
      <c r="Y3" s="656"/>
      <c r="Z3" s="656"/>
    </row>
    <row r="4" spans="1:26" s="156" customFormat="1" ht="12.75" customHeight="1" x14ac:dyDescent="0.45">
      <c r="A4" s="658"/>
      <c r="B4" s="658"/>
      <c r="C4" s="658"/>
      <c r="D4" s="658"/>
      <c r="E4" s="658"/>
      <c r="F4" s="658"/>
      <c r="G4" s="658"/>
      <c r="H4" s="658"/>
      <c r="I4" s="658"/>
      <c r="J4" s="658"/>
      <c r="K4" s="659"/>
      <c r="L4" s="659"/>
      <c r="M4" s="659"/>
      <c r="N4" s="659"/>
      <c r="O4" s="659"/>
      <c r="P4" s="659"/>
      <c r="Q4" s="659"/>
      <c r="R4" s="659"/>
      <c r="S4" s="659"/>
      <c r="T4" s="658"/>
      <c r="U4" s="658"/>
      <c r="V4" s="658"/>
      <c r="W4" s="658"/>
      <c r="X4" s="658"/>
      <c r="Y4" s="658"/>
      <c r="Z4" s="658"/>
    </row>
    <row r="5" spans="1:26" s="156" customFormat="1" ht="12.75" customHeight="1" x14ac:dyDescent="0.45">
      <c r="A5" s="658"/>
      <c r="B5" s="658" t="s">
        <v>182</v>
      </c>
      <c r="C5" s="658"/>
      <c r="D5" s="658"/>
      <c r="E5" s="658"/>
      <c r="F5" s="658"/>
      <c r="G5" s="658"/>
      <c r="H5" s="658"/>
      <c r="I5" s="658"/>
      <c r="J5" s="658"/>
      <c r="K5" s="659"/>
      <c r="L5" s="660"/>
      <c r="M5" s="661"/>
      <c r="N5" s="659"/>
      <c r="O5" s="660"/>
      <c r="P5" s="659"/>
      <c r="Q5" s="659"/>
      <c r="R5" s="660"/>
      <c r="S5" s="661"/>
      <c r="T5" s="660"/>
      <c r="U5" s="658"/>
      <c r="V5" s="658"/>
      <c r="W5" s="658"/>
      <c r="X5" s="658"/>
      <c r="Y5" s="658"/>
      <c r="Z5" s="658"/>
    </row>
    <row r="6" spans="1:26" s="156" customFormat="1" ht="12.75" customHeight="1" x14ac:dyDescent="0.45">
      <c r="A6" s="658"/>
      <c r="B6" s="658"/>
      <c r="C6" s="658" t="s">
        <v>266</v>
      </c>
      <c r="D6" s="658"/>
      <c r="E6" s="658"/>
      <c r="F6" s="658"/>
      <c r="G6" s="658"/>
      <c r="H6" s="658"/>
      <c r="I6" s="658"/>
      <c r="J6" s="658"/>
      <c r="K6" s="659"/>
      <c r="L6" s="659"/>
      <c r="M6" s="659"/>
      <c r="N6" s="659"/>
      <c r="O6" s="659"/>
      <c r="P6" s="659"/>
      <c r="Q6" s="659"/>
      <c r="R6" s="659"/>
      <c r="S6" s="659"/>
      <c r="T6" s="658"/>
      <c r="U6" s="658"/>
      <c r="V6" s="658"/>
      <c r="W6" s="658"/>
      <c r="X6" s="658"/>
      <c r="Y6" s="658"/>
      <c r="Z6" s="658"/>
    </row>
    <row r="7" spans="1:26" s="156" customFormat="1" ht="12.75" customHeight="1" x14ac:dyDescent="0.45">
      <c r="A7" s="658"/>
      <c r="B7" s="658"/>
      <c r="C7" s="658" t="s">
        <v>172</v>
      </c>
      <c r="D7" s="658"/>
      <c r="E7" s="658"/>
      <c r="F7" s="658"/>
      <c r="G7" s="658"/>
      <c r="H7" s="658"/>
      <c r="I7" s="658"/>
      <c r="J7" s="658"/>
      <c r="K7" s="659"/>
      <c r="L7" s="659"/>
      <c r="M7" s="659"/>
      <c r="N7" s="659"/>
      <c r="O7" s="659"/>
      <c r="P7" s="659"/>
      <c r="Q7" s="659"/>
      <c r="R7" s="659"/>
      <c r="S7" s="659"/>
      <c r="T7" s="658"/>
      <c r="U7" s="658"/>
      <c r="V7" s="658"/>
      <c r="W7" s="658"/>
      <c r="X7" s="658"/>
      <c r="Y7" s="658"/>
      <c r="Z7" s="658"/>
    </row>
    <row r="8" spans="1:26" s="156" customFormat="1" x14ac:dyDescent="0.45">
      <c r="A8" s="658"/>
      <c r="B8" s="658"/>
      <c r="C8" s="658" t="s">
        <v>173</v>
      </c>
      <c r="D8" s="658"/>
      <c r="E8" s="658"/>
      <c r="F8" s="658"/>
      <c r="G8" s="658"/>
      <c r="H8" s="658"/>
      <c r="I8" s="658"/>
      <c r="J8" s="658"/>
      <c r="K8" s="658"/>
      <c r="L8" s="658"/>
      <c r="M8" s="658"/>
      <c r="N8" s="658"/>
      <c r="O8" s="658"/>
      <c r="P8" s="658"/>
      <c r="Q8" s="658"/>
      <c r="R8" s="658"/>
      <c r="S8" s="658"/>
      <c r="T8" s="658"/>
      <c r="U8" s="658"/>
      <c r="V8" s="658"/>
      <c r="W8" s="658"/>
      <c r="X8" s="658"/>
      <c r="Y8" s="658"/>
      <c r="Z8" s="658"/>
    </row>
    <row r="9" spans="1:26" s="156" customFormat="1" ht="12.75" customHeight="1" x14ac:dyDescent="0.45">
      <c r="A9" s="658"/>
      <c r="B9" s="658"/>
      <c r="C9" s="658" t="s">
        <v>174</v>
      </c>
      <c r="D9" s="658"/>
      <c r="E9" s="658"/>
      <c r="F9" s="658"/>
      <c r="G9" s="658"/>
      <c r="H9" s="658"/>
      <c r="I9" s="658"/>
      <c r="J9" s="658"/>
      <c r="K9" s="658"/>
      <c r="L9" s="658"/>
      <c r="M9" s="658"/>
      <c r="N9" s="658"/>
      <c r="O9" s="658"/>
      <c r="P9" s="658"/>
      <c r="Q9" s="658"/>
      <c r="R9" s="658"/>
      <c r="S9" s="658"/>
      <c r="T9" s="658"/>
      <c r="U9" s="658"/>
      <c r="V9" s="658"/>
      <c r="W9" s="658"/>
      <c r="X9" s="658"/>
      <c r="Y9" s="658"/>
      <c r="Z9" s="658"/>
    </row>
    <row r="10" spans="1:26" s="156" customFormat="1" ht="12.75" customHeight="1" x14ac:dyDescent="0.45">
      <c r="A10" s="658"/>
      <c r="B10" s="658"/>
      <c r="C10" s="658" t="s">
        <v>597</v>
      </c>
      <c r="D10" s="658"/>
      <c r="E10" s="658"/>
      <c r="F10" s="658"/>
      <c r="G10" s="658"/>
      <c r="H10" s="658"/>
      <c r="I10" s="658"/>
      <c r="J10" s="658"/>
      <c r="K10" s="658"/>
      <c r="L10" s="658"/>
      <c r="M10" s="658"/>
      <c r="N10" s="658"/>
      <c r="O10" s="658"/>
      <c r="P10" s="658"/>
      <c r="Q10" s="658"/>
      <c r="R10" s="658"/>
      <c r="S10" s="658"/>
      <c r="T10" s="658"/>
      <c r="U10" s="658"/>
      <c r="V10" s="658"/>
      <c r="W10" s="658"/>
      <c r="X10" s="658"/>
      <c r="Y10" s="658"/>
      <c r="Z10" s="658"/>
    </row>
    <row r="11" spans="1:26" s="156" customFormat="1" ht="12.75" customHeight="1" x14ac:dyDescent="0.45">
      <c r="A11" s="658"/>
      <c r="B11" s="658"/>
      <c r="C11" s="658"/>
      <c r="D11" s="658"/>
      <c r="E11" s="658"/>
      <c r="F11" s="658"/>
      <c r="G11" s="658"/>
      <c r="H11" s="658"/>
      <c r="I11" s="658"/>
      <c r="J11" s="658"/>
      <c r="K11" s="658"/>
      <c r="L11" s="658"/>
      <c r="M11" s="658"/>
      <c r="N11" s="658"/>
      <c r="O11" s="658"/>
      <c r="P11" s="658"/>
      <c r="Q11" s="658"/>
      <c r="R11" s="658"/>
      <c r="S11" s="658"/>
      <c r="T11" s="658"/>
      <c r="U11" s="658"/>
      <c r="V11" s="658"/>
      <c r="W11" s="658"/>
      <c r="X11" s="658"/>
      <c r="Y11" s="658"/>
      <c r="Z11" s="658"/>
    </row>
    <row r="12" spans="1:26" s="156" customFormat="1" ht="12.75" customHeight="1" x14ac:dyDescent="0.45">
      <c r="A12" s="491" t="s">
        <v>263</v>
      </c>
      <c r="B12" s="491"/>
      <c r="C12" s="491"/>
      <c r="D12" s="491"/>
      <c r="E12" s="491"/>
      <c r="F12" s="491"/>
      <c r="G12" s="491"/>
      <c r="H12" s="491"/>
      <c r="I12" s="491"/>
      <c r="J12" s="491"/>
      <c r="K12" s="492"/>
      <c r="L12" s="492"/>
      <c r="M12" s="492"/>
      <c r="N12" s="492"/>
      <c r="O12" s="492"/>
      <c r="P12" s="492"/>
      <c r="Q12" s="492"/>
      <c r="R12" s="492"/>
      <c r="S12" s="492"/>
      <c r="T12" s="492"/>
      <c r="U12" s="658"/>
      <c r="V12" s="658"/>
      <c r="W12" s="658"/>
      <c r="X12" s="658"/>
      <c r="Y12" s="658"/>
      <c r="Z12" s="658"/>
    </row>
    <row r="13" spans="1:26" x14ac:dyDescent="0.45">
      <c r="A13" s="656"/>
      <c r="B13" s="656"/>
      <c r="C13" s="656"/>
      <c r="D13" s="656"/>
      <c r="E13" s="656"/>
      <c r="F13" s="656"/>
      <c r="G13" s="656"/>
      <c r="H13" s="656"/>
      <c r="I13" s="656"/>
      <c r="J13" s="656"/>
      <c r="K13" s="656"/>
      <c r="L13" s="656"/>
      <c r="M13" s="656"/>
      <c r="N13" s="656"/>
      <c r="O13" s="656"/>
      <c r="P13" s="656"/>
      <c r="Q13" s="656"/>
      <c r="R13" s="656"/>
      <c r="S13" s="656"/>
      <c r="T13" s="656"/>
      <c r="U13" s="656"/>
      <c r="V13" s="656"/>
      <c r="W13" s="656"/>
      <c r="X13" s="656"/>
      <c r="Y13" s="656"/>
      <c r="Z13" s="656"/>
    </row>
    <row r="14" spans="1:26" x14ac:dyDescent="0.45">
      <c r="A14" s="656"/>
      <c r="B14" s="656"/>
      <c r="C14" s="663" t="s">
        <v>655</v>
      </c>
      <c r="D14" s="656"/>
      <c r="E14" s="656"/>
      <c r="F14" s="656"/>
      <c r="G14" s="656"/>
      <c r="H14" s="656"/>
      <c r="I14" s="656"/>
      <c r="J14" s="656"/>
      <c r="K14" s="656"/>
      <c r="L14" s="656"/>
      <c r="M14" s="656"/>
      <c r="N14" s="656"/>
      <c r="O14" s="656"/>
      <c r="P14" s="656"/>
      <c r="Q14" s="656"/>
      <c r="R14" s="656"/>
      <c r="S14" s="656"/>
      <c r="T14" s="656"/>
      <c r="U14" s="656"/>
      <c r="V14" s="656"/>
      <c r="W14" s="656"/>
      <c r="X14" s="656"/>
      <c r="Y14" s="656"/>
      <c r="Z14" s="656"/>
    </row>
    <row r="15" spans="1:26" hidden="1" outlineLevel="1" x14ac:dyDescent="0.45">
      <c r="A15" s="656"/>
      <c r="B15" s="656"/>
      <c r="C15" s="664" t="s">
        <v>656</v>
      </c>
      <c r="D15" s="656"/>
      <c r="E15" s="656"/>
      <c r="F15" s="656"/>
      <c r="G15" s="656"/>
      <c r="H15" s="656"/>
      <c r="I15" s="656"/>
      <c r="J15" s="656"/>
      <c r="K15" s="656"/>
      <c r="L15" s="656"/>
      <c r="M15" s="656"/>
      <c r="N15" s="656"/>
      <c r="O15" s="656"/>
      <c r="P15" s="656"/>
      <c r="Q15" s="656"/>
      <c r="R15" s="656"/>
      <c r="S15" s="656"/>
      <c r="T15" s="656"/>
      <c r="U15" s="656"/>
      <c r="V15" s="656"/>
      <c r="W15" s="656"/>
      <c r="X15" s="656"/>
      <c r="Y15" s="656"/>
      <c r="Z15" s="656"/>
    </row>
    <row r="16" spans="1:26" hidden="1" outlineLevel="1" x14ac:dyDescent="0.45">
      <c r="A16" s="656"/>
      <c r="B16" s="656"/>
      <c r="C16" s="664" t="s">
        <v>595</v>
      </c>
      <c r="D16" s="656"/>
      <c r="E16" s="656"/>
      <c r="F16" s="656"/>
      <c r="G16" s="656"/>
      <c r="H16" s="656"/>
      <c r="I16" s="656"/>
      <c r="J16" s="656"/>
      <c r="K16" s="656"/>
      <c r="L16" s="656"/>
      <c r="M16" s="656"/>
      <c r="N16" s="656"/>
      <c r="O16" s="656"/>
      <c r="P16" s="656"/>
      <c r="Q16" s="656"/>
      <c r="R16" s="656"/>
      <c r="S16" s="656"/>
      <c r="T16" s="656"/>
      <c r="U16" s="656"/>
      <c r="V16" s="656"/>
      <c r="W16" s="656"/>
      <c r="X16" s="656"/>
      <c r="Y16" s="656"/>
      <c r="Z16" s="656"/>
    </row>
    <row r="17" spans="1:26" ht="13.15" collapsed="1" x14ac:dyDescent="0.45">
      <c r="A17" s="656"/>
      <c r="B17" s="656"/>
      <c r="C17" s="656"/>
      <c r="D17" s="656"/>
      <c r="E17" s="656"/>
      <c r="F17" s="656"/>
      <c r="G17" s="656"/>
      <c r="H17" s="656"/>
      <c r="I17" s="656"/>
      <c r="J17" s="656"/>
      <c r="K17" s="656"/>
      <c r="L17" s="656"/>
      <c r="M17" s="656"/>
      <c r="N17" s="2004" t="s">
        <v>49</v>
      </c>
      <c r="O17" s="2005"/>
      <c r="P17" s="2005"/>
      <c r="Q17" s="2005"/>
      <c r="R17" s="2005"/>
      <c r="S17" s="2005"/>
      <c r="T17" s="2006"/>
      <c r="U17" s="656"/>
      <c r="V17" s="656"/>
      <c r="W17" s="656"/>
      <c r="X17" s="656"/>
      <c r="Y17" s="656"/>
      <c r="Z17" s="656"/>
    </row>
    <row r="18" spans="1:26" ht="13.5" customHeight="1" x14ac:dyDescent="0.45">
      <c r="A18" s="656"/>
      <c r="B18" s="656"/>
      <c r="C18" s="660"/>
      <c r="D18" s="660"/>
      <c r="E18" s="660"/>
      <c r="F18" s="658"/>
      <c r="G18" s="658"/>
      <c r="H18" s="658"/>
      <c r="I18" s="658"/>
      <c r="J18" s="658"/>
      <c r="K18" s="658"/>
      <c r="L18" s="665"/>
      <c r="M18" s="665"/>
      <c r="N18" s="395" t="s">
        <v>750</v>
      </c>
      <c r="O18" s="396" t="s">
        <v>589</v>
      </c>
      <c r="P18" s="397" t="s">
        <v>590</v>
      </c>
      <c r="Q18" s="398" t="s">
        <v>591</v>
      </c>
      <c r="R18" s="399" t="s">
        <v>592</v>
      </c>
      <c r="S18" s="400" t="s">
        <v>593</v>
      </c>
      <c r="T18" s="493" t="s">
        <v>142</v>
      </c>
      <c r="U18" s="656"/>
      <c r="V18" s="656"/>
      <c r="W18" s="656"/>
      <c r="X18" s="656"/>
      <c r="Y18" s="656"/>
      <c r="Z18" s="656"/>
    </row>
    <row r="19" spans="1:26" ht="13.15" x14ac:dyDescent="0.45">
      <c r="A19" s="656"/>
      <c r="B19" s="656"/>
      <c r="C19" s="656" t="s">
        <v>28</v>
      </c>
      <c r="D19" s="656"/>
      <c r="E19" s="656"/>
      <c r="F19" s="656"/>
      <c r="G19" s="656"/>
      <c r="H19" s="656"/>
      <c r="I19" s="656"/>
      <c r="J19" s="656"/>
      <c r="K19" s="656"/>
      <c r="L19" s="666" t="s">
        <v>14</v>
      </c>
      <c r="M19" s="656"/>
      <c r="N19" s="298">
        <v>1</v>
      </c>
      <c r="O19" s="299">
        <v>0</v>
      </c>
      <c r="P19" s="494">
        <v>0</v>
      </c>
      <c r="Q19" s="181">
        <v>0</v>
      </c>
      <c r="R19" s="182">
        <v>0</v>
      </c>
      <c r="S19" s="183">
        <v>0</v>
      </c>
      <c r="T19" s="495">
        <f>SUM(N19:S19)</f>
        <v>1</v>
      </c>
      <c r="U19" s="656"/>
      <c r="V19" s="656"/>
      <c r="W19" s="656"/>
      <c r="X19" s="656"/>
      <c r="Y19" s="656"/>
      <c r="Z19" s="656"/>
    </row>
    <row r="20" spans="1:26" x14ac:dyDescent="0.45">
      <c r="A20" s="656"/>
      <c r="B20" s="656"/>
      <c r="C20" s="656" t="s">
        <v>32</v>
      </c>
      <c r="D20" s="656"/>
      <c r="E20" s="656"/>
      <c r="F20" s="656"/>
      <c r="G20" s="656"/>
      <c r="H20" s="656"/>
      <c r="I20" s="656"/>
      <c r="J20" s="656"/>
      <c r="K20" s="656"/>
      <c r="L20" s="666" t="s">
        <v>13</v>
      </c>
      <c r="M20" s="656"/>
      <c r="N20" s="496">
        <v>1</v>
      </c>
      <c r="O20" s="497">
        <v>1</v>
      </c>
      <c r="P20" s="498">
        <v>1</v>
      </c>
      <c r="Q20" s="499">
        <v>1</v>
      </c>
      <c r="R20" s="500">
        <v>1</v>
      </c>
      <c r="S20" s="501">
        <v>1</v>
      </c>
      <c r="T20" s="502"/>
      <c r="U20" s="656"/>
      <c r="V20" s="656"/>
      <c r="W20" s="656"/>
      <c r="X20" s="656"/>
      <c r="Y20" s="656"/>
      <c r="Z20" s="656"/>
    </row>
    <row r="21" spans="1:26" x14ac:dyDescent="0.45">
      <c r="A21" s="656"/>
      <c r="B21" s="656"/>
      <c r="C21" s="656" t="s">
        <v>12</v>
      </c>
      <c r="D21" s="656"/>
      <c r="E21" s="656"/>
      <c r="F21" s="656"/>
      <c r="G21" s="656"/>
      <c r="H21" s="656"/>
      <c r="I21" s="656"/>
      <c r="J21" s="656"/>
      <c r="K21" s="656"/>
      <c r="L21" s="666" t="s">
        <v>726</v>
      </c>
      <c r="M21" s="656"/>
      <c r="N21" s="1526">
        <v>643697</v>
      </c>
      <c r="O21" s="1527">
        <v>0</v>
      </c>
      <c r="P21" s="1528">
        <v>0</v>
      </c>
      <c r="Q21" s="1529">
        <v>0</v>
      </c>
      <c r="R21" s="1530">
        <v>0</v>
      </c>
      <c r="S21" s="1531">
        <v>0</v>
      </c>
      <c r="T21" s="502"/>
      <c r="U21" s="656"/>
      <c r="V21" s="656"/>
      <c r="W21" s="656"/>
      <c r="X21" s="656"/>
      <c r="Y21" s="656"/>
      <c r="Z21" s="656"/>
    </row>
    <row r="22" spans="1:26" ht="13.15" x14ac:dyDescent="0.45">
      <c r="A22" s="656"/>
      <c r="B22" s="656"/>
      <c r="C22" s="658" t="s">
        <v>168</v>
      </c>
      <c r="D22" s="656"/>
      <c r="E22" s="656"/>
      <c r="F22" s="656"/>
      <c r="G22" s="656"/>
      <c r="H22" s="656"/>
      <c r="I22" s="656"/>
      <c r="J22" s="656"/>
      <c r="K22" s="656"/>
      <c r="L22" s="666" t="s">
        <v>18</v>
      </c>
      <c r="M22" s="665"/>
      <c r="N22" s="503">
        <v>25</v>
      </c>
      <c r="O22" s="504">
        <v>0</v>
      </c>
      <c r="P22" s="505">
        <v>0</v>
      </c>
      <c r="Q22" s="506">
        <v>0</v>
      </c>
      <c r="R22" s="507">
        <v>0</v>
      </c>
      <c r="S22" s="508">
        <v>0</v>
      </c>
      <c r="T22" s="502"/>
      <c r="U22" s="656"/>
      <c r="V22" s="656"/>
      <c r="W22" s="656"/>
      <c r="X22" s="656"/>
      <c r="Y22" s="656"/>
      <c r="Z22" s="656"/>
    </row>
    <row r="23" spans="1:26" x14ac:dyDescent="0.45">
      <c r="A23" s="656"/>
      <c r="B23" s="656"/>
      <c r="C23" s="656" t="s">
        <v>15</v>
      </c>
      <c r="D23" s="656"/>
      <c r="E23" s="656"/>
      <c r="F23" s="656"/>
      <c r="G23" s="656"/>
      <c r="H23" s="656"/>
      <c r="I23" s="656"/>
      <c r="J23" s="656"/>
      <c r="K23" s="656"/>
      <c r="L23" s="666" t="s">
        <v>14</v>
      </c>
      <c r="M23" s="656"/>
      <c r="N23" s="298">
        <v>0.25</v>
      </c>
      <c r="O23" s="299">
        <v>0</v>
      </c>
      <c r="P23" s="494">
        <v>0</v>
      </c>
      <c r="Q23" s="181">
        <v>0</v>
      </c>
      <c r="R23" s="182">
        <v>0</v>
      </c>
      <c r="S23" s="183">
        <v>0</v>
      </c>
      <c r="T23" s="502"/>
      <c r="U23" s="656"/>
      <c r="V23" s="656"/>
      <c r="W23" s="656"/>
      <c r="X23" s="656"/>
      <c r="Y23" s="656"/>
      <c r="Z23" s="656"/>
    </row>
    <row r="24" spans="1:26" s="156" customFormat="1" ht="12.75" customHeight="1" x14ac:dyDescent="0.45">
      <c r="A24" s="656"/>
      <c r="B24" s="658"/>
      <c r="C24" s="660" t="s">
        <v>594</v>
      </c>
      <c r="D24" s="658"/>
      <c r="E24" s="658"/>
      <c r="F24" s="658"/>
      <c r="G24" s="658"/>
      <c r="H24" s="658"/>
      <c r="I24" s="658"/>
      <c r="J24" s="658"/>
      <c r="K24" s="658"/>
      <c r="L24" s="659" t="s">
        <v>143</v>
      </c>
      <c r="M24" s="656"/>
      <c r="N24" s="510">
        <v>0.374</v>
      </c>
      <c r="O24" s="511">
        <v>0</v>
      </c>
      <c r="P24" s="512">
        <v>0</v>
      </c>
      <c r="Q24" s="513">
        <v>0</v>
      </c>
      <c r="R24" s="514">
        <v>0</v>
      </c>
      <c r="S24" s="515">
        <v>0</v>
      </c>
      <c r="T24" s="516">
        <f>SUMPRODUCT(N19:S19,N24:S24)</f>
        <v>0.374</v>
      </c>
      <c r="U24" s="1511"/>
      <c r="V24" s="1511"/>
      <c r="W24" s="658"/>
      <c r="X24" s="658"/>
      <c r="Y24" s="658"/>
      <c r="Z24" s="658"/>
    </row>
    <row r="25" spans="1:26" x14ac:dyDescent="0.45">
      <c r="A25" s="656"/>
      <c r="B25" s="656"/>
      <c r="C25" s="656"/>
      <c r="D25" s="656"/>
      <c r="E25" s="656"/>
      <c r="F25" s="656"/>
      <c r="G25" s="656"/>
      <c r="H25" s="656"/>
      <c r="I25" s="656"/>
      <c r="J25" s="656"/>
      <c r="K25" s="656"/>
      <c r="L25" s="656"/>
      <c r="M25" s="656"/>
      <c r="N25" s="656"/>
      <c r="O25" s="656"/>
      <c r="P25" s="656"/>
      <c r="Q25" s="656"/>
      <c r="R25" s="656"/>
      <c r="S25" s="656"/>
      <c r="T25" s="656"/>
      <c r="U25" s="656"/>
      <c r="V25" s="656"/>
      <c r="W25" s="656"/>
      <c r="X25" s="656"/>
      <c r="Y25" s="656"/>
      <c r="Z25" s="656"/>
    </row>
    <row r="26" spans="1:26" s="156" customFormat="1" ht="12.75" customHeight="1" x14ac:dyDescent="0.45">
      <c r="A26" s="491" t="s">
        <v>175</v>
      </c>
      <c r="B26" s="491"/>
      <c r="C26" s="491"/>
      <c r="D26" s="491"/>
      <c r="E26" s="491"/>
      <c r="F26" s="491"/>
      <c r="G26" s="491"/>
      <c r="H26" s="491"/>
      <c r="I26" s="491"/>
      <c r="J26" s="517"/>
      <c r="K26" s="492"/>
      <c r="L26" s="492"/>
      <c r="M26" s="492"/>
      <c r="N26" s="492"/>
      <c r="O26" s="492"/>
      <c r="P26" s="492"/>
      <c r="Q26" s="492"/>
      <c r="R26" s="492"/>
      <c r="S26" s="492"/>
      <c r="T26" s="492"/>
      <c r="U26" s="658"/>
      <c r="V26" s="658"/>
      <c r="W26" s="658"/>
      <c r="X26" s="658"/>
      <c r="Y26" s="658"/>
      <c r="Z26" s="658"/>
    </row>
    <row r="27" spans="1:26" s="156" customFormat="1" ht="12.75" customHeight="1" x14ac:dyDescent="0.45">
      <c r="A27" s="657"/>
      <c r="B27" s="657"/>
      <c r="C27" s="657"/>
      <c r="D27" s="657"/>
      <c r="E27" s="657"/>
      <c r="F27" s="657"/>
      <c r="G27" s="657"/>
      <c r="H27" s="657"/>
      <c r="I27" s="657"/>
      <c r="J27" s="657"/>
      <c r="K27" s="662"/>
      <c r="L27" s="662"/>
      <c r="M27" s="662"/>
      <c r="N27" s="662"/>
      <c r="O27" s="662"/>
      <c r="P27" s="662"/>
      <c r="Q27" s="662"/>
      <c r="R27" s="662"/>
      <c r="S27" s="662"/>
      <c r="T27" s="662"/>
      <c r="U27" s="658"/>
      <c r="V27" s="658"/>
      <c r="W27" s="658"/>
      <c r="X27" s="658"/>
      <c r="Y27" s="658"/>
      <c r="Z27" s="658"/>
    </row>
    <row r="28" spans="1:26" s="156" customFormat="1" ht="12.75" customHeight="1" x14ac:dyDescent="0.45">
      <c r="A28" s="657"/>
      <c r="B28" s="667" t="s">
        <v>176</v>
      </c>
      <c r="C28" s="668"/>
      <c r="D28" s="668"/>
      <c r="E28" s="668"/>
      <c r="F28" s="668"/>
      <c r="G28" s="668"/>
      <c r="H28" s="668"/>
      <c r="I28" s="668"/>
      <c r="J28" s="668"/>
      <c r="K28" s="667"/>
      <c r="L28" s="669"/>
      <c r="M28" s="669"/>
      <c r="N28" s="669"/>
      <c r="O28" s="669"/>
      <c r="P28" s="669"/>
      <c r="Q28" s="669"/>
      <c r="R28" s="669"/>
      <c r="S28" s="669"/>
      <c r="T28" s="669"/>
      <c r="U28" s="658"/>
      <c r="V28" s="658"/>
      <c r="W28" s="658"/>
      <c r="X28" s="658"/>
      <c r="Y28" s="658"/>
      <c r="Z28" s="658"/>
    </row>
    <row r="29" spans="1:26" s="156" customFormat="1" ht="12.75" customHeight="1" x14ac:dyDescent="0.45">
      <c r="A29" s="657"/>
      <c r="B29" s="660"/>
      <c r="C29" s="658"/>
      <c r="D29" s="658"/>
      <c r="E29" s="658"/>
      <c r="F29" s="658"/>
      <c r="G29" s="658"/>
      <c r="H29" s="658"/>
      <c r="I29" s="658"/>
      <c r="J29" s="658"/>
      <c r="K29" s="660"/>
      <c r="L29" s="662"/>
      <c r="M29" s="662"/>
      <c r="N29" s="662"/>
      <c r="O29" s="662"/>
      <c r="P29" s="662"/>
      <c r="Q29" s="662"/>
      <c r="R29" s="662"/>
      <c r="S29" s="662"/>
      <c r="T29" s="662"/>
      <c r="U29" s="658"/>
      <c r="V29" s="658"/>
      <c r="W29" s="658"/>
      <c r="X29" s="658"/>
      <c r="Y29" s="658"/>
      <c r="Z29" s="658"/>
    </row>
    <row r="30" spans="1:26" s="156" customFormat="1" ht="12.75" customHeight="1" x14ac:dyDescent="0.45">
      <c r="A30" s="657"/>
      <c r="B30" s="660"/>
      <c r="C30" s="663" t="s">
        <v>655</v>
      </c>
      <c r="D30" s="658"/>
      <c r="E30" s="658"/>
      <c r="F30" s="658"/>
      <c r="G30" s="658"/>
      <c r="H30" s="658"/>
      <c r="I30" s="658"/>
      <c r="J30" s="658"/>
      <c r="K30" s="660"/>
      <c r="L30" s="662"/>
      <c r="M30" s="662"/>
      <c r="N30" s="662"/>
      <c r="O30" s="662"/>
      <c r="P30" s="662"/>
      <c r="Q30" s="662"/>
      <c r="R30" s="662"/>
      <c r="S30" s="662"/>
      <c r="T30" s="662"/>
      <c r="U30" s="658"/>
      <c r="V30" s="658"/>
      <c r="W30" s="658"/>
      <c r="X30" s="658"/>
      <c r="Y30" s="658"/>
      <c r="Z30" s="658"/>
    </row>
    <row r="31" spans="1:26" s="156" customFormat="1" ht="12.75" hidden="1" customHeight="1" outlineLevel="1" x14ac:dyDescent="0.45">
      <c r="A31" s="657"/>
      <c r="B31" s="660"/>
      <c r="C31" s="664" t="s">
        <v>344</v>
      </c>
      <c r="D31" s="658"/>
      <c r="E31" s="658"/>
      <c r="F31" s="658"/>
      <c r="G31" s="658"/>
      <c r="H31" s="658"/>
      <c r="I31" s="658"/>
      <c r="J31" s="658"/>
      <c r="K31" s="660"/>
      <c r="L31" s="662"/>
      <c r="M31" s="662"/>
      <c r="N31" s="662"/>
      <c r="O31" s="662"/>
      <c r="P31" s="662"/>
      <c r="Q31" s="662"/>
      <c r="R31" s="662"/>
      <c r="S31" s="662"/>
      <c r="T31" s="662"/>
      <c r="U31" s="658"/>
      <c r="V31" s="658"/>
      <c r="W31" s="658"/>
      <c r="X31" s="658"/>
      <c r="Y31" s="658"/>
      <c r="Z31" s="658"/>
    </row>
    <row r="32" spans="1:26" ht="13.15" collapsed="1" x14ac:dyDescent="0.45">
      <c r="A32" s="656"/>
      <c r="B32" s="656"/>
      <c r="C32" s="656"/>
      <c r="D32" s="656"/>
      <c r="E32" s="656"/>
      <c r="F32" s="656"/>
      <c r="G32" s="656"/>
      <c r="H32" s="656"/>
      <c r="I32" s="656"/>
      <c r="J32" s="656" t="s">
        <v>45</v>
      </c>
      <c r="K32" s="656"/>
      <c r="L32" s="656"/>
      <c r="M32" s="656"/>
      <c r="N32" s="2004" t="s">
        <v>49</v>
      </c>
      <c r="O32" s="2005"/>
      <c r="P32" s="2005"/>
      <c r="Q32" s="2005"/>
      <c r="R32" s="2005"/>
      <c r="S32" s="2006"/>
      <c r="T32" s="658"/>
      <c r="U32" s="656"/>
      <c r="V32" s="656"/>
      <c r="W32" s="656"/>
      <c r="X32" s="656"/>
      <c r="Y32" s="656"/>
      <c r="Z32" s="656"/>
    </row>
    <row r="33" spans="1:26" ht="13.15" x14ac:dyDescent="0.45">
      <c r="A33" s="656"/>
      <c r="B33" s="656"/>
      <c r="C33" s="656"/>
      <c r="D33" s="656"/>
      <c r="E33" s="656"/>
      <c r="F33" s="656"/>
      <c r="G33" s="656"/>
      <c r="H33" s="656"/>
      <c r="I33" s="656"/>
      <c r="J33" s="656"/>
      <c r="K33" s="656"/>
      <c r="L33" s="665"/>
      <c r="M33" s="670"/>
      <c r="N33" s="21" t="str">
        <f>$N$18</f>
        <v>CCGT</v>
      </c>
      <c r="O33" s="22" t="str">
        <f>$O$18</f>
        <v>Technology #2</v>
      </c>
      <c r="P33" s="23" t="str">
        <f>$P$18</f>
        <v>Technology #3</v>
      </c>
      <c r="Q33" s="24" t="str">
        <f>$Q$18</f>
        <v>Technology #4</v>
      </c>
      <c r="R33" s="27" t="str">
        <f>$R$18</f>
        <v>Technology #5</v>
      </c>
      <c r="S33" s="25" t="str">
        <f>$S$18</f>
        <v>Technology #6</v>
      </c>
      <c r="T33" s="658"/>
      <c r="U33" s="656"/>
      <c r="V33" s="656"/>
      <c r="W33" s="656"/>
      <c r="X33" s="656"/>
      <c r="Y33" s="656"/>
      <c r="Z33" s="656"/>
    </row>
    <row r="34" spans="1:26" ht="13.15" x14ac:dyDescent="0.45">
      <c r="A34" s="656"/>
      <c r="B34" s="656"/>
      <c r="C34" s="671" t="s">
        <v>23</v>
      </c>
      <c r="D34" s="656"/>
      <c r="E34" s="656"/>
      <c r="F34" s="656"/>
      <c r="G34" s="656"/>
      <c r="H34" s="656"/>
      <c r="I34" s="656"/>
      <c r="J34" s="656"/>
      <c r="K34" s="671"/>
      <c r="L34" s="656"/>
      <c r="M34" s="656"/>
      <c r="N34" s="518"/>
      <c r="O34" s="519"/>
      <c r="P34" s="520"/>
      <c r="Q34" s="521"/>
      <c r="R34" s="522"/>
      <c r="S34" s="523"/>
      <c r="T34" s="658"/>
      <c r="U34" s="656"/>
      <c r="V34" s="656"/>
      <c r="W34" s="656"/>
      <c r="X34" s="656"/>
      <c r="Y34" s="656"/>
      <c r="Z34" s="656"/>
    </row>
    <row r="35" spans="1:26" x14ac:dyDescent="0.45">
      <c r="A35" s="656"/>
      <c r="B35" s="656"/>
      <c r="C35" s="656"/>
      <c r="D35" s="656" t="s">
        <v>25</v>
      </c>
      <c r="E35" s="656"/>
      <c r="F35" s="656"/>
      <c r="G35" s="656"/>
      <c r="H35" s="656"/>
      <c r="I35" s="656"/>
      <c r="J35" s="656"/>
      <c r="K35" s="656"/>
      <c r="L35" s="666" t="s">
        <v>14</v>
      </c>
      <c r="M35" s="656"/>
      <c r="N35" s="524">
        <v>0.25</v>
      </c>
      <c r="O35" s="525">
        <v>0</v>
      </c>
      <c r="P35" s="526">
        <v>0</v>
      </c>
      <c r="Q35" s="527">
        <v>0</v>
      </c>
      <c r="R35" s="528">
        <v>0</v>
      </c>
      <c r="S35" s="529">
        <v>0</v>
      </c>
      <c r="T35" s="658"/>
      <c r="U35" s="656"/>
      <c r="V35" s="656"/>
      <c r="W35" s="656"/>
      <c r="X35" s="656"/>
      <c r="Y35" s="656"/>
      <c r="Z35" s="656"/>
    </row>
    <row r="36" spans="1:26" x14ac:dyDescent="0.45">
      <c r="A36" s="656"/>
      <c r="B36" s="656"/>
      <c r="C36" s="656"/>
      <c r="D36" s="656" t="s">
        <v>24</v>
      </c>
      <c r="E36" s="656"/>
      <c r="F36" s="656"/>
      <c r="G36" s="656"/>
      <c r="H36" s="656"/>
      <c r="I36" s="656"/>
      <c r="J36" s="656"/>
      <c r="K36" s="656"/>
      <c r="L36" s="666" t="s">
        <v>14</v>
      </c>
      <c r="M36" s="656"/>
      <c r="N36" s="530">
        <v>0.75</v>
      </c>
      <c r="O36" s="531">
        <f t="shared" ref="O36:S36" si="0">1-O35</f>
        <v>1</v>
      </c>
      <c r="P36" s="532">
        <f t="shared" si="0"/>
        <v>1</v>
      </c>
      <c r="Q36" s="533">
        <f t="shared" si="0"/>
        <v>1</v>
      </c>
      <c r="R36" s="534">
        <f t="shared" si="0"/>
        <v>1</v>
      </c>
      <c r="S36" s="535">
        <f t="shared" si="0"/>
        <v>1</v>
      </c>
      <c r="T36" s="658"/>
      <c r="U36" s="656"/>
      <c r="V36" s="656"/>
      <c r="W36" s="656"/>
      <c r="X36" s="656"/>
      <c r="Y36" s="656"/>
      <c r="Z36" s="656"/>
    </row>
    <row r="37" spans="1:26" x14ac:dyDescent="0.45">
      <c r="A37" s="656"/>
      <c r="B37" s="656"/>
      <c r="C37" s="656"/>
      <c r="D37" s="656"/>
      <c r="E37" s="656" t="s">
        <v>325</v>
      </c>
      <c r="F37" s="656"/>
      <c r="G37" s="656"/>
      <c r="H37" s="656"/>
      <c r="I37" s="656"/>
      <c r="J37" s="656"/>
      <c r="K37" s="656"/>
      <c r="L37" s="666"/>
      <c r="M37" s="656"/>
      <c r="N37" s="536"/>
      <c r="O37" s="537"/>
      <c r="P37" s="538"/>
      <c r="Q37" s="539"/>
      <c r="R37" s="540"/>
      <c r="S37" s="541"/>
      <c r="T37" s="658"/>
      <c r="U37" s="656"/>
      <c r="V37" s="656"/>
      <c r="W37" s="656"/>
      <c r="X37" s="656"/>
      <c r="Y37" s="656"/>
      <c r="Z37" s="656"/>
    </row>
    <row r="38" spans="1:26" x14ac:dyDescent="0.45">
      <c r="A38" s="656"/>
      <c r="B38" s="656"/>
      <c r="C38" s="656"/>
      <c r="D38" s="656"/>
      <c r="E38" s="656"/>
      <c r="F38" s="672" t="s">
        <v>264</v>
      </c>
      <c r="G38" s="656"/>
      <c r="H38" s="656"/>
      <c r="I38" s="656"/>
      <c r="J38" s="656"/>
      <c r="K38" s="656"/>
      <c r="L38" s="666"/>
      <c r="M38" s="656"/>
      <c r="N38" s="542">
        <v>0</v>
      </c>
      <c r="O38" s="543">
        <f t="shared" ref="O38:S38" si="1">O69</f>
        <v>0</v>
      </c>
      <c r="P38" s="544">
        <f t="shared" si="1"/>
        <v>0</v>
      </c>
      <c r="Q38" s="545">
        <f t="shared" si="1"/>
        <v>0</v>
      </c>
      <c r="R38" s="546">
        <f t="shared" si="1"/>
        <v>0</v>
      </c>
      <c r="S38" s="547">
        <f t="shared" si="1"/>
        <v>0</v>
      </c>
      <c r="T38" s="658"/>
      <c r="U38" s="656"/>
      <c r="V38" s="656"/>
      <c r="W38" s="656"/>
      <c r="X38" s="656"/>
      <c r="Y38" s="656"/>
      <c r="Z38" s="656"/>
    </row>
    <row r="39" spans="1:26" x14ac:dyDescent="0.45">
      <c r="A39" s="656"/>
      <c r="B39" s="656"/>
      <c r="C39" s="656"/>
      <c r="D39" s="656"/>
      <c r="E39" s="656"/>
      <c r="F39" s="672" t="s">
        <v>253</v>
      </c>
      <c r="G39" s="656"/>
      <c r="H39" s="656"/>
      <c r="I39" s="656"/>
      <c r="J39" s="656"/>
      <c r="K39" s="656"/>
      <c r="L39" s="666"/>
      <c r="M39" s="656"/>
      <c r="N39" s="542">
        <v>0</v>
      </c>
      <c r="O39" s="543">
        <f t="shared" ref="O39:S39" si="2">O71</f>
        <v>0</v>
      </c>
      <c r="P39" s="544">
        <f t="shared" si="2"/>
        <v>0</v>
      </c>
      <c r="Q39" s="545">
        <f t="shared" si="2"/>
        <v>0</v>
      </c>
      <c r="R39" s="546">
        <f t="shared" si="2"/>
        <v>0</v>
      </c>
      <c r="S39" s="547">
        <f t="shared" si="2"/>
        <v>0</v>
      </c>
      <c r="T39" s="658"/>
      <c r="U39" s="656"/>
      <c r="V39" s="656"/>
      <c r="W39" s="656"/>
      <c r="X39" s="656"/>
      <c r="Y39" s="656"/>
      <c r="Z39" s="656"/>
    </row>
    <row r="40" spans="1:26" x14ac:dyDescent="0.45">
      <c r="A40" s="656"/>
      <c r="B40" s="656"/>
      <c r="C40" s="656"/>
      <c r="D40" s="656"/>
      <c r="E40" s="656"/>
      <c r="F40" s="658" t="s">
        <v>254</v>
      </c>
      <c r="G40" s="656"/>
      <c r="H40" s="656"/>
      <c r="I40" s="656"/>
      <c r="J40" s="656"/>
      <c r="K40" s="656"/>
      <c r="L40" s="666"/>
      <c r="M40" s="656"/>
      <c r="N40" s="542">
        <v>1</v>
      </c>
      <c r="O40" s="543">
        <f t="shared" ref="O40:S40" si="3">IF(O36=0, 0, (1-SUM(O38:O39)))</f>
        <v>1</v>
      </c>
      <c r="P40" s="544">
        <f t="shared" si="3"/>
        <v>1</v>
      </c>
      <c r="Q40" s="545">
        <f t="shared" si="3"/>
        <v>1</v>
      </c>
      <c r="R40" s="546">
        <f t="shared" si="3"/>
        <v>1</v>
      </c>
      <c r="S40" s="547">
        <f t="shared" si="3"/>
        <v>1</v>
      </c>
      <c r="T40" s="658"/>
      <c r="U40" s="656"/>
      <c r="V40" s="656"/>
      <c r="W40" s="656"/>
      <c r="X40" s="656"/>
      <c r="Y40" s="656"/>
      <c r="Z40" s="656"/>
    </row>
    <row r="41" spans="1:26" s="509" customFormat="1" x14ac:dyDescent="0.45">
      <c r="A41" s="656"/>
      <c r="B41" s="656"/>
      <c r="C41" s="656"/>
      <c r="D41" s="656"/>
      <c r="E41" s="656"/>
      <c r="F41" s="656"/>
      <c r="G41" s="656"/>
      <c r="H41" s="656"/>
      <c r="I41" s="656"/>
      <c r="J41" s="673"/>
      <c r="K41" s="674"/>
      <c r="L41" s="674"/>
      <c r="M41" s="674"/>
      <c r="N41" s="548"/>
      <c r="O41" s="549"/>
      <c r="P41" s="550"/>
      <c r="Q41" s="551"/>
      <c r="R41" s="552"/>
      <c r="S41" s="553"/>
      <c r="T41" s="658"/>
      <c r="U41" s="656"/>
      <c r="V41" s="656"/>
      <c r="W41" s="656"/>
      <c r="X41" s="656"/>
      <c r="Y41" s="656"/>
      <c r="Z41" s="656"/>
    </row>
    <row r="42" spans="1:26" ht="13.15" x14ac:dyDescent="0.45">
      <c r="A42" s="656"/>
      <c r="B42" s="656"/>
      <c r="C42" s="671" t="s">
        <v>46</v>
      </c>
      <c r="D42" s="656"/>
      <c r="E42" s="656"/>
      <c r="F42" s="656"/>
      <c r="G42" s="656"/>
      <c r="H42" s="656"/>
      <c r="I42" s="656"/>
      <c r="J42" s="656"/>
      <c r="K42" s="656"/>
      <c r="L42" s="656"/>
      <c r="M42" s="656"/>
      <c r="N42" s="554"/>
      <c r="O42" s="555"/>
      <c r="P42" s="556"/>
      <c r="Q42" s="557"/>
      <c r="R42" s="558"/>
      <c r="S42" s="559"/>
      <c r="T42" s="658"/>
      <c r="U42" s="656"/>
      <c r="V42" s="656"/>
      <c r="W42" s="656"/>
      <c r="X42" s="656"/>
      <c r="Y42" s="656"/>
      <c r="Z42" s="656"/>
    </row>
    <row r="43" spans="1:26" x14ac:dyDescent="0.45">
      <c r="A43" s="656"/>
      <c r="B43" s="656"/>
      <c r="C43" s="656"/>
      <c r="D43" s="656" t="s">
        <v>4</v>
      </c>
      <c r="E43" s="656"/>
      <c r="F43" s="656"/>
      <c r="G43" s="656"/>
      <c r="H43" s="656"/>
      <c r="I43" s="656"/>
      <c r="J43" s="656"/>
      <c r="K43" s="656"/>
      <c r="L43" s="666" t="s">
        <v>14</v>
      </c>
      <c r="M43" s="675"/>
      <c r="N43" s="524">
        <v>0.14449999999999999</v>
      </c>
      <c r="O43" s="525">
        <v>0</v>
      </c>
      <c r="P43" s="526">
        <v>0</v>
      </c>
      <c r="Q43" s="527">
        <v>0</v>
      </c>
      <c r="R43" s="528">
        <v>0</v>
      </c>
      <c r="S43" s="529">
        <v>0</v>
      </c>
      <c r="T43" s="658"/>
      <c r="U43" s="656"/>
      <c r="V43" s="656"/>
      <c r="W43" s="656"/>
      <c r="X43" s="656"/>
      <c r="Y43" s="656"/>
      <c r="Z43" s="656"/>
    </row>
    <row r="44" spans="1:26" x14ac:dyDescent="0.45">
      <c r="A44" s="656"/>
      <c r="B44" s="656"/>
      <c r="C44" s="656"/>
      <c r="D44" s="656" t="s">
        <v>47</v>
      </c>
      <c r="E44" s="656"/>
      <c r="F44" s="656"/>
      <c r="G44" s="656"/>
      <c r="H44" s="656"/>
      <c r="I44" s="656"/>
      <c r="J44" s="656"/>
      <c r="K44" s="656"/>
      <c r="L44" s="656"/>
      <c r="M44" s="656"/>
      <c r="N44" s="560"/>
      <c r="O44" s="561"/>
      <c r="P44" s="562"/>
      <c r="Q44" s="563"/>
      <c r="R44" s="564"/>
      <c r="S44" s="565"/>
      <c r="T44" s="658"/>
      <c r="U44" s="656"/>
      <c r="V44" s="656"/>
      <c r="W44" s="656"/>
      <c r="X44" s="656"/>
      <c r="Y44" s="656"/>
      <c r="Z44" s="656"/>
    </row>
    <row r="45" spans="1:26" x14ac:dyDescent="0.45">
      <c r="A45" s="656"/>
      <c r="B45" s="656"/>
      <c r="C45" s="656"/>
      <c r="D45" s="656"/>
      <c r="E45" s="672" t="s">
        <v>264</v>
      </c>
      <c r="F45" s="656"/>
      <c r="G45" s="656"/>
      <c r="H45" s="656"/>
      <c r="I45" s="656"/>
      <c r="J45" s="656"/>
      <c r="K45" s="656"/>
      <c r="L45" s="666" t="s">
        <v>14</v>
      </c>
      <c r="M45" s="656"/>
      <c r="N45" s="566">
        <v>0</v>
      </c>
      <c r="O45" s="567" t="str">
        <f>IF($O$19&gt;0, O76, "NA")</f>
        <v>NA</v>
      </c>
      <c r="P45" s="568" t="str">
        <f>IF(P19&gt;0, P76, "NA")</f>
        <v>NA</v>
      </c>
      <c r="Q45" s="569" t="str">
        <f>IF(Q19&gt;0, Q76, "NA")</f>
        <v>NA</v>
      </c>
      <c r="R45" s="570" t="str">
        <f>IF(R19&gt;0, R76, "NA")</f>
        <v>NA</v>
      </c>
      <c r="S45" s="571" t="str">
        <f>IF(S19&gt;0, S76, "NA")</f>
        <v>NA</v>
      </c>
      <c r="T45" s="658"/>
      <c r="U45" s="656"/>
      <c r="V45" s="656"/>
      <c r="W45" s="656"/>
      <c r="X45" s="656"/>
      <c r="Y45" s="656"/>
      <c r="Z45" s="656"/>
    </row>
    <row r="46" spans="1:26" x14ac:dyDescent="0.45">
      <c r="A46" s="656"/>
      <c r="B46" s="656"/>
      <c r="C46" s="656"/>
      <c r="D46" s="656"/>
      <c r="E46" s="672" t="s">
        <v>253</v>
      </c>
      <c r="F46" s="656"/>
      <c r="G46" s="656"/>
      <c r="H46" s="656"/>
      <c r="I46" s="656"/>
      <c r="J46" s="656"/>
      <c r="K46" s="656"/>
      <c r="L46" s="666" t="s">
        <v>14</v>
      </c>
      <c r="M46" s="656"/>
      <c r="N46" s="566">
        <v>0</v>
      </c>
      <c r="O46" s="567" t="str">
        <f t="shared" ref="O46:S46" si="4">IF(O19&gt;0, O80, "NA")</f>
        <v>NA</v>
      </c>
      <c r="P46" s="568" t="str">
        <f t="shared" si="4"/>
        <v>NA</v>
      </c>
      <c r="Q46" s="569" t="str">
        <f t="shared" si="4"/>
        <v>NA</v>
      </c>
      <c r="R46" s="570" t="str">
        <f t="shared" si="4"/>
        <v>NA</v>
      </c>
      <c r="S46" s="571" t="str">
        <f t="shared" si="4"/>
        <v>NA</v>
      </c>
      <c r="T46" s="658"/>
      <c r="U46" s="656"/>
      <c r="V46" s="656"/>
      <c r="W46" s="656"/>
      <c r="X46" s="656"/>
      <c r="Y46" s="656"/>
      <c r="Z46" s="656"/>
    </row>
    <row r="47" spans="1:26" x14ac:dyDescent="0.45">
      <c r="A47" s="656"/>
      <c r="B47" s="656"/>
      <c r="C47" s="656"/>
      <c r="D47" s="656"/>
      <c r="E47" s="658" t="s">
        <v>254</v>
      </c>
      <c r="F47" s="656"/>
      <c r="G47" s="656"/>
      <c r="H47" s="656"/>
      <c r="I47" s="656"/>
      <c r="J47" s="656"/>
      <c r="K47" s="656"/>
      <c r="L47" s="666" t="s">
        <v>14</v>
      </c>
      <c r="M47" s="656"/>
      <c r="N47" s="524">
        <v>6.8000000000000005E-2</v>
      </c>
      <c r="O47" s="525">
        <v>0</v>
      </c>
      <c r="P47" s="526">
        <v>0</v>
      </c>
      <c r="Q47" s="527">
        <v>0</v>
      </c>
      <c r="R47" s="528">
        <v>0</v>
      </c>
      <c r="S47" s="529">
        <v>0</v>
      </c>
      <c r="T47" s="658"/>
      <c r="U47" s="656"/>
      <c r="V47" s="656"/>
      <c r="W47" s="656"/>
      <c r="X47" s="656"/>
      <c r="Y47" s="656"/>
      <c r="Z47" s="656"/>
    </row>
    <row r="48" spans="1:26" x14ac:dyDescent="0.45">
      <c r="A48" s="656"/>
      <c r="B48" s="656"/>
      <c r="C48" s="656"/>
      <c r="D48" s="656"/>
      <c r="E48" s="656"/>
      <c r="F48" s="656"/>
      <c r="G48" s="656"/>
      <c r="H48" s="656"/>
      <c r="I48" s="656"/>
      <c r="J48" s="656"/>
      <c r="K48" s="656"/>
      <c r="L48" s="656"/>
      <c r="M48" s="656"/>
      <c r="N48" s="560"/>
      <c r="O48" s="561"/>
      <c r="P48" s="562"/>
      <c r="Q48" s="563"/>
      <c r="R48" s="564"/>
      <c r="S48" s="565"/>
      <c r="T48" s="658"/>
      <c r="U48" s="656"/>
      <c r="V48" s="656"/>
      <c r="W48" s="656"/>
      <c r="X48" s="656"/>
      <c r="Y48" s="656"/>
      <c r="Z48" s="656"/>
    </row>
    <row r="49" spans="1:26" ht="13.15" x14ac:dyDescent="0.45">
      <c r="A49" s="656"/>
      <c r="B49" s="656"/>
      <c r="C49" s="671" t="s">
        <v>26</v>
      </c>
      <c r="D49" s="671"/>
      <c r="E49" s="671"/>
      <c r="F49" s="656"/>
      <c r="G49" s="656"/>
      <c r="H49" s="656"/>
      <c r="I49" s="656"/>
      <c r="J49" s="656"/>
      <c r="K49" s="656"/>
      <c r="L49" s="656"/>
      <c r="M49" s="656"/>
      <c r="N49" s="560"/>
      <c r="O49" s="561"/>
      <c r="P49" s="562"/>
      <c r="Q49" s="563"/>
      <c r="R49" s="564"/>
      <c r="S49" s="565"/>
      <c r="T49" s="658"/>
      <c r="U49" s="656"/>
      <c r="V49" s="656"/>
      <c r="W49" s="656"/>
      <c r="X49" s="656"/>
      <c r="Y49" s="656"/>
      <c r="Z49" s="656"/>
    </row>
    <row r="50" spans="1:26" ht="13.15" x14ac:dyDescent="0.45">
      <c r="A50" s="656"/>
      <c r="B50" s="656"/>
      <c r="C50" s="671"/>
      <c r="D50" s="672" t="s">
        <v>264</v>
      </c>
      <c r="E50" s="671"/>
      <c r="F50" s="656"/>
      <c r="G50" s="656"/>
      <c r="H50" s="656"/>
      <c r="I50" s="656"/>
      <c r="J50" s="656"/>
      <c r="K50" s="656"/>
      <c r="L50" s="666" t="s">
        <v>18</v>
      </c>
      <c r="M50" s="656"/>
      <c r="N50" s="572">
        <v>0</v>
      </c>
      <c r="O50" s="573">
        <f t="shared" ref="O50:S50" si="5">O77</f>
        <v>0</v>
      </c>
      <c r="P50" s="574">
        <f t="shared" si="5"/>
        <v>0</v>
      </c>
      <c r="Q50" s="575">
        <f t="shared" si="5"/>
        <v>0</v>
      </c>
      <c r="R50" s="576">
        <f t="shared" si="5"/>
        <v>0</v>
      </c>
      <c r="S50" s="577">
        <f t="shared" si="5"/>
        <v>0</v>
      </c>
      <c r="T50" s="658"/>
      <c r="U50" s="656"/>
      <c r="V50" s="656"/>
      <c r="W50" s="656"/>
      <c r="X50" s="656"/>
      <c r="Y50" s="656"/>
      <c r="Z50" s="656"/>
    </row>
    <row r="51" spans="1:26" x14ac:dyDescent="0.45">
      <c r="A51" s="656"/>
      <c r="B51" s="656"/>
      <c r="C51" s="656"/>
      <c r="D51" s="672" t="s">
        <v>253</v>
      </c>
      <c r="E51" s="656"/>
      <c r="F51" s="656"/>
      <c r="G51" s="656"/>
      <c r="H51" s="656"/>
      <c r="I51" s="656"/>
      <c r="J51" s="656"/>
      <c r="K51" s="656"/>
      <c r="L51" s="666" t="s">
        <v>18</v>
      </c>
      <c r="M51" s="656"/>
      <c r="N51" s="572">
        <v>0</v>
      </c>
      <c r="O51" s="573">
        <f t="shared" ref="O51:S51" si="6">O81</f>
        <v>0</v>
      </c>
      <c r="P51" s="574">
        <f t="shared" si="6"/>
        <v>0</v>
      </c>
      <c r="Q51" s="575">
        <f t="shared" si="6"/>
        <v>0</v>
      </c>
      <c r="R51" s="576">
        <f t="shared" si="6"/>
        <v>0</v>
      </c>
      <c r="S51" s="577">
        <f t="shared" si="6"/>
        <v>0</v>
      </c>
      <c r="T51" s="658"/>
      <c r="U51" s="656"/>
      <c r="V51" s="656"/>
      <c r="W51" s="656"/>
      <c r="X51" s="656"/>
      <c r="Y51" s="656"/>
      <c r="Z51" s="656"/>
    </row>
    <row r="52" spans="1:26" x14ac:dyDescent="0.45">
      <c r="A52" s="656"/>
      <c r="B52" s="656"/>
      <c r="C52" s="656"/>
      <c r="D52" s="658" t="s">
        <v>254</v>
      </c>
      <c r="E52" s="656"/>
      <c r="F52" s="656"/>
      <c r="G52" s="656"/>
      <c r="H52" s="656"/>
      <c r="I52" s="656"/>
      <c r="J52" s="656"/>
      <c r="K52" s="656"/>
      <c r="L52" s="666" t="s">
        <v>18</v>
      </c>
      <c r="M52" s="656"/>
      <c r="N52" s="503">
        <v>12.5</v>
      </c>
      <c r="O52" s="504">
        <v>0</v>
      </c>
      <c r="P52" s="505">
        <v>0</v>
      </c>
      <c r="Q52" s="506">
        <v>0</v>
      </c>
      <c r="R52" s="507">
        <v>0</v>
      </c>
      <c r="S52" s="508">
        <v>0</v>
      </c>
      <c r="T52" s="658"/>
      <c r="U52" s="656"/>
      <c r="V52" s="656"/>
      <c r="W52" s="656"/>
      <c r="X52" s="656"/>
      <c r="Y52" s="656"/>
      <c r="Z52" s="656"/>
    </row>
    <row r="53" spans="1:26" x14ac:dyDescent="0.45">
      <c r="A53" s="656"/>
      <c r="B53" s="656"/>
      <c r="C53" s="656"/>
      <c r="D53" s="656"/>
      <c r="E53" s="656"/>
      <c r="F53" s="656"/>
      <c r="G53" s="656"/>
      <c r="H53" s="656"/>
      <c r="I53" s="656"/>
      <c r="J53" s="656"/>
      <c r="K53" s="656"/>
      <c r="L53" s="666"/>
      <c r="M53" s="656"/>
      <c r="N53" s="578"/>
      <c r="O53" s="579"/>
      <c r="P53" s="580"/>
      <c r="Q53" s="581"/>
      <c r="R53" s="582"/>
      <c r="S53" s="583"/>
      <c r="T53" s="658"/>
      <c r="U53" s="656"/>
      <c r="V53" s="656"/>
      <c r="W53" s="656"/>
      <c r="X53" s="656"/>
      <c r="Y53" s="656"/>
      <c r="Z53" s="656"/>
    </row>
    <row r="54" spans="1:26" ht="13.15" x14ac:dyDescent="0.45">
      <c r="A54" s="656"/>
      <c r="B54" s="656"/>
      <c r="C54" s="671" t="s">
        <v>292</v>
      </c>
      <c r="D54" s="656"/>
      <c r="E54" s="656"/>
      <c r="F54" s="656"/>
      <c r="G54" s="656"/>
      <c r="H54" s="656"/>
      <c r="I54" s="656"/>
      <c r="J54" s="656"/>
      <c r="K54" s="656"/>
      <c r="L54" s="666"/>
      <c r="M54" s="656"/>
      <c r="N54" s="578"/>
      <c r="O54" s="579"/>
      <c r="P54" s="580"/>
      <c r="Q54" s="581"/>
      <c r="R54" s="582"/>
      <c r="S54" s="583"/>
      <c r="T54" s="658"/>
      <c r="U54" s="656"/>
      <c r="V54" s="656"/>
      <c r="W54" s="656"/>
      <c r="X54" s="656"/>
      <c r="Y54" s="656"/>
      <c r="Z54" s="656"/>
    </row>
    <row r="55" spans="1:26" x14ac:dyDescent="0.45">
      <c r="A55" s="656"/>
      <c r="B55" s="656"/>
      <c r="C55" s="656"/>
      <c r="D55" s="672" t="s">
        <v>264</v>
      </c>
      <c r="E55" s="656"/>
      <c r="F55" s="656"/>
      <c r="G55" s="656"/>
      <c r="H55" s="656"/>
      <c r="I55" s="656"/>
      <c r="J55" s="656"/>
      <c r="K55" s="656"/>
      <c r="L55" s="666" t="s">
        <v>27</v>
      </c>
      <c r="M55" s="656"/>
      <c r="N55" s="584">
        <v>0</v>
      </c>
      <c r="O55" s="585">
        <f t="shared" ref="O55:S55" si="7">O78</f>
        <v>0</v>
      </c>
      <c r="P55" s="586">
        <f t="shared" si="7"/>
        <v>0</v>
      </c>
      <c r="Q55" s="587">
        <f t="shared" si="7"/>
        <v>0</v>
      </c>
      <c r="R55" s="588">
        <f t="shared" si="7"/>
        <v>0</v>
      </c>
      <c r="S55" s="589">
        <f t="shared" si="7"/>
        <v>0</v>
      </c>
      <c r="T55" s="658"/>
      <c r="U55" s="656"/>
      <c r="V55" s="656"/>
      <c r="W55" s="656"/>
      <c r="X55" s="656"/>
      <c r="Y55" s="656"/>
      <c r="Z55" s="656"/>
    </row>
    <row r="56" spans="1:26" x14ac:dyDescent="0.45">
      <c r="A56" s="656"/>
      <c r="B56" s="656"/>
      <c r="C56" s="656"/>
      <c r="D56" s="672" t="s">
        <v>253</v>
      </c>
      <c r="E56" s="656"/>
      <c r="F56" s="656"/>
      <c r="G56" s="656"/>
      <c r="H56" s="656"/>
      <c r="I56" s="656"/>
      <c r="J56" s="656"/>
      <c r="K56" s="656"/>
      <c r="L56" s="666" t="s">
        <v>27</v>
      </c>
      <c r="M56" s="656"/>
      <c r="N56" s="572">
        <v>0</v>
      </c>
      <c r="O56" s="573">
        <f t="shared" ref="O56:S56" si="8">O82</f>
        <v>0</v>
      </c>
      <c r="P56" s="574">
        <f t="shared" si="8"/>
        <v>0</v>
      </c>
      <c r="Q56" s="575">
        <f t="shared" si="8"/>
        <v>0</v>
      </c>
      <c r="R56" s="576">
        <f t="shared" si="8"/>
        <v>0</v>
      </c>
      <c r="S56" s="577">
        <f t="shared" si="8"/>
        <v>0</v>
      </c>
      <c r="T56" s="658"/>
      <c r="U56" s="656"/>
      <c r="V56" s="656"/>
      <c r="W56" s="656"/>
      <c r="X56" s="656"/>
      <c r="Y56" s="656"/>
      <c r="Z56" s="656"/>
    </row>
    <row r="57" spans="1:26" x14ac:dyDescent="0.45">
      <c r="A57" s="656"/>
      <c r="B57" s="656"/>
      <c r="C57" s="656"/>
      <c r="D57" s="658" t="s">
        <v>254</v>
      </c>
      <c r="E57" s="656"/>
      <c r="F57" s="656"/>
      <c r="G57" s="656"/>
      <c r="H57" s="656"/>
      <c r="I57" s="656"/>
      <c r="J57" s="656"/>
      <c r="K57" s="656"/>
      <c r="L57" s="666" t="s">
        <v>27</v>
      </c>
      <c r="M57" s="656"/>
      <c r="N57" s="590">
        <v>0</v>
      </c>
      <c r="O57" s="591">
        <v>0</v>
      </c>
      <c r="P57" s="592">
        <v>0</v>
      </c>
      <c r="Q57" s="593">
        <v>0</v>
      </c>
      <c r="R57" s="594">
        <v>0</v>
      </c>
      <c r="S57" s="595">
        <v>0</v>
      </c>
      <c r="T57" s="658"/>
      <c r="U57" s="656"/>
      <c r="V57" s="656"/>
      <c r="W57" s="656"/>
      <c r="X57" s="656"/>
      <c r="Y57" s="656"/>
      <c r="Z57" s="656"/>
    </row>
    <row r="58" spans="1:26" x14ac:dyDescent="0.45">
      <c r="A58" s="656"/>
      <c r="B58" s="656"/>
      <c r="C58" s="656"/>
      <c r="D58" s="656"/>
      <c r="E58" s="656"/>
      <c r="F58" s="656"/>
      <c r="G58" s="656"/>
      <c r="H58" s="656"/>
      <c r="I58" s="656"/>
      <c r="J58" s="656"/>
      <c r="K58" s="656"/>
      <c r="L58" s="656"/>
      <c r="M58" s="656"/>
      <c r="N58" s="666"/>
      <c r="O58" s="666"/>
      <c r="P58" s="666"/>
      <c r="Q58" s="666"/>
      <c r="R58" s="666"/>
      <c r="S58" s="666"/>
      <c r="T58" s="666"/>
      <c r="U58" s="656"/>
      <c r="V58" s="656"/>
      <c r="W58" s="656"/>
      <c r="X58" s="656"/>
      <c r="Y58" s="656"/>
      <c r="Z58" s="656"/>
    </row>
    <row r="59" spans="1:26" s="156" customFormat="1" ht="12.75" customHeight="1" x14ac:dyDescent="0.45">
      <c r="A59" s="491" t="s">
        <v>177</v>
      </c>
      <c r="B59" s="491"/>
      <c r="C59" s="491"/>
      <c r="D59" s="491"/>
      <c r="E59" s="491"/>
      <c r="F59" s="491"/>
      <c r="G59" s="491"/>
      <c r="H59" s="491"/>
      <c r="I59" s="491"/>
      <c r="J59" s="491"/>
      <c r="K59" s="492"/>
      <c r="L59" s="492"/>
      <c r="M59" s="492"/>
      <c r="N59" s="492"/>
      <c r="O59" s="492"/>
      <c r="P59" s="492"/>
      <c r="Q59" s="492"/>
      <c r="R59" s="492"/>
      <c r="S59" s="492"/>
      <c r="T59" s="492"/>
      <c r="U59" s="658"/>
      <c r="V59" s="658"/>
      <c r="W59" s="658"/>
      <c r="X59" s="658"/>
      <c r="Y59" s="658"/>
      <c r="Z59" s="658"/>
    </row>
    <row r="60" spans="1:26" s="156" customFormat="1" ht="12.75" customHeight="1" x14ac:dyDescent="0.45">
      <c r="A60" s="657"/>
      <c r="B60" s="657"/>
      <c r="C60" s="657"/>
      <c r="D60" s="657"/>
      <c r="E60" s="657"/>
      <c r="F60" s="657"/>
      <c r="G60" s="657"/>
      <c r="H60" s="657"/>
      <c r="I60" s="657"/>
      <c r="J60" s="657"/>
      <c r="K60" s="662"/>
      <c r="L60" s="662"/>
      <c r="M60" s="662"/>
      <c r="N60" s="662"/>
      <c r="O60" s="662"/>
      <c r="P60" s="662"/>
      <c r="Q60" s="662"/>
      <c r="R60" s="662"/>
      <c r="S60" s="662"/>
      <c r="T60" s="662"/>
      <c r="U60" s="658"/>
      <c r="V60" s="658"/>
      <c r="W60" s="658"/>
      <c r="X60" s="658"/>
      <c r="Y60" s="658"/>
      <c r="Z60" s="658"/>
    </row>
    <row r="61" spans="1:26" s="156" customFormat="1" ht="12.75" customHeight="1" x14ac:dyDescent="0.45">
      <c r="A61" s="657"/>
      <c r="B61" s="667" t="s">
        <v>215</v>
      </c>
      <c r="C61" s="668"/>
      <c r="D61" s="668"/>
      <c r="E61" s="668"/>
      <c r="F61" s="668"/>
      <c r="G61" s="668"/>
      <c r="H61" s="668"/>
      <c r="I61" s="668"/>
      <c r="J61" s="668"/>
      <c r="K61" s="667"/>
      <c r="L61" s="669"/>
      <c r="M61" s="669"/>
      <c r="N61" s="669"/>
      <c r="O61" s="669"/>
      <c r="P61" s="669"/>
      <c r="Q61" s="669"/>
      <c r="R61" s="669"/>
      <c r="S61" s="669"/>
      <c r="T61" s="669"/>
      <c r="U61" s="658"/>
      <c r="V61" s="658"/>
      <c r="W61" s="658"/>
      <c r="X61" s="658"/>
      <c r="Y61" s="658"/>
      <c r="Z61" s="658"/>
    </row>
    <row r="62" spans="1:26" s="156" customFormat="1" ht="12.75" customHeight="1" x14ac:dyDescent="0.45">
      <c r="A62" s="657"/>
      <c r="B62" s="660"/>
      <c r="C62" s="658"/>
      <c r="D62" s="658"/>
      <c r="E62" s="658"/>
      <c r="F62" s="658"/>
      <c r="G62" s="658"/>
      <c r="H62" s="658"/>
      <c r="I62" s="658"/>
      <c r="J62" s="658"/>
      <c r="K62" s="660"/>
      <c r="L62" s="662"/>
      <c r="M62" s="662"/>
      <c r="N62" s="684"/>
      <c r="O62" s="684"/>
      <c r="P62" s="684"/>
      <c r="Q62" s="684"/>
      <c r="R62" s="684"/>
      <c r="S62" s="684"/>
      <c r="T62" s="662"/>
      <c r="U62" s="658"/>
      <c r="V62" s="658"/>
      <c r="W62" s="658"/>
      <c r="X62" s="658"/>
      <c r="Y62" s="658"/>
      <c r="Z62" s="658"/>
    </row>
    <row r="63" spans="1:26" s="156" customFormat="1" ht="12.75" customHeight="1" x14ac:dyDescent="0.45">
      <c r="A63" s="657"/>
      <c r="B63" s="660"/>
      <c r="C63" s="663" t="s">
        <v>655</v>
      </c>
      <c r="D63" s="658"/>
      <c r="E63" s="658"/>
      <c r="F63" s="658"/>
      <c r="G63" s="658"/>
      <c r="H63" s="658"/>
      <c r="I63" s="658"/>
      <c r="J63" s="658"/>
      <c r="K63" s="660"/>
      <c r="L63" s="662"/>
      <c r="M63" s="662"/>
      <c r="N63" s="662"/>
      <c r="O63" s="662"/>
      <c r="P63" s="662"/>
      <c r="Q63" s="662"/>
      <c r="R63" s="662"/>
      <c r="S63" s="662"/>
      <c r="T63" s="662"/>
      <c r="U63" s="658"/>
      <c r="V63" s="658"/>
      <c r="W63" s="658"/>
      <c r="X63" s="658"/>
      <c r="Y63" s="658"/>
      <c r="Z63" s="658"/>
    </row>
    <row r="64" spans="1:26" s="156" customFormat="1" ht="12.75" hidden="1" customHeight="1" outlineLevel="1" x14ac:dyDescent="0.45">
      <c r="A64" s="657"/>
      <c r="B64" s="660"/>
      <c r="C64" s="664" t="s">
        <v>344</v>
      </c>
      <c r="D64" s="658"/>
      <c r="E64" s="658"/>
      <c r="F64" s="658"/>
      <c r="G64" s="658"/>
      <c r="H64" s="658"/>
      <c r="I64" s="658"/>
      <c r="J64" s="658"/>
      <c r="K64" s="660"/>
      <c r="L64" s="662"/>
      <c r="M64" s="662"/>
      <c r="N64" s="662"/>
      <c r="O64" s="662"/>
      <c r="P64" s="662"/>
      <c r="Q64" s="662"/>
      <c r="R64" s="662"/>
      <c r="S64" s="662"/>
      <c r="T64" s="662"/>
      <c r="U64" s="658"/>
      <c r="V64" s="658"/>
      <c r="W64" s="658"/>
      <c r="X64" s="658"/>
      <c r="Y64" s="658"/>
      <c r="Z64" s="658"/>
    </row>
    <row r="65" spans="1:26" ht="13.15" collapsed="1" x14ac:dyDescent="0.45">
      <c r="A65" s="656"/>
      <c r="B65" s="656"/>
      <c r="C65" s="656"/>
      <c r="D65" s="656"/>
      <c r="E65" s="656"/>
      <c r="F65" s="656"/>
      <c r="G65" s="656"/>
      <c r="H65" s="656"/>
      <c r="I65" s="656"/>
      <c r="J65" s="656"/>
      <c r="K65" s="656"/>
      <c r="L65" s="656"/>
      <c r="M65" s="656"/>
      <c r="N65" s="2004" t="s">
        <v>49</v>
      </c>
      <c r="O65" s="2005"/>
      <c r="P65" s="2005"/>
      <c r="Q65" s="2005"/>
      <c r="R65" s="2005"/>
      <c r="S65" s="2006"/>
      <c r="T65" s="658"/>
      <c r="U65" s="656"/>
      <c r="V65" s="656"/>
      <c r="W65" s="656"/>
      <c r="X65" s="656"/>
      <c r="Y65" s="656"/>
      <c r="Z65" s="656"/>
    </row>
    <row r="66" spans="1:26" ht="13.15" x14ac:dyDescent="0.45">
      <c r="A66" s="656"/>
      <c r="B66" s="660"/>
      <c r="C66" s="656"/>
      <c r="D66" s="658"/>
      <c r="E66" s="658"/>
      <c r="F66" s="658"/>
      <c r="G66" s="658"/>
      <c r="H66" s="658"/>
      <c r="I66" s="658"/>
      <c r="J66" s="658"/>
      <c r="K66" s="660"/>
      <c r="L66" s="665"/>
      <c r="M66" s="676"/>
      <c r="N66" s="21" t="str">
        <f>$N$18</f>
        <v>CCGT</v>
      </c>
      <c r="O66" s="22" t="str">
        <f>$O$18</f>
        <v>Technology #2</v>
      </c>
      <c r="P66" s="23" t="str">
        <f>$P$18</f>
        <v>Technology #3</v>
      </c>
      <c r="Q66" s="24" t="str">
        <f>$Q$18</f>
        <v>Technology #4</v>
      </c>
      <c r="R66" s="27" t="str">
        <f>$R$18</f>
        <v>Technology #5</v>
      </c>
      <c r="S66" s="25" t="str">
        <f>$S$18</f>
        <v>Technology #6</v>
      </c>
      <c r="T66" s="658"/>
      <c r="U66" s="656"/>
      <c r="V66" s="656"/>
      <c r="W66" s="656"/>
      <c r="X66" s="656"/>
      <c r="Y66" s="656"/>
      <c r="Z66" s="656"/>
    </row>
    <row r="67" spans="1:26" ht="13.15" x14ac:dyDescent="0.45">
      <c r="A67" s="656"/>
      <c r="B67" s="660"/>
      <c r="C67" s="671" t="s">
        <v>191</v>
      </c>
      <c r="D67" s="656"/>
      <c r="E67" s="656"/>
      <c r="F67" s="656"/>
      <c r="G67" s="656"/>
      <c r="H67" s="656"/>
      <c r="I67" s="656"/>
      <c r="J67" s="656"/>
      <c r="K67" s="660"/>
      <c r="L67" s="665"/>
      <c r="M67" s="676"/>
      <c r="N67" s="31"/>
      <c r="O67" s="32"/>
      <c r="P67" s="33"/>
      <c r="Q67" s="34"/>
      <c r="R67" s="35"/>
      <c r="S67" s="36"/>
      <c r="T67" s="658"/>
      <c r="U67" s="656"/>
      <c r="V67" s="656"/>
      <c r="W67" s="656"/>
      <c r="X67" s="656"/>
      <c r="Y67" s="656"/>
      <c r="Z67" s="656"/>
    </row>
    <row r="68" spans="1:26" ht="13.15" x14ac:dyDescent="0.45">
      <c r="A68" s="656"/>
      <c r="B68" s="656"/>
      <c r="C68" s="656"/>
      <c r="D68" s="677" t="s">
        <v>186</v>
      </c>
      <c r="E68" s="678"/>
      <c r="F68" s="678"/>
      <c r="G68" s="656"/>
      <c r="H68" s="656"/>
      <c r="I68" s="656"/>
      <c r="J68" s="656"/>
      <c r="K68" s="656"/>
      <c r="L68" s="656"/>
      <c r="M68" s="656"/>
      <c r="N68" s="596" t="str">
        <f>IF(N69=0%,"N","Y")</f>
        <v>N</v>
      </c>
      <c r="O68" s="597" t="str">
        <f t="shared" ref="O68:S68" si="9">IF(O69=0%,"N","Y")</f>
        <v>N</v>
      </c>
      <c r="P68" s="598" t="str">
        <f t="shared" si="9"/>
        <v>N</v>
      </c>
      <c r="Q68" s="599" t="str">
        <f t="shared" si="9"/>
        <v>N</v>
      </c>
      <c r="R68" s="600" t="str">
        <f t="shared" si="9"/>
        <v>N</v>
      </c>
      <c r="S68" s="601" t="str">
        <f t="shared" si="9"/>
        <v>N</v>
      </c>
      <c r="T68" s="658"/>
      <c r="U68" s="656"/>
      <c r="V68" s="656"/>
      <c r="W68" s="656"/>
      <c r="X68" s="656"/>
      <c r="Y68" s="656"/>
      <c r="Z68" s="656"/>
    </row>
    <row r="69" spans="1:26" ht="13.15" x14ac:dyDescent="0.45">
      <c r="A69" s="656"/>
      <c r="B69" s="656"/>
      <c r="C69" s="656"/>
      <c r="D69" s="656"/>
      <c r="E69" s="656" t="s">
        <v>323</v>
      </c>
      <c r="F69" s="656"/>
      <c r="G69" s="656"/>
      <c r="H69" s="656"/>
      <c r="I69" s="656"/>
      <c r="J69" s="677"/>
      <c r="K69" s="656"/>
      <c r="L69" s="666" t="s">
        <v>14</v>
      </c>
      <c r="M69" s="656"/>
      <c r="N69" s="602">
        <v>0</v>
      </c>
      <c r="O69" s="603">
        <v>0</v>
      </c>
      <c r="P69" s="604">
        <v>0</v>
      </c>
      <c r="Q69" s="605">
        <v>0</v>
      </c>
      <c r="R69" s="606">
        <v>0</v>
      </c>
      <c r="S69" s="607">
        <v>0</v>
      </c>
      <c r="T69" s="658"/>
      <c r="U69" s="656"/>
      <c r="V69" s="656"/>
      <c r="W69" s="656"/>
      <c r="X69" s="656"/>
      <c r="Y69" s="656"/>
      <c r="Z69" s="656"/>
    </row>
    <row r="70" spans="1:26" ht="13.15" x14ac:dyDescent="0.45">
      <c r="A70" s="656"/>
      <c r="B70" s="656"/>
      <c r="C70" s="656"/>
      <c r="D70" s="677" t="s">
        <v>159</v>
      </c>
      <c r="E70" s="678"/>
      <c r="F70" s="678"/>
      <c r="G70" s="656"/>
      <c r="H70" s="656"/>
      <c r="I70" s="656"/>
      <c r="J70" s="656"/>
      <c r="K70" s="656"/>
      <c r="L70" s="656"/>
      <c r="M70" s="656"/>
      <c r="N70" s="596" t="str">
        <f>IF(N71=0%,"N","Y")</f>
        <v>N</v>
      </c>
      <c r="O70" s="597" t="str">
        <f t="shared" ref="O70" si="10">IF(O71=0%,"N","Y")</f>
        <v>N</v>
      </c>
      <c r="P70" s="598" t="str">
        <f t="shared" ref="P70" si="11">IF(P71=0%,"N","Y")</f>
        <v>N</v>
      </c>
      <c r="Q70" s="599" t="str">
        <f t="shared" ref="Q70" si="12">IF(Q71=0%,"N","Y")</f>
        <v>N</v>
      </c>
      <c r="R70" s="600" t="str">
        <f t="shared" ref="R70" si="13">IF(R71=0%,"N","Y")</f>
        <v>N</v>
      </c>
      <c r="S70" s="601" t="str">
        <f t="shared" ref="S70" si="14">IF(S71=0%,"N","Y")</f>
        <v>N</v>
      </c>
      <c r="T70" s="658"/>
      <c r="U70" s="656"/>
      <c r="V70" s="656"/>
      <c r="W70" s="656"/>
      <c r="X70" s="656"/>
      <c r="Y70" s="656"/>
      <c r="Z70" s="656"/>
    </row>
    <row r="71" spans="1:26" ht="13.15" x14ac:dyDescent="0.45">
      <c r="A71" s="656"/>
      <c r="B71" s="656"/>
      <c r="C71" s="656"/>
      <c r="D71" s="656"/>
      <c r="E71" s="656" t="s">
        <v>322</v>
      </c>
      <c r="F71" s="656"/>
      <c r="G71" s="656"/>
      <c r="H71" s="656"/>
      <c r="I71" s="656"/>
      <c r="J71" s="677"/>
      <c r="K71" s="656"/>
      <c r="L71" s="666" t="s">
        <v>14</v>
      </c>
      <c r="M71" s="656"/>
      <c r="N71" s="602">
        <v>0</v>
      </c>
      <c r="O71" s="603">
        <v>0</v>
      </c>
      <c r="P71" s="604">
        <v>0</v>
      </c>
      <c r="Q71" s="605">
        <v>0</v>
      </c>
      <c r="R71" s="606">
        <v>0</v>
      </c>
      <c r="S71" s="607">
        <v>0</v>
      </c>
      <c r="T71" s="658"/>
      <c r="U71" s="656"/>
      <c r="V71" s="656"/>
      <c r="W71" s="656"/>
      <c r="X71" s="656"/>
      <c r="Y71" s="656"/>
      <c r="Z71" s="656"/>
    </row>
    <row r="72" spans="1:26" s="28" customFormat="1" ht="13.15" x14ac:dyDescent="0.45">
      <c r="A72" s="671"/>
      <c r="B72" s="671"/>
      <c r="C72" s="671"/>
      <c r="D72" s="677" t="s">
        <v>284</v>
      </c>
      <c r="E72" s="677"/>
      <c r="F72" s="677"/>
      <c r="G72" s="671"/>
      <c r="H72" s="671"/>
      <c r="I72" s="671"/>
      <c r="J72" s="671"/>
      <c r="K72" s="671"/>
      <c r="L72" s="671"/>
      <c r="M72" s="671"/>
      <c r="N72" s="608" t="s">
        <v>6</v>
      </c>
      <c r="O72" s="609" t="s">
        <v>6</v>
      </c>
      <c r="P72" s="610" t="s">
        <v>6</v>
      </c>
      <c r="Q72" s="611" t="s">
        <v>6</v>
      </c>
      <c r="R72" s="612" t="s">
        <v>6</v>
      </c>
      <c r="S72" s="613" t="s">
        <v>6</v>
      </c>
      <c r="T72" s="658"/>
      <c r="U72" s="671"/>
      <c r="V72" s="671"/>
      <c r="W72" s="671"/>
      <c r="X72" s="671"/>
      <c r="Y72" s="671"/>
      <c r="Z72" s="671"/>
    </row>
    <row r="73" spans="1:26" ht="6.75" customHeight="1" x14ac:dyDescent="0.45">
      <c r="A73" s="656"/>
      <c r="B73" s="656"/>
      <c r="C73" s="656"/>
      <c r="D73" s="678"/>
      <c r="E73" s="678"/>
      <c r="F73" s="678"/>
      <c r="G73" s="656"/>
      <c r="H73" s="656"/>
      <c r="I73" s="656"/>
      <c r="J73" s="656"/>
      <c r="K73" s="656"/>
      <c r="L73" s="656"/>
      <c r="M73" s="656"/>
      <c r="N73" s="614"/>
      <c r="O73" s="615"/>
      <c r="P73" s="616"/>
      <c r="Q73" s="617"/>
      <c r="R73" s="618"/>
      <c r="S73" s="619"/>
      <c r="T73" s="658"/>
      <c r="U73" s="656"/>
      <c r="V73" s="656"/>
      <c r="W73" s="656"/>
      <c r="X73" s="656"/>
      <c r="Y73" s="656"/>
      <c r="Z73" s="656"/>
    </row>
    <row r="74" spans="1:26" ht="13.15" x14ac:dyDescent="0.45">
      <c r="A74" s="656"/>
      <c r="B74" s="656"/>
      <c r="C74" s="671" t="s">
        <v>209</v>
      </c>
      <c r="D74" s="656"/>
      <c r="E74" s="656"/>
      <c r="F74" s="656"/>
      <c r="G74" s="656"/>
      <c r="H74" s="656"/>
      <c r="I74" s="656"/>
      <c r="J74" s="656"/>
      <c r="K74" s="656"/>
      <c r="L74" s="656"/>
      <c r="M74" s="656"/>
      <c r="N74" s="614"/>
      <c r="O74" s="615"/>
      <c r="P74" s="616"/>
      <c r="Q74" s="617"/>
      <c r="R74" s="618"/>
      <c r="S74" s="619"/>
      <c r="T74" s="658"/>
      <c r="U74" s="656"/>
      <c r="V74" s="656"/>
      <c r="W74" s="656"/>
      <c r="X74" s="656"/>
      <c r="Y74" s="656"/>
      <c r="Z74" s="656"/>
    </row>
    <row r="75" spans="1:26" ht="13.15" x14ac:dyDescent="0.45">
      <c r="A75" s="656"/>
      <c r="B75" s="656"/>
      <c r="C75" s="656"/>
      <c r="D75" s="677" t="str">
        <f>D68</f>
        <v>Public Loans</v>
      </c>
      <c r="E75" s="656"/>
      <c r="F75" s="656"/>
      <c r="G75" s="656"/>
      <c r="H75" s="656"/>
      <c r="I75" s="656"/>
      <c r="J75" s="656"/>
      <c r="K75" s="656"/>
      <c r="L75" s="656"/>
      <c r="M75" s="656"/>
      <c r="N75" s="614"/>
      <c r="O75" s="615"/>
      <c r="P75" s="616"/>
      <c r="Q75" s="617"/>
      <c r="R75" s="618"/>
      <c r="S75" s="619"/>
      <c r="T75" s="658"/>
      <c r="U75" s="656"/>
      <c r="V75" s="656"/>
      <c r="W75" s="656"/>
      <c r="X75" s="656"/>
      <c r="Y75" s="656"/>
      <c r="Z75" s="656"/>
    </row>
    <row r="76" spans="1:26" ht="13.15" x14ac:dyDescent="0.45">
      <c r="A76" s="656"/>
      <c r="B76" s="656"/>
      <c r="C76" s="656"/>
      <c r="D76" s="656"/>
      <c r="E76" s="656" t="s">
        <v>306</v>
      </c>
      <c r="F76" s="656"/>
      <c r="G76" s="656"/>
      <c r="H76" s="656"/>
      <c r="I76" s="656"/>
      <c r="J76" s="677"/>
      <c r="K76" s="656"/>
      <c r="L76" s="666" t="s">
        <v>14</v>
      </c>
      <c r="M76" s="656"/>
      <c r="N76" s="524">
        <v>0</v>
      </c>
      <c r="O76" s="525">
        <v>0</v>
      </c>
      <c r="P76" s="526">
        <v>0</v>
      </c>
      <c r="Q76" s="527">
        <v>0</v>
      </c>
      <c r="R76" s="528">
        <v>0</v>
      </c>
      <c r="S76" s="529">
        <v>0</v>
      </c>
      <c r="T76" s="658"/>
      <c r="U76" s="656"/>
      <c r="V76" s="656"/>
      <c r="W76" s="656"/>
      <c r="X76" s="656"/>
      <c r="Y76" s="656"/>
      <c r="Z76" s="656"/>
    </row>
    <row r="77" spans="1:26" ht="13.15" x14ac:dyDescent="0.45">
      <c r="A77" s="656"/>
      <c r="B77" s="656"/>
      <c r="C77" s="656"/>
      <c r="D77" s="656"/>
      <c r="E77" s="656" t="s">
        <v>26</v>
      </c>
      <c r="F77" s="656"/>
      <c r="G77" s="656"/>
      <c r="H77" s="656"/>
      <c r="I77" s="656"/>
      <c r="J77" s="677"/>
      <c r="K77" s="656"/>
      <c r="L77" s="666" t="s">
        <v>18</v>
      </c>
      <c r="M77" s="656"/>
      <c r="N77" s="503">
        <v>0</v>
      </c>
      <c r="O77" s="504">
        <v>0</v>
      </c>
      <c r="P77" s="505">
        <v>0</v>
      </c>
      <c r="Q77" s="506">
        <v>0</v>
      </c>
      <c r="R77" s="507">
        <v>0</v>
      </c>
      <c r="S77" s="508">
        <v>0</v>
      </c>
      <c r="T77" s="658"/>
      <c r="U77" s="656"/>
      <c r="V77" s="656"/>
      <c r="W77" s="656"/>
      <c r="X77" s="656"/>
      <c r="Y77" s="656"/>
      <c r="Z77" s="656"/>
    </row>
    <row r="78" spans="1:26" x14ac:dyDescent="0.45">
      <c r="A78" s="656"/>
      <c r="B78" s="656"/>
      <c r="C78" s="656"/>
      <c r="D78" s="656"/>
      <c r="E78" s="656" t="s">
        <v>305</v>
      </c>
      <c r="F78" s="656"/>
      <c r="G78" s="656"/>
      <c r="H78" s="656"/>
      <c r="I78" s="656"/>
      <c r="J78" s="656"/>
      <c r="K78" s="656"/>
      <c r="L78" s="666" t="s">
        <v>27</v>
      </c>
      <c r="M78" s="656"/>
      <c r="N78" s="503">
        <v>0</v>
      </c>
      <c r="O78" s="504">
        <v>0</v>
      </c>
      <c r="P78" s="505">
        <v>0</v>
      </c>
      <c r="Q78" s="506">
        <v>0</v>
      </c>
      <c r="R78" s="507">
        <v>0</v>
      </c>
      <c r="S78" s="508">
        <v>0</v>
      </c>
      <c r="T78" s="658"/>
      <c r="U78" s="656"/>
      <c r="V78" s="656"/>
      <c r="W78" s="656"/>
      <c r="X78" s="656"/>
      <c r="Y78" s="656"/>
      <c r="Z78" s="656"/>
    </row>
    <row r="79" spans="1:26" ht="13.15" x14ac:dyDescent="0.45">
      <c r="A79" s="656"/>
      <c r="B79" s="656"/>
      <c r="C79" s="656"/>
      <c r="D79" s="677" t="s">
        <v>159</v>
      </c>
      <c r="E79" s="678"/>
      <c r="F79" s="678"/>
      <c r="G79" s="656"/>
      <c r="H79" s="656"/>
      <c r="I79" s="656"/>
      <c r="J79" s="656"/>
      <c r="K79" s="656"/>
      <c r="L79" s="656"/>
      <c r="M79" s="656"/>
      <c r="N79" s="614"/>
      <c r="O79" s="615"/>
      <c r="P79" s="616"/>
      <c r="Q79" s="617"/>
      <c r="R79" s="618"/>
      <c r="S79" s="619"/>
      <c r="T79" s="658"/>
      <c r="U79" s="656"/>
      <c r="V79" s="656"/>
      <c r="W79" s="656"/>
      <c r="X79" s="656"/>
      <c r="Y79" s="656"/>
      <c r="Z79" s="656"/>
    </row>
    <row r="80" spans="1:26" ht="13.15" x14ac:dyDescent="0.45">
      <c r="A80" s="656"/>
      <c r="B80" s="656"/>
      <c r="C80" s="656"/>
      <c r="D80" s="656"/>
      <c r="E80" s="656" t="s">
        <v>307</v>
      </c>
      <c r="F80" s="656"/>
      <c r="G80" s="656"/>
      <c r="H80" s="656"/>
      <c r="I80" s="656"/>
      <c r="J80" s="677"/>
      <c r="K80" s="656"/>
      <c r="L80" s="666" t="s">
        <v>14</v>
      </c>
      <c r="M80" s="656"/>
      <c r="N80" s="524">
        <v>0</v>
      </c>
      <c r="O80" s="525">
        <v>0</v>
      </c>
      <c r="P80" s="526">
        <v>0</v>
      </c>
      <c r="Q80" s="527">
        <v>0</v>
      </c>
      <c r="R80" s="528">
        <v>0</v>
      </c>
      <c r="S80" s="529">
        <v>0</v>
      </c>
      <c r="T80" s="658"/>
      <c r="U80" s="656"/>
      <c r="V80" s="656"/>
      <c r="W80" s="656"/>
      <c r="X80" s="656"/>
      <c r="Y80" s="656"/>
      <c r="Z80" s="656"/>
    </row>
    <row r="81" spans="1:26" ht="13.15" x14ac:dyDescent="0.45">
      <c r="A81" s="656"/>
      <c r="B81" s="656"/>
      <c r="C81" s="656"/>
      <c r="D81" s="656"/>
      <c r="E81" s="656" t="s">
        <v>309</v>
      </c>
      <c r="F81" s="656"/>
      <c r="G81" s="656"/>
      <c r="H81" s="656"/>
      <c r="I81" s="656"/>
      <c r="J81" s="677"/>
      <c r="K81" s="656"/>
      <c r="L81" s="666" t="s">
        <v>18</v>
      </c>
      <c r="M81" s="656"/>
      <c r="N81" s="503">
        <v>0</v>
      </c>
      <c r="O81" s="504">
        <v>0</v>
      </c>
      <c r="P81" s="505">
        <v>0</v>
      </c>
      <c r="Q81" s="506">
        <v>0</v>
      </c>
      <c r="R81" s="507">
        <v>0</v>
      </c>
      <c r="S81" s="508">
        <v>0</v>
      </c>
      <c r="T81" s="658"/>
      <c r="U81" s="656"/>
      <c r="V81" s="656"/>
      <c r="W81" s="656"/>
      <c r="X81" s="656"/>
      <c r="Y81" s="656"/>
      <c r="Z81" s="656"/>
    </row>
    <row r="82" spans="1:26" ht="13.15" x14ac:dyDescent="0.45">
      <c r="A82" s="656"/>
      <c r="B82" s="656"/>
      <c r="C82" s="656"/>
      <c r="D82" s="656"/>
      <c r="E82" s="656" t="s">
        <v>308</v>
      </c>
      <c r="F82" s="656"/>
      <c r="G82" s="656"/>
      <c r="H82" s="656"/>
      <c r="I82" s="656"/>
      <c r="J82" s="677"/>
      <c r="K82" s="656"/>
      <c r="L82" s="666" t="s">
        <v>27</v>
      </c>
      <c r="M82" s="656"/>
      <c r="N82" s="503">
        <v>0</v>
      </c>
      <c r="O82" s="504">
        <v>0</v>
      </c>
      <c r="P82" s="505">
        <v>0</v>
      </c>
      <c r="Q82" s="506">
        <v>0</v>
      </c>
      <c r="R82" s="507">
        <v>0</v>
      </c>
      <c r="S82" s="508">
        <v>0</v>
      </c>
      <c r="T82" s="658"/>
      <c r="U82" s="656"/>
      <c r="V82" s="656"/>
      <c r="W82" s="656"/>
      <c r="X82" s="656"/>
      <c r="Y82" s="656"/>
      <c r="Z82" s="656"/>
    </row>
    <row r="83" spans="1:26" ht="13.15" x14ac:dyDescent="0.45">
      <c r="A83" s="656"/>
      <c r="B83" s="656"/>
      <c r="C83" s="656"/>
      <c r="D83" s="656"/>
      <c r="E83" s="656" t="s">
        <v>311</v>
      </c>
      <c r="F83" s="656"/>
      <c r="G83" s="656"/>
      <c r="H83" s="656"/>
      <c r="I83" s="656"/>
      <c r="J83" s="671"/>
      <c r="K83" s="656"/>
      <c r="L83" s="666" t="s">
        <v>14</v>
      </c>
      <c r="M83" s="656"/>
      <c r="N83" s="524">
        <v>0</v>
      </c>
      <c r="O83" s="525">
        <v>0</v>
      </c>
      <c r="P83" s="526">
        <v>0</v>
      </c>
      <c r="Q83" s="527">
        <v>0</v>
      </c>
      <c r="R83" s="528">
        <v>0</v>
      </c>
      <c r="S83" s="529">
        <v>0</v>
      </c>
      <c r="T83" s="658"/>
      <c r="U83" s="656"/>
      <c r="V83" s="656"/>
      <c r="W83" s="656"/>
      <c r="X83" s="656"/>
      <c r="Y83" s="656"/>
      <c r="Z83" s="656"/>
    </row>
    <row r="84" spans="1:26" ht="13.15" x14ac:dyDescent="0.45">
      <c r="A84" s="656"/>
      <c r="B84" s="656"/>
      <c r="C84" s="656"/>
      <c r="D84" s="656"/>
      <c r="E84" s="656" t="s">
        <v>310</v>
      </c>
      <c r="F84" s="656"/>
      <c r="G84" s="656"/>
      <c r="H84" s="656"/>
      <c r="I84" s="656"/>
      <c r="J84" s="671"/>
      <c r="K84" s="656"/>
      <c r="L84" s="666" t="s">
        <v>18</v>
      </c>
      <c r="M84" s="656"/>
      <c r="N84" s="572">
        <f t="shared" ref="N84:S84" si="15">N81</f>
        <v>0</v>
      </c>
      <c r="O84" s="573">
        <f t="shared" si="15"/>
        <v>0</v>
      </c>
      <c r="P84" s="574">
        <f t="shared" si="15"/>
        <v>0</v>
      </c>
      <c r="Q84" s="575">
        <f t="shared" si="15"/>
        <v>0</v>
      </c>
      <c r="R84" s="576">
        <f t="shared" si="15"/>
        <v>0</v>
      </c>
      <c r="S84" s="577">
        <f t="shared" si="15"/>
        <v>0</v>
      </c>
      <c r="T84" s="658"/>
      <c r="U84" s="656"/>
      <c r="V84" s="656"/>
      <c r="W84" s="656"/>
      <c r="X84" s="656"/>
      <c r="Y84" s="656"/>
      <c r="Z84" s="656"/>
    </row>
    <row r="85" spans="1:26" x14ac:dyDescent="0.45">
      <c r="A85" s="656"/>
      <c r="B85" s="656"/>
      <c r="C85" s="656"/>
      <c r="D85" s="656"/>
      <c r="E85" s="656" t="s">
        <v>312</v>
      </c>
      <c r="F85" s="656"/>
      <c r="G85" s="656"/>
      <c r="H85" s="656"/>
      <c r="I85" s="656"/>
      <c r="J85" s="656"/>
      <c r="K85" s="656"/>
      <c r="L85" s="666" t="s">
        <v>27</v>
      </c>
      <c r="M85" s="656"/>
      <c r="N85" s="503">
        <v>0</v>
      </c>
      <c r="O85" s="504">
        <v>0</v>
      </c>
      <c r="P85" s="505">
        <v>0</v>
      </c>
      <c r="Q85" s="506">
        <v>0</v>
      </c>
      <c r="R85" s="507">
        <v>0</v>
      </c>
      <c r="S85" s="508">
        <v>0</v>
      </c>
      <c r="T85" s="658"/>
      <c r="U85" s="656"/>
      <c r="V85" s="656"/>
      <c r="W85" s="656"/>
      <c r="X85" s="656"/>
      <c r="Y85" s="656"/>
      <c r="Z85" s="656"/>
    </row>
    <row r="86" spans="1:26" x14ac:dyDescent="0.45">
      <c r="A86" s="656"/>
      <c r="B86" s="656"/>
      <c r="C86" s="656"/>
      <c r="D86" s="656"/>
      <c r="E86" s="656" t="s">
        <v>313</v>
      </c>
      <c r="F86" s="656"/>
      <c r="G86" s="656"/>
      <c r="H86" s="656"/>
      <c r="I86" s="656"/>
      <c r="J86" s="656"/>
      <c r="K86" s="656"/>
      <c r="L86" s="666" t="s">
        <v>27</v>
      </c>
      <c r="M86" s="656"/>
      <c r="N86" s="503">
        <v>0</v>
      </c>
      <c r="O86" s="504">
        <v>0</v>
      </c>
      <c r="P86" s="505">
        <v>0</v>
      </c>
      <c r="Q86" s="506">
        <v>0</v>
      </c>
      <c r="R86" s="507">
        <v>0</v>
      </c>
      <c r="S86" s="508">
        <v>0</v>
      </c>
      <c r="T86" s="658"/>
      <c r="U86" s="656"/>
      <c r="V86" s="656"/>
      <c r="W86" s="656"/>
      <c r="X86" s="656"/>
      <c r="Y86" s="656"/>
      <c r="Z86" s="656"/>
    </row>
    <row r="87" spans="1:26" s="509" customFormat="1" ht="13.15" x14ac:dyDescent="0.45">
      <c r="A87" s="656"/>
      <c r="B87" s="656"/>
      <c r="C87" s="656"/>
      <c r="D87" s="677" t="s">
        <v>284</v>
      </c>
      <c r="E87" s="658"/>
      <c r="F87" s="658"/>
      <c r="G87" s="658"/>
      <c r="H87" s="658"/>
      <c r="I87" s="658"/>
      <c r="J87" s="658"/>
      <c r="K87" s="658"/>
      <c r="L87" s="658"/>
      <c r="M87" s="658"/>
      <c r="N87" s="578"/>
      <c r="O87" s="579"/>
      <c r="P87" s="580"/>
      <c r="Q87" s="581"/>
      <c r="R87" s="582"/>
      <c r="S87" s="583"/>
      <c r="T87" s="658"/>
      <c r="U87" s="656"/>
      <c r="V87" s="656"/>
      <c r="W87" s="656"/>
      <c r="X87" s="656"/>
      <c r="Y87" s="656"/>
      <c r="Z87" s="656"/>
    </row>
    <row r="88" spans="1:26" ht="13.15" x14ac:dyDescent="0.45">
      <c r="A88" s="656"/>
      <c r="B88" s="656"/>
      <c r="C88" s="656"/>
      <c r="D88" s="656"/>
      <c r="E88" s="656" t="s">
        <v>314</v>
      </c>
      <c r="F88" s="656"/>
      <c r="G88" s="656"/>
      <c r="H88" s="656"/>
      <c r="I88" s="656"/>
      <c r="J88" s="671"/>
      <c r="K88" s="656"/>
      <c r="L88" s="666" t="s">
        <v>14</v>
      </c>
      <c r="M88" s="656"/>
      <c r="N88" s="524">
        <v>0</v>
      </c>
      <c r="O88" s="525">
        <v>0</v>
      </c>
      <c r="P88" s="526">
        <v>0</v>
      </c>
      <c r="Q88" s="527">
        <v>0</v>
      </c>
      <c r="R88" s="528">
        <v>0</v>
      </c>
      <c r="S88" s="529">
        <v>0</v>
      </c>
      <c r="T88" s="658"/>
      <c r="U88" s="656"/>
      <c r="V88" s="656"/>
      <c r="W88" s="656"/>
      <c r="X88" s="656"/>
      <c r="Y88" s="656"/>
      <c r="Z88" s="656"/>
    </row>
    <row r="89" spans="1:26" x14ac:dyDescent="0.45">
      <c r="A89" s="656"/>
      <c r="B89" s="656"/>
      <c r="C89" s="656"/>
      <c r="D89" s="656"/>
      <c r="E89" s="656" t="s">
        <v>179</v>
      </c>
      <c r="F89" s="656"/>
      <c r="G89" s="656"/>
      <c r="H89" s="656"/>
      <c r="I89" s="656"/>
      <c r="J89" s="656"/>
      <c r="K89" s="656"/>
      <c r="L89" s="666" t="s">
        <v>18</v>
      </c>
      <c r="M89" s="656"/>
      <c r="N89" s="608">
        <v>0</v>
      </c>
      <c r="O89" s="609">
        <v>0</v>
      </c>
      <c r="P89" s="610">
        <v>0</v>
      </c>
      <c r="Q89" s="611">
        <v>0</v>
      </c>
      <c r="R89" s="612">
        <v>0</v>
      </c>
      <c r="S89" s="613">
        <v>0</v>
      </c>
      <c r="T89" s="658"/>
      <c r="U89" s="656"/>
      <c r="V89" s="656"/>
      <c r="W89" s="656"/>
      <c r="X89" s="656"/>
      <c r="Y89" s="656"/>
      <c r="Z89" s="656"/>
    </row>
    <row r="90" spans="1:26" x14ac:dyDescent="0.45">
      <c r="A90" s="656"/>
      <c r="B90" s="656"/>
      <c r="C90" s="656"/>
      <c r="D90" s="656"/>
      <c r="E90" s="656" t="s">
        <v>180</v>
      </c>
      <c r="F90" s="656"/>
      <c r="G90" s="656"/>
      <c r="H90" s="656"/>
      <c r="I90" s="656"/>
      <c r="J90" s="656"/>
      <c r="K90" s="656"/>
      <c r="L90" s="666" t="s">
        <v>27</v>
      </c>
      <c r="M90" s="656"/>
      <c r="N90" s="608">
        <v>0</v>
      </c>
      <c r="O90" s="609">
        <v>0</v>
      </c>
      <c r="P90" s="610">
        <v>0</v>
      </c>
      <c r="Q90" s="611">
        <v>0</v>
      </c>
      <c r="R90" s="612">
        <v>0</v>
      </c>
      <c r="S90" s="613">
        <v>0</v>
      </c>
      <c r="T90" s="658"/>
      <c r="U90" s="656"/>
      <c r="V90" s="656"/>
      <c r="W90" s="656"/>
      <c r="X90" s="656"/>
      <c r="Y90" s="656"/>
      <c r="Z90" s="656"/>
    </row>
    <row r="91" spans="1:26" x14ac:dyDescent="0.45">
      <c r="A91" s="656"/>
      <c r="B91" s="656"/>
      <c r="C91" s="656"/>
      <c r="D91" s="656"/>
      <c r="E91" s="656" t="s">
        <v>181</v>
      </c>
      <c r="F91" s="656"/>
      <c r="G91" s="656"/>
      <c r="H91" s="656"/>
      <c r="I91" s="656"/>
      <c r="J91" s="656"/>
      <c r="K91" s="656"/>
      <c r="L91" s="666" t="s">
        <v>27</v>
      </c>
      <c r="M91" s="656"/>
      <c r="N91" s="620">
        <v>0</v>
      </c>
      <c r="O91" s="621">
        <v>0</v>
      </c>
      <c r="P91" s="622">
        <v>0</v>
      </c>
      <c r="Q91" s="623">
        <v>0</v>
      </c>
      <c r="R91" s="624">
        <v>0</v>
      </c>
      <c r="S91" s="625">
        <v>0</v>
      </c>
      <c r="T91" s="658"/>
      <c r="U91" s="656"/>
      <c r="V91" s="656"/>
      <c r="W91" s="656"/>
      <c r="X91" s="656"/>
      <c r="Y91" s="656"/>
      <c r="Z91" s="656"/>
    </row>
    <row r="92" spans="1:26" s="509" customFormat="1" x14ac:dyDescent="0.45">
      <c r="A92" s="656"/>
      <c r="B92" s="656"/>
      <c r="C92" s="656"/>
      <c r="D92" s="658"/>
      <c r="E92" s="658"/>
      <c r="F92" s="658"/>
      <c r="G92" s="658"/>
      <c r="H92" s="658"/>
      <c r="I92" s="658"/>
      <c r="J92" s="658"/>
      <c r="K92" s="658"/>
      <c r="L92" s="658"/>
      <c r="M92" s="658"/>
      <c r="N92" s="658"/>
      <c r="O92" s="658"/>
      <c r="P92" s="658"/>
      <c r="Q92" s="658"/>
      <c r="R92" s="658"/>
      <c r="S92" s="658"/>
      <c r="T92" s="658"/>
      <c r="U92" s="656"/>
      <c r="V92" s="656"/>
      <c r="W92" s="656"/>
      <c r="X92" s="656"/>
      <c r="Y92" s="656"/>
      <c r="Z92" s="656"/>
    </row>
    <row r="93" spans="1:26" s="156" customFormat="1" ht="12.75" customHeight="1" x14ac:dyDescent="0.45">
      <c r="A93" s="491" t="s">
        <v>189</v>
      </c>
      <c r="B93" s="491"/>
      <c r="C93" s="491"/>
      <c r="D93" s="491"/>
      <c r="E93" s="491"/>
      <c r="F93" s="491"/>
      <c r="G93" s="491"/>
      <c r="H93" s="491"/>
      <c r="I93" s="491"/>
      <c r="J93" s="491"/>
      <c r="K93" s="492"/>
      <c r="L93" s="492"/>
      <c r="M93" s="492"/>
      <c r="N93" s="492"/>
      <c r="O93" s="492"/>
      <c r="P93" s="492"/>
      <c r="Q93" s="492"/>
      <c r="R93" s="492"/>
      <c r="S93" s="492"/>
      <c r="T93" s="492"/>
      <c r="U93" s="658"/>
      <c r="V93" s="658"/>
      <c r="W93" s="658"/>
      <c r="X93" s="658"/>
      <c r="Y93" s="658"/>
      <c r="Z93" s="658"/>
    </row>
    <row r="94" spans="1:26" s="156" customFormat="1" ht="12.75" customHeight="1" x14ac:dyDescent="0.45">
      <c r="A94" s="657"/>
      <c r="B94" s="657"/>
      <c r="C94" s="657"/>
      <c r="D94" s="657"/>
      <c r="E94" s="657"/>
      <c r="F94" s="657"/>
      <c r="G94" s="657"/>
      <c r="H94" s="657"/>
      <c r="I94" s="657"/>
      <c r="J94" s="657"/>
      <c r="K94" s="662"/>
      <c r="L94" s="662"/>
      <c r="M94" s="662"/>
      <c r="N94" s="662"/>
      <c r="O94" s="662"/>
      <c r="P94" s="662"/>
      <c r="Q94" s="662"/>
      <c r="R94" s="662"/>
      <c r="S94" s="662"/>
      <c r="T94" s="662"/>
      <c r="U94" s="658"/>
      <c r="V94" s="658"/>
      <c r="W94" s="658"/>
      <c r="X94" s="658"/>
      <c r="Y94" s="658"/>
      <c r="Z94" s="658"/>
    </row>
    <row r="95" spans="1:26" s="156" customFormat="1" ht="12.75" customHeight="1" x14ac:dyDescent="0.45">
      <c r="A95" s="657"/>
      <c r="B95" s="667" t="s">
        <v>184</v>
      </c>
      <c r="C95" s="667"/>
      <c r="D95" s="667"/>
      <c r="E95" s="667"/>
      <c r="F95" s="668"/>
      <c r="G95" s="668"/>
      <c r="H95" s="668"/>
      <c r="I95" s="668"/>
      <c r="J95" s="668"/>
      <c r="K95" s="668"/>
      <c r="L95" s="679"/>
      <c r="M95" s="679"/>
      <c r="N95" s="669"/>
      <c r="O95" s="669"/>
      <c r="P95" s="669"/>
      <c r="Q95" s="669"/>
      <c r="R95" s="669"/>
      <c r="S95" s="669"/>
      <c r="T95" s="669"/>
      <c r="U95" s="658"/>
      <c r="V95" s="658"/>
      <c r="W95" s="658"/>
      <c r="X95" s="658"/>
      <c r="Y95" s="658"/>
      <c r="Z95" s="658"/>
    </row>
    <row r="96" spans="1:26" s="156" customFormat="1" ht="12.75" customHeight="1" x14ac:dyDescent="0.45">
      <c r="A96" s="657"/>
      <c r="B96" s="657"/>
      <c r="C96" s="657"/>
      <c r="D96" s="657"/>
      <c r="E96" s="657"/>
      <c r="F96" s="657"/>
      <c r="G96" s="657"/>
      <c r="H96" s="657"/>
      <c r="I96" s="657"/>
      <c r="J96" s="657"/>
      <c r="K96" s="662"/>
      <c r="L96" s="662"/>
      <c r="M96" s="662"/>
      <c r="N96" s="662"/>
      <c r="O96" s="662"/>
      <c r="P96" s="662"/>
      <c r="Q96" s="662"/>
      <c r="R96" s="662"/>
      <c r="S96" s="662"/>
      <c r="T96" s="662"/>
      <c r="U96" s="658"/>
      <c r="V96" s="658"/>
      <c r="W96" s="658"/>
      <c r="X96" s="658"/>
      <c r="Y96" s="658"/>
      <c r="Z96" s="658"/>
    </row>
    <row r="97" spans="1:26" s="156" customFormat="1" ht="12.75" customHeight="1" x14ac:dyDescent="0.45">
      <c r="A97" s="657"/>
      <c r="B97" s="657"/>
      <c r="C97" s="663" t="s">
        <v>655</v>
      </c>
      <c r="D97" s="657"/>
      <c r="E97" s="657"/>
      <c r="F97" s="657"/>
      <c r="G97" s="657"/>
      <c r="H97" s="657"/>
      <c r="I97" s="657"/>
      <c r="J97" s="657"/>
      <c r="K97" s="662"/>
      <c r="L97" s="662"/>
      <c r="M97" s="662"/>
      <c r="N97" s="662"/>
      <c r="O97" s="662"/>
      <c r="P97" s="662"/>
      <c r="Q97" s="662"/>
      <c r="R97" s="662"/>
      <c r="S97" s="662"/>
      <c r="T97" s="662"/>
      <c r="U97" s="658"/>
      <c r="V97" s="658"/>
      <c r="W97" s="658"/>
      <c r="X97" s="658"/>
      <c r="Y97" s="658"/>
      <c r="Z97" s="658"/>
    </row>
    <row r="98" spans="1:26" s="156" customFormat="1" ht="12.75" hidden="1" customHeight="1" outlineLevel="1" x14ac:dyDescent="0.45">
      <c r="A98" s="657"/>
      <c r="B98" s="657"/>
      <c r="C98" s="663" t="s">
        <v>670</v>
      </c>
      <c r="D98" s="657"/>
      <c r="E98" s="657"/>
      <c r="F98" s="657"/>
      <c r="G98" s="657"/>
      <c r="H98" s="657"/>
      <c r="I98" s="657"/>
      <c r="J98" s="657"/>
      <c r="K98" s="662"/>
      <c r="L98" s="662"/>
      <c r="M98" s="662"/>
      <c r="N98" s="662"/>
      <c r="O98" s="662"/>
      <c r="P98" s="662"/>
      <c r="Q98" s="662"/>
      <c r="R98" s="662"/>
      <c r="S98" s="662"/>
      <c r="T98" s="662"/>
      <c r="U98" s="658"/>
      <c r="V98" s="658"/>
      <c r="W98" s="658"/>
      <c r="X98" s="658"/>
      <c r="Y98" s="658"/>
      <c r="Z98" s="658"/>
    </row>
    <row r="99" spans="1:26" s="156" customFormat="1" ht="12.75" hidden="1" customHeight="1" outlineLevel="1" x14ac:dyDescent="0.45">
      <c r="A99" s="657"/>
      <c r="B99" s="657"/>
      <c r="C99" s="663"/>
      <c r="D99" s="664" t="s">
        <v>671</v>
      </c>
      <c r="E99" s="657"/>
      <c r="F99" s="657"/>
      <c r="G99" s="657"/>
      <c r="H99" s="657"/>
      <c r="I99" s="657"/>
      <c r="J99" s="657"/>
      <c r="K99" s="662"/>
      <c r="L99" s="662"/>
      <c r="M99" s="662"/>
      <c r="N99" s="662"/>
      <c r="O99" s="662"/>
      <c r="P99" s="662"/>
      <c r="Q99" s="662"/>
      <c r="R99" s="662"/>
      <c r="S99" s="662"/>
      <c r="T99" s="662"/>
      <c r="U99" s="658"/>
      <c r="V99" s="658"/>
      <c r="W99" s="658"/>
      <c r="X99" s="658"/>
      <c r="Y99" s="658"/>
      <c r="Z99" s="658"/>
    </row>
    <row r="100" spans="1:26" s="156" customFormat="1" ht="12.75" hidden="1" customHeight="1" outlineLevel="1" x14ac:dyDescent="0.45">
      <c r="A100" s="657"/>
      <c r="B100" s="657"/>
      <c r="C100" s="663"/>
      <c r="D100" s="664" t="s">
        <v>672</v>
      </c>
      <c r="E100" s="657"/>
      <c r="F100" s="657"/>
      <c r="G100" s="657"/>
      <c r="H100" s="657"/>
      <c r="I100" s="657"/>
      <c r="J100" s="657"/>
      <c r="K100" s="662"/>
      <c r="L100" s="662"/>
      <c r="M100" s="662"/>
      <c r="N100" s="662"/>
      <c r="O100" s="662"/>
      <c r="P100" s="662"/>
      <c r="Q100" s="662"/>
      <c r="R100" s="662"/>
      <c r="S100" s="662"/>
      <c r="T100" s="662"/>
      <c r="U100" s="658"/>
      <c r="V100" s="658"/>
      <c r="W100" s="658"/>
      <c r="X100" s="658"/>
      <c r="Y100" s="658"/>
      <c r="Z100" s="658"/>
    </row>
    <row r="101" spans="1:26" s="156" customFormat="1" ht="12.75" hidden="1" customHeight="1" outlineLevel="1" x14ac:dyDescent="0.45">
      <c r="A101" s="657"/>
      <c r="B101" s="657"/>
      <c r="C101" s="663"/>
      <c r="D101" s="664" t="s">
        <v>673</v>
      </c>
      <c r="E101" s="657"/>
      <c r="F101" s="657"/>
      <c r="G101" s="657"/>
      <c r="H101" s="657"/>
      <c r="I101" s="657"/>
      <c r="J101" s="657"/>
      <c r="K101" s="662"/>
      <c r="L101" s="662"/>
      <c r="M101" s="662"/>
      <c r="N101" s="662"/>
      <c r="O101" s="662"/>
      <c r="P101" s="662"/>
      <c r="Q101" s="662"/>
      <c r="R101" s="662"/>
      <c r="S101" s="662"/>
      <c r="T101" s="662"/>
      <c r="U101" s="658"/>
      <c r="V101" s="658"/>
      <c r="W101" s="658"/>
      <c r="X101" s="658"/>
      <c r="Y101" s="658"/>
      <c r="Z101" s="658"/>
    </row>
    <row r="102" spans="1:26" ht="13.15" collapsed="1" x14ac:dyDescent="0.45">
      <c r="A102" s="656"/>
      <c r="B102" s="656"/>
      <c r="C102" s="656"/>
      <c r="D102" s="656"/>
      <c r="E102" s="656"/>
      <c r="F102" s="656"/>
      <c r="G102" s="656"/>
      <c r="H102" s="656"/>
      <c r="I102" s="656"/>
      <c r="J102" s="671"/>
      <c r="K102" s="671"/>
      <c r="L102" s="656"/>
      <c r="M102" s="656"/>
      <c r="N102" s="2004" t="s">
        <v>49</v>
      </c>
      <c r="O102" s="2005"/>
      <c r="P102" s="2005"/>
      <c r="Q102" s="2005"/>
      <c r="R102" s="2005"/>
      <c r="S102" s="2006"/>
      <c r="T102" s="658"/>
      <c r="U102" s="656"/>
      <c r="V102" s="656"/>
      <c r="W102" s="656"/>
      <c r="X102" s="656"/>
      <c r="Y102" s="656"/>
      <c r="Z102" s="656"/>
    </row>
    <row r="103" spans="1:26" ht="13.15" x14ac:dyDescent="0.45">
      <c r="A103" s="656"/>
      <c r="B103" s="656"/>
      <c r="C103" s="671" t="s">
        <v>185</v>
      </c>
      <c r="D103" s="656"/>
      <c r="E103" s="656"/>
      <c r="F103" s="656"/>
      <c r="G103" s="656"/>
      <c r="H103" s="656"/>
      <c r="I103" s="656"/>
      <c r="J103" s="656"/>
      <c r="K103" s="656"/>
      <c r="L103" s="656"/>
      <c r="M103" s="656"/>
      <c r="N103" s="21" t="str">
        <f>$N$18</f>
        <v>CCGT</v>
      </c>
      <c r="O103" s="22" t="str">
        <f>$O$18</f>
        <v>Technology #2</v>
      </c>
      <c r="P103" s="23" t="str">
        <f>$P$18</f>
        <v>Technology #3</v>
      </c>
      <c r="Q103" s="24" t="str">
        <f>$Q$18</f>
        <v>Technology #4</v>
      </c>
      <c r="R103" s="27" t="str">
        <f>$R$18</f>
        <v>Technology #5</v>
      </c>
      <c r="S103" s="25" t="str">
        <f>$S$18</f>
        <v>Technology #6</v>
      </c>
      <c r="T103" s="658"/>
      <c r="U103" s="656"/>
      <c r="V103" s="656"/>
      <c r="W103" s="656"/>
      <c r="X103" s="656"/>
      <c r="Y103" s="656"/>
      <c r="Z103" s="656"/>
    </row>
    <row r="104" spans="1:26" x14ac:dyDescent="0.45">
      <c r="A104" s="656"/>
      <c r="B104" s="656"/>
      <c r="C104" s="656"/>
      <c r="D104" s="656" t="s">
        <v>29</v>
      </c>
      <c r="E104" s="656"/>
      <c r="F104" s="656"/>
      <c r="G104" s="656"/>
      <c r="H104" s="656"/>
      <c r="I104" s="656"/>
      <c r="J104" s="656"/>
      <c r="K104" s="656"/>
      <c r="L104" s="666" t="s">
        <v>14</v>
      </c>
      <c r="M104" s="656"/>
      <c r="N104" s="298">
        <v>0.54</v>
      </c>
      <c r="O104" s="299">
        <v>1</v>
      </c>
      <c r="P104" s="494">
        <v>1</v>
      </c>
      <c r="Q104" s="181">
        <v>1</v>
      </c>
      <c r="R104" s="182">
        <v>1</v>
      </c>
      <c r="S104" s="183">
        <v>1</v>
      </c>
      <c r="T104" s="658"/>
      <c r="U104" s="656"/>
      <c r="V104" s="656"/>
      <c r="W104" s="656"/>
      <c r="X104" s="656"/>
      <c r="Y104" s="656"/>
      <c r="Z104" s="656"/>
    </row>
    <row r="105" spans="1:26" x14ac:dyDescent="0.45">
      <c r="A105" s="656"/>
      <c r="B105" s="656"/>
      <c r="C105" s="656"/>
      <c r="D105" s="656" t="s">
        <v>30</v>
      </c>
      <c r="E105" s="656"/>
      <c r="F105" s="656"/>
      <c r="G105" s="656"/>
      <c r="H105" s="656"/>
      <c r="I105" s="656"/>
      <c r="J105" s="656"/>
      <c r="K105" s="656"/>
      <c r="L105" s="666" t="s">
        <v>17</v>
      </c>
      <c r="M105" s="656"/>
      <c r="N105" s="626">
        <f>0.825*365*24</f>
        <v>7227</v>
      </c>
      <c r="O105" s="627">
        <v>0</v>
      </c>
      <c r="P105" s="628">
        <v>0</v>
      </c>
      <c r="Q105" s="629">
        <v>0</v>
      </c>
      <c r="R105" s="630">
        <v>0</v>
      </c>
      <c r="S105" s="631">
        <v>0</v>
      </c>
      <c r="T105" s="658"/>
      <c r="U105" s="656"/>
      <c r="V105" s="656"/>
      <c r="W105" s="656"/>
      <c r="X105" s="656"/>
      <c r="Y105" s="656"/>
      <c r="Z105" s="656"/>
    </row>
    <row r="106" spans="1:26" x14ac:dyDescent="0.45">
      <c r="A106" s="656"/>
      <c r="B106" s="656"/>
      <c r="C106" s="656"/>
      <c r="D106" s="656" t="s">
        <v>31</v>
      </c>
      <c r="E106" s="656"/>
      <c r="F106" s="656"/>
      <c r="G106" s="656"/>
      <c r="H106" s="656"/>
      <c r="I106" s="656"/>
      <c r="J106" s="656"/>
      <c r="K106" s="656"/>
      <c r="L106" s="666" t="s">
        <v>14</v>
      </c>
      <c r="M106" s="666"/>
      <c r="N106" s="632">
        <f t="shared" ref="N106:S106" si="16">N105/(24*365)</f>
        <v>0.82499999999999996</v>
      </c>
      <c r="O106" s="633">
        <f t="shared" si="16"/>
        <v>0</v>
      </c>
      <c r="P106" s="634">
        <f t="shared" si="16"/>
        <v>0</v>
      </c>
      <c r="Q106" s="635">
        <f t="shared" si="16"/>
        <v>0</v>
      </c>
      <c r="R106" s="636">
        <f t="shared" si="16"/>
        <v>0</v>
      </c>
      <c r="S106" s="637">
        <f t="shared" si="16"/>
        <v>0</v>
      </c>
      <c r="T106" s="658"/>
      <c r="U106" s="656"/>
      <c r="V106" s="656"/>
      <c r="W106" s="656"/>
      <c r="X106" s="656"/>
      <c r="Y106" s="656"/>
      <c r="Z106" s="656"/>
    </row>
    <row r="107" spans="1:26" x14ac:dyDescent="0.45">
      <c r="A107" s="656"/>
      <c r="B107" s="656"/>
      <c r="C107" s="656"/>
      <c r="D107" s="656"/>
      <c r="E107" s="656"/>
      <c r="F107" s="656"/>
      <c r="G107" s="656"/>
      <c r="H107" s="656"/>
      <c r="I107" s="656"/>
      <c r="J107" s="656"/>
      <c r="K107" s="656"/>
      <c r="L107" s="656"/>
      <c r="M107" s="656"/>
      <c r="N107" s="554"/>
      <c r="O107" s="555"/>
      <c r="P107" s="556"/>
      <c r="Q107" s="557"/>
      <c r="R107" s="558"/>
      <c r="S107" s="559"/>
      <c r="T107" s="658"/>
      <c r="U107" s="656"/>
      <c r="V107" s="656"/>
      <c r="W107" s="656"/>
      <c r="X107" s="656"/>
      <c r="Y107" s="656"/>
      <c r="Z107" s="656"/>
    </row>
    <row r="108" spans="1:26" ht="13.15" x14ac:dyDescent="0.45">
      <c r="A108" s="656"/>
      <c r="B108" s="656"/>
      <c r="C108" s="671" t="s">
        <v>33</v>
      </c>
      <c r="D108" s="656"/>
      <c r="E108" s="656"/>
      <c r="F108" s="656"/>
      <c r="G108" s="656"/>
      <c r="H108" s="656"/>
      <c r="I108" s="656"/>
      <c r="J108" s="656"/>
      <c r="K108" s="656"/>
      <c r="L108" s="656"/>
      <c r="M108" s="656"/>
      <c r="N108" s="554"/>
      <c r="O108" s="555"/>
      <c r="P108" s="556"/>
      <c r="Q108" s="557"/>
      <c r="R108" s="558"/>
      <c r="S108" s="559"/>
      <c r="T108" s="658"/>
      <c r="U108" s="656"/>
      <c r="V108" s="656"/>
      <c r="W108" s="656"/>
      <c r="X108" s="656"/>
      <c r="Y108" s="656"/>
      <c r="Z108" s="656"/>
    </row>
    <row r="109" spans="1:26" x14ac:dyDescent="0.45">
      <c r="A109" s="656"/>
      <c r="B109" s="656"/>
      <c r="C109" s="656"/>
      <c r="D109" s="656" t="s">
        <v>188</v>
      </c>
      <c r="E109" s="656"/>
      <c r="F109" s="656"/>
      <c r="G109" s="656"/>
      <c r="H109" s="656"/>
      <c r="I109" s="656"/>
      <c r="J109" s="656"/>
      <c r="K109" s="680"/>
      <c r="L109" s="666"/>
      <c r="M109" s="656"/>
      <c r="N109" s="184" t="s">
        <v>139</v>
      </c>
      <c r="O109" s="185" t="s">
        <v>139</v>
      </c>
      <c r="P109" s="186" t="s">
        <v>139</v>
      </c>
      <c r="Q109" s="187" t="s">
        <v>139</v>
      </c>
      <c r="R109" s="188" t="s">
        <v>139</v>
      </c>
      <c r="S109" s="189" t="s">
        <v>139</v>
      </c>
      <c r="T109" s="658"/>
      <c r="U109" s="656"/>
      <c r="V109" s="656"/>
      <c r="W109" s="656"/>
      <c r="X109" s="656"/>
      <c r="Y109" s="656"/>
      <c r="Z109" s="656"/>
    </row>
    <row r="110" spans="1:26" x14ac:dyDescent="0.45">
      <c r="A110" s="656"/>
      <c r="B110" s="656"/>
      <c r="C110" s="656"/>
      <c r="D110" s="656"/>
      <c r="E110" s="681" t="s">
        <v>315</v>
      </c>
      <c r="F110" s="681"/>
      <c r="G110" s="680"/>
      <c r="H110" s="680"/>
      <c r="I110" s="680"/>
      <c r="J110" s="656"/>
      <c r="K110" s="656"/>
      <c r="L110" s="666"/>
      <c r="M110" s="656"/>
      <c r="N110" s="614"/>
      <c r="O110" s="615"/>
      <c r="P110" s="616"/>
      <c r="Q110" s="617"/>
      <c r="R110" s="618"/>
      <c r="S110" s="619"/>
      <c r="T110" s="658"/>
      <c r="U110" s="656"/>
      <c r="V110" s="656"/>
      <c r="W110" s="656"/>
      <c r="X110" s="656"/>
      <c r="Y110" s="656"/>
      <c r="Z110" s="656"/>
    </row>
    <row r="111" spans="1:26" x14ac:dyDescent="0.45">
      <c r="A111" s="656"/>
      <c r="B111" s="656"/>
      <c r="C111" s="656"/>
      <c r="D111" s="656"/>
      <c r="E111" s="656"/>
      <c r="F111" s="656" t="s">
        <v>316</v>
      </c>
      <c r="G111" s="656"/>
      <c r="H111" s="656"/>
      <c r="I111" s="656"/>
      <c r="J111" s="656"/>
      <c r="K111" s="656"/>
      <c r="L111" s="666" t="s">
        <v>728</v>
      </c>
      <c r="M111" s="656"/>
      <c r="N111" s="1740">
        <v>0</v>
      </c>
      <c r="O111" s="1741">
        <v>0</v>
      </c>
      <c r="P111" s="1742">
        <v>0</v>
      </c>
      <c r="Q111" s="1743">
        <v>0</v>
      </c>
      <c r="R111" s="1744">
        <v>0</v>
      </c>
      <c r="S111" s="1745">
        <v>0</v>
      </c>
      <c r="T111" s="658"/>
      <c r="U111" s="656"/>
      <c r="V111" s="656"/>
      <c r="W111" s="656"/>
      <c r="X111" s="656"/>
      <c r="Y111" s="656"/>
      <c r="Z111" s="656"/>
    </row>
    <row r="112" spans="1:26" x14ac:dyDescent="0.45">
      <c r="A112" s="656"/>
      <c r="B112" s="656"/>
      <c r="C112" s="656"/>
      <c r="D112" s="656"/>
      <c r="E112" s="656"/>
      <c r="F112" s="656" t="s">
        <v>317</v>
      </c>
      <c r="G112" s="656"/>
      <c r="H112" s="656"/>
      <c r="I112" s="656"/>
      <c r="J112" s="656"/>
      <c r="K112" s="656"/>
      <c r="L112" s="666" t="s">
        <v>14</v>
      </c>
      <c r="M112" s="656"/>
      <c r="N112" s="298">
        <v>0</v>
      </c>
      <c r="O112" s="299">
        <v>0</v>
      </c>
      <c r="P112" s="494">
        <v>0</v>
      </c>
      <c r="Q112" s="181">
        <v>0</v>
      </c>
      <c r="R112" s="182">
        <v>0</v>
      </c>
      <c r="S112" s="183">
        <v>0</v>
      </c>
      <c r="T112" s="658"/>
      <c r="U112" s="656"/>
      <c r="V112" s="656"/>
      <c r="W112" s="656"/>
      <c r="X112" s="656"/>
      <c r="Y112" s="656"/>
      <c r="Z112" s="656"/>
    </row>
    <row r="113" spans="1:26" x14ac:dyDescent="0.45">
      <c r="A113" s="656"/>
      <c r="B113" s="656"/>
      <c r="C113" s="656"/>
      <c r="D113" s="656"/>
      <c r="E113" s="681" t="s">
        <v>318</v>
      </c>
      <c r="F113" s="681"/>
      <c r="G113" s="680"/>
      <c r="H113" s="680"/>
      <c r="I113" s="680"/>
      <c r="J113" s="656"/>
      <c r="K113" s="656"/>
      <c r="L113" s="666"/>
      <c r="M113" s="656"/>
      <c r="N113" s="638"/>
      <c r="O113" s="639"/>
      <c r="P113" s="640"/>
      <c r="Q113" s="641"/>
      <c r="R113" s="642"/>
      <c r="S113" s="643"/>
      <c r="T113" s="658"/>
      <c r="U113" s="656"/>
      <c r="V113" s="656"/>
      <c r="W113" s="656"/>
      <c r="X113" s="656"/>
      <c r="Y113" s="656"/>
      <c r="Z113" s="656"/>
    </row>
    <row r="114" spans="1:26" x14ac:dyDescent="0.45">
      <c r="A114" s="656"/>
      <c r="B114" s="656"/>
      <c r="C114" s="656"/>
      <c r="D114" s="656"/>
      <c r="E114" s="656"/>
      <c r="F114" s="656" t="s">
        <v>137</v>
      </c>
      <c r="G114" s="656"/>
      <c r="H114" s="656"/>
      <c r="I114" s="656"/>
      <c r="J114" s="656"/>
      <c r="K114" s="656"/>
      <c r="L114" s="666" t="s">
        <v>728</v>
      </c>
      <c r="M114" s="656"/>
      <c r="N114" s="1740">
        <v>0</v>
      </c>
      <c r="O114" s="1746">
        <v>0</v>
      </c>
      <c r="P114" s="1747">
        <v>0</v>
      </c>
      <c r="Q114" s="1748">
        <v>0</v>
      </c>
      <c r="R114" s="1749">
        <v>0</v>
      </c>
      <c r="S114" s="1750">
        <v>0</v>
      </c>
      <c r="T114" s="658"/>
      <c r="U114" s="656"/>
      <c r="V114" s="656"/>
      <c r="W114" s="656"/>
      <c r="X114" s="656"/>
      <c r="Y114" s="656"/>
      <c r="Z114" s="656"/>
    </row>
    <row r="115" spans="1:26" x14ac:dyDescent="0.45">
      <c r="A115" s="656"/>
      <c r="B115" s="656"/>
      <c r="C115" s="656"/>
      <c r="D115" s="656"/>
      <c r="E115" s="656"/>
      <c r="F115" s="656" t="s">
        <v>138</v>
      </c>
      <c r="G115" s="656"/>
      <c r="H115" s="656"/>
      <c r="I115" s="656"/>
      <c r="J115" s="656"/>
      <c r="K115" s="656"/>
      <c r="L115" s="666" t="s">
        <v>725</v>
      </c>
      <c r="M115" s="656"/>
      <c r="N115" s="1740">
        <v>0</v>
      </c>
      <c r="O115" s="1741">
        <v>0</v>
      </c>
      <c r="P115" s="1742">
        <v>0</v>
      </c>
      <c r="Q115" s="1743">
        <v>0</v>
      </c>
      <c r="R115" s="1744">
        <v>0</v>
      </c>
      <c r="S115" s="1745">
        <v>0</v>
      </c>
      <c r="T115" s="658"/>
      <c r="U115" s="656"/>
      <c r="V115" s="656"/>
      <c r="W115" s="656"/>
      <c r="X115" s="656"/>
      <c r="Y115" s="656"/>
      <c r="Z115" s="656"/>
    </row>
    <row r="116" spans="1:26" x14ac:dyDescent="0.45">
      <c r="A116" s="656"/>
      <c r="B116" s="656"/>
      <c r="C116" s="656"/>
      <c r="D116" s="656"/>
      <c r="E116" s="656"/>
      <c r="F116" s="656"/>
      <c r="G116" s="656"/>
      <c r="H116" s="656"/>
      <c r="I116" s="656"/>
      <c r="J116" s="656"/>
      <c r="K116" s="656"/>
      <c r="L116" s="666"/>
      <c r="M116" s="656"/>
      <c r="N116" s="644"/>
      <c r="O116" s="645"/>
      <c r="P116" s="646"/>
      <c r="Q116" s="647"/>
      <c r="R116" s="648"/>
      <c r="S116" s="649"/>
      <c r="T116" s="658"/>
      <c r="U116" s="656"/>
      <c r="V116" s="656"/>
      <c r="W116" s="656"/>
      <c r="X116" s="656"/>
      <c r="Y116" s="656"/>
      <c r="Z116" s="656"/>
    </row>
    <row r="117" spans="1:26" ht="13.15" x14ac:dyDescent="0.45">
      <c r="A117" s="656"/>
      <c r="B117" s="656"/>
      <c r="C117" s="671" t="s">
        <v>38</v>
      </c>
      <c r="D117" s="656"/>
      <c r="E117" s="656"/>
      <c r="F117" s="656"/>
      <c r="G117" s="656"/>
      <c r="H117" s="656"/>
      <c r="I117" s="656"/>
      <c r="J117" s="656"/>
      <c r="K117" s="671"/>
      <c r="L117" s="656"/>
      <c r="M117" s="656"/>
      <c r="N117" s="560"/>
      <c r="O117" s="561"/>
      <c r="P117" s="562"/>
      <c r="Q117" s="563"/>
      <c r="R117" s="564"/>
      <c r="S117" s="565"/>
      <c r="T117" s="658"/>
      <c r="U117" s="656"/>
      <c r="V117" s="656"/>
      <c r="W117" s="656"/>
      <c r="X117" s="656"/>
      <c r="Y117" s="656"/>
      <c r="Z117" s="656"/>
    </row>
    <row r="118" spans="1:26" x14ac:dyDescent="0.45">
      <c r="A118" s="656"/>
      <c r="B118" s="656"/>
      <c r="C118" s="656"/>
      <c r="D118" s="656" t="s">
        <v>319</v>
      </c>
      <c r="E118" s="656"/>
      <c r="F118" s="656"/>
      <c r="G118" s="656"/>
      <c r="H118" s="656"/>
      <c r="I118" s="656"/>
      <c r="J118" s="656"/>
      <c r="K118" s="656"/>
      <c r="L118" s="666" t="s">
        <v>739</v>
      </c>
      <c r="M118" s="656"/>
      <c r="N118" s="1526">
        <v>15313</v>
      </c>
      <c r="O118" s="1527">
        <v>0</v>
      </c>
      <c r="P118" s="1528">
        <v>0</v>
      </c>
      <c r="Q118" s="1529">
        <v>0</v>
      </c>
      <c r="R118" s="1530">
        <v>0</v>
      </c>
      <c r="S118" s="1531">
        <v>0</v>
      </c>
      <c r="T118" s="658"/>
      <c r="U118" s="656"/>
      <c r="V118" s="656"/>
      <c r="W118" s="656"/>
      <c r="X118" s="656"/>
      <c r="Y118" s="656"/>
      <c r="Z118" s="656"/>
    </row>
    <row r="119" spans="1:26" x14ac:dyDescent="0.45">
      <c r="A119" s="656"/>
      <c r="B119" s="656"/>
      <c r="C119" s="656"/>
      <c r="D119" s="656" t="s">
        <v>320</v>
      </c>
      <c r="E119" s="656"/>
      <c r="F119" s="656"/>
      <c r="G119" s="656"/>
      <c r="H119" s="656"/>
      <c r="I119" s="656"/>
      <c r="J119" s="656"/>
      <c r="K119" s="656"/>
      <c r="L119" s="666" t="s">
        <v>14</v>
      </c>
      <c r="M119" s="656"/>
      <c r="N119" s="298">
        <v>0.02</v>
      </c>
      <c r="O119" s="299">
        <v>0</v>
      </c>
      <c r="P119" s="494">
        <v>0</v>
      </c>
      <c r="Q119" s="181">
        <v>0</v>
      </c>
      <c r="R119" s="182">
        <v>0</v>
      </c>
      <c r="S119" s="183">
        <v>0</v>
      </c>
      <c r="T119" s="658"/>
      <c r="U119" s="656"/>
      <c r="V119" s="656"/>
      <c r="W119" s="656"/>
      <c r="X119" s="656"/>
      <c r="Y119" s="656"/>
      <c r="Z119" s="656"/>
    </row>
    <row r="120" spans="1:26" x14ac:dyDescent="0.45">
      <c r="A120" s="656"/>
      <c r="B120" s="656"/>
      <c r="C120" s="656"/>
      <c r="D120" s="656"/>
      <c r="E120" s="656"/>
      <c r="F120" s="656"/>
      <c r="G120" s="656"/>
      <c r="H120" s="656"/>
      <c r="I120" s="656"/>
      <c r="J120" s="656"/>
      <c r="K120" s="656"/>
      <c r="L120" s="656"/>
      <c r="M120" s="656"/>
      <c r="N120" s="560"/>
      <c r="O120" s="561"/>
      <c r="P120" s="562"/>
      <c r="Q120" s="563"/>
      <c r="R120" s="564"/>
      <c r="S120" s="565"/>
      <c r="T120" s="658"/>
      <c r="U120" s="656"/>
      <c r="V120" s="656"/>
      <c r="W120" s="656"/>
      <c r="X120" s="656"/>
      <c r="Y120" s="656"/>
      <c r="Z120" s="656"/>
    </row>
    <row r="121" spans="1:26" ht="13.15" x14ac:dyDescent="0.45">
      <c r="A121" s="656"/>
      <c r="B121" s="656"/>
      <c r="C121" s="671" t="s">
        <v>19</v>
      </c>
      <c r="D121" s="656"/>
      <c r="E121" s="656"/>
      <c r="F121" s="656"/>
      <c r="G121" s="656"/>
      <c r="H121" s="656"/>
      <c r="I121" s="656"/>
      <c r="J121" s="656"/>
      <c r="K121" s="656"/>
      <c r="L121" s="656"/>
      <c r="M121" s="656"/>
      <c r="N121" s="560"/>
      <c r="O121" s="561"/>
      <c r="P121" s="562"/>
      <c r="Q121" s="563"/>
      <c r="R121" s="564"/>
      <c r="S121" s="565"/>
      <c r="T121" s="658"/>
      <c r="U121" s="656"/>
      <c r="V121" s="656"/>
      <c r="W121" s="656"/>
      <c r="X121" s="656"/>
      <c r="Y121" s="656"/>
      <c r="Z121" s="656"/>
    </row>
    <row r="122" spans="1:26" x14ac:dyDescent="0.45">
      <c r="A122" s="656"/>
      <c r="B122" s="656"/>
      <c r="C122" s="656"/>
      <c r="D122" s="656" t="s">
        <v>324</v>
      </c>
      <c r="E122" s="656"/>
      <c r="F122" s="656"/>
      <c r="G122" s="656"/>
      <c r="H122" s="656"/>
      <c r="I122" s="656"/>
      <c r="J122" s="656"/>
      <c r="K122" s="656"/>
      <c r="L122" s="666" t="s">
        <v>14</v>
      </c>
      <c r="M122" s="656"/>
      <c r="N122" s="602">
        <v>1</v>
      </c>
      <c r="O122" s="603">
        <v>1</v>
      </c>
      <c r="P122" s="604">
        <v>1</v>
      </c>
      <c r="Q122" s="605">
        <v>1</v>
      </c>
      <c r="R122" s="606">
        <v>1</v>
      </c>
      <c r="S122" s="607">
        <v>1</v>
      </c>
      <c r="T122" s="658"/>
      <c r="U122" s="656"/>
      <c r="V122" s="656"/>
      <c r="W122" s="656"/>
      <c r="X122" s="656"/>
      <c r="Y122" s="656"/>
      <c r="Z122" s="656"/>
    </row>
    <row r="123" spans="1:26" x14ac:dyDescent="0.45">
      <c r="A123" s="656"/>
      <c r="B123" s="656"/>
      <c r="C123" s="658"/>
      <c r="D123" s="658" t="s">
        <v>16</v>
      </c>
      <c r="E123" s="658"/>
      <c r="F123" s="658"/>
      <c r="G123" s="658"/>
      <c r="H123" s="658"/>
      <c r="I123" s="658"/>
      <c r="J123" s="658"/>
      <c r="K123" s="658"/>
      <c r="L123" s="659" t="s">
        <v>14</v>
      </c>
      <c r="M123" s="658"/>
      <c r="N123" s="650">
        <f>1-N122</f>
        <v>0</v>
      </c>
      <c r="O123" s="651">
        <f t="shared" ref="O123:S123" si="17">1-O122</f>
        <v>0</v>
      </c>
      <c r="P123" s="652">
        <f t="shared" si="17"/>
        <v>0</v>
      </c>
      <c r="Q123" s="653">
        <f t="shared" si="17"/>
        <v>0</v>
      </c>
      <c r="R123" s="654">
        <f t="shared" si="17"/>
        <v>0</v>
      </c>
      <c r="S123" s="655">
        <f t="shared" si="17"/>
        <v>0</v>
      </c>
      <c r="T123" s="658"/>
      <c r="U123" s="656"/>
      <c r="V123" s="656"/>
      <c r="W123" s="656"/>
      <c r="X123" s="656"/>
      <c r="Y123" s="656"/>
      <c r="Z123" s="656"/>
    </row>
    <row r="124" spans="1:26" s="509" customFormat="1" ht="12.75" customHeight="1" x14ac:dyDescent="0.45">
      <c r="A124" s="656"/>
      <c r="B124" s="656"/>
      <c r="C124" s="682"/>
      <c r="D124" s="656"/>
      <c r="E124" s="658"/>
      <c r="F124" s="658"/>
      <c r="G124" s="658"/>
      <c r="H124" s="658"/>
      <c r="I124" s="658"/>
      <c r="J124" s="658"/>
      <c r="K124" s="658"/>
      <c r="L124" s="659"/>
      <c r="M124" s="683"/>
      <c r="N124" s="685" t="str">
        <f t="shared" ref="N124:S124" si="18">IF(SUM(N122:N123)=100%, "", "Sum must equal 100%")</f>
        <v/>
      </c>
      <c r="O124" s="685" t="str">
        <f t="shared" si="18"/>
        <v/>
      </c>
      <c r="P124" s="685" t="str">
        <f t="shared" si="18"/>
        <v/>
      </c>
      <c r="Q124" s="685" t="str">
        <f t="shared" si="18"/>
        <v/>
      </c>
      <c r="R124" s="685" t="str">
        <f t="shared" si="18"/>
        <v/>
      </c>
      <c r="S124" s="685" t="str">
        <f t="shared" si="18"/>
        <v/>
      </c>
      <c r="T124" s="686"/>
      <c r="U124" s="656"/>
      <c r="V124" s="656"/>
      <c r="W124" s="656"/>
      <c r="X124" s="656"/>
      <c r="Y124" s="656"/>
      <c r="Z124" s="656"/>
    </row>
    <row r="125" spans="1:26" s="156" customFormat="1" ht="12.75" customHeight="1" x14ac:dyDescent="0.45">
      <c r="A125" s="491" t="s">
        <v>596</v>
      </c>
      <c r="B125" s="491"/>
      <c r="C125" s="491"/>
      <c r="D125" s="491"/>
      <c r="E125" s="491"/>
      <c r="F125" s="491"/>
      <c r="G125" s="491"/>
      <c r="H125" s="491"/>
      <c r="I125" s="491"/>
      <c r="J125" s="491"/>
      <c r="K125" s="492"/>
      <c r="L125" s="492"/>
      <c r="M125" s="492"/>
      <c r="N125" s="492"/>
      <c r="O125" s="492"/>
      <c r="P125" s="492"/>
      <c r="Q125" s="492"/>
      <c r="R125" s="492"/>
      <c r="S125" s="492"/>
      <c r="T125" s="492"/>
      <c r="U125" s="492"/>
      <c r="V125" s="492"/>
      <c r="W125" s="492"/>
      <c r="X125" s="492"/>
      <c r="Y125" s="492"/>
      <c r="Z125" s="658"/>
    </row>
    <row r="126" spans="1:26" x14ac:dyDescent="0.45">
      <c r="A126" s="656"/>
      <c r="B126" s="656"/>
      <c r="C126" s="656"/>
      <c r="D126" s="656"/>
      <c r="E126" s="656"/>
      <c r="F126" s="656"/>
      <c r="G126" s="656"/>
      <c r="H126" s="656"/>
      <c r="I126" s="656"/>
      <c r="J126" s="656"/>
      <c r="K126" s="656"/>
      <c r="L126" s="656"/>
      <c r="M126" s="656"/>
      <c r="N126" s="656"/>
      <c r="O126" s="656"/>
      <c r="P126" s="656"/>
      <c r="Q126" s="656"/>
      <c r="R126" s="656"/>
      <c r="S126" s="656"/>
      <c r="T126" s="656"/>
      <c r="U126" s="656"/>
      <c r="V126" s="656"/>
      <c r="W126" s="656"/>
      <c r="X126" s="656"/>
      <c r="Y126" s="656"/>
      <c r="Z126" s="656"/>
    </row>
    <row r="127" spans="1:26" x14ac:dyDescent="0.45">
      <c r="A127" s="656"/>
      <c r="B127" s="664" t="s">
        <v>601</v>
      </c>
      <c r="C127" s="656"/>
      <c r="D127" s="656"/>
      <c r="E127" s="656"/>
      <c r="F127" s="656"/>
      <c r="G127" s="656"/>
      <c r="H127" s="656"/>
      <c r="I127" s="656"/>
      <c r="J127" s="656"/>
      <c r="K127" s="656"/>
      <c r="L127" s="656"/>
      <c r="M127" s="656"/>
      <c r="N127" s="656"/>
      <c r="O127" s="656"/>
      <c r="P127" s="656"/>
      <c r="Q127" s="656"/>
      <c r="R127" s="656"/>
      <c r="S127" s="656"/>
      <c r="T127" s="656"/>
      <c r="U127" s="656"/>
      <c r="V127" s="656"/>
      <c r="W127" s="656"/>
      <c r="X127" s="656"/>
      <c r="Y127" s="656"/>
      <c r="Z127" s="656"/>
    </row>
    <row r="128" spans="1:26" x14ac:dyDescent="0.45">
      <c r="A128" s="656"/>
      <c r="B128" s="664"/>
      <c r="C128" s="656"/>
      <c r="D128" s="656"/>
      <c r="E128" s="656"/>
      <c r="F128" s="656"/>
      <c r="G128" s="656"/>
      <c r="H128" s="656"/>
      <c r="I128" s="656"/>
      <c r="J128" s="656"/>
      <c r="K128" s="656"/>
      <c r="L128" s="656"/>
      <c r="M128" s="656"/>
      <c r="N128" s="656"/>
      <c r="O128" s="656"/>
      <c r="P128" s="656"/>
      <c r="Q128" s="656"/>
      <c r="R128" s="656"/>
      <c r="S128" s="656"/>
      <c r="T128" s="656"/>
      <c r="U128" s="656"/>
      <c r="V128" s="656"/>
      <c r="W128" s="656"/>
      <c r="X128" s="656"/>
      <c r="Y128" s="656"/>
      <c r="Z128" s="656"/>
    </row>
    <row r="129" spans="1:26" ht="13.15" outlineLevel="1" x14ac:dyDescent="0.45">
      <c r="A129" s="656"/>
      <c r="B129" s="667" t="s">
        <v>598</v>
      </c>
      <c r="C129" s="668"/>
      <c r="D129" s="668"/>
      <c r="E129" s="668"/>
      <c r="F129" s="668"/>
      <c r="G129" s="668"/>
      <c r="H129" s="668"/>
      <c r="I129" s="668"/>
      <c r="J129" s="668"/>
      <c r="K129" s="667"/>
      <c r="L129" s="669"/>
      <c r="M129" s="669"/>
      <c r="N129" s="669"/>
      <c r="O129" s="669"/>
      <c r="P129" s="669"/>
      <c r="Q129" s="669"/>
      <c r="R129" s="669"/>
      <c r="S129" s="669"/>
      <c r="T129" s="669"/>
      <c r="U129" s="669"/>
      <c r="V129" s="669"/>
      <c r="W129" s="669"/>
      <c r="X129" s="669"/>
      <c r="Y129" s="669"/>
      <c r="Z129" s="656"/>
    </row>
    <row r="130" spans="1:26" outlineLevel="1" x14ac:dyDescent="0.45">
      <c r="A130" s="656"/>
      <c r="B130" s="656"/>
      <c r="C130" s="656"/>
      <c r="D130" s="656"/>
      <c r="E130" s="656"/>
      <c r="F130" s="656"/>
      <c r="G130" s="656"/>
      <c r="H130" s="656"/>
      <c r="I130" s="656"/>
      <c r="J130" s="656"/>
      <c r="K130" s="656"/>
      <c r="L130" s="656"/>
      <c r="M130" s="656"/>
      <c r="N130" s="656"/>
      <c r="O130" s="656"/>
      <c r="P130" s="656"/>
      <c r="Q130" s="656"/>
      <c r="R130" s="656"/>
      <c r="S130" s="656"/>
      <c r="T130" s="656"/>
      <c r="U130" s="656"/>
      <c r="V130" s="656"/>
      <c r="W130" s="656"/>
      <c r="X130" s="656"/>
      <c r="Y130" s="656"/>
      <c r="Z130" s="656"/>
    </row>
    <row r="131" spans="1:26" ht="13.15" customHeight="1" outlineLevel="1" x14ac:dyDescent="0.45">
      <c r="A131" s="656"/>
      <c r="B131" s="656"/>
      <c r="C131" s="656"/>
      <c r="D131" s="656"/>
      <c r="E131" s="656"/>
      <c r="F131" s="656"/>
      <c r="G131" s="656"/>
      <c r="H131" s="2001" t="s">
        <v>599</v>
      </c>
      <c r="I131" s="2002"/>
      <c r="J131" s="2002"/>
      <c r="K131" s="2002"/>
      <c r="L131" s="2002"/>
      <c r="M131" s="2003"/>
      <c r="N131" s="2001" t="s">
        <v>141</v>
      </c>
      <c r="O131" s="2002"/>
      <c r="P131" s="2002"/>
      <c r="Q131" s="2002"/>
      <c r="R131" s="2002"/>
      <c r="S131" s="2003"/>
      <c r="T131" s="2001" t="s">
        <v>600</v>
      </c>
      <c r="U131" s="2002"/>
      <c r="V131" s="2002"/>
      <c r="W131" s="2002"/>
      <c r="X131" s="2002"/>
      <c r="Y131" s="2003"/>
      <c r="Z131" s="656"/>
    </row>
    <row r="132" spans="1:26" ht="13.15" outlineLevel="1" x14ac:dyDescent="0.45">
      <c r="A132" s="656"/>
      <c r="B132" s="656"/>
      <c r="C132" s="656"/>
      <c r="D132" s="656"/>
      <c r="E132" s="656"/>
      <c r="F132" s="687" t="s">
        <v>83</v>
      </c>
      <c r="G132" s="688" t="s">
        <v>51</v>
      </c>
      <c r="H132" s="21" t="str">
        <f>$N$18</f>
        <v>CCGT</v>
      </c>
      <c r="I132" s="22" t="str">
        <f>$O$18</f>
        <v>Technology #2</v>
      </c>
      <c r="J132" s="23" t="str">
        <f>$P$18</f>
        <v>Technology #3</v>
      </c>
      <c r="K132" s="24" t="str">
        <f>$Q$18</f>
        <v>Technology #4</v>
      </c>
      <c r="L132" s="27" t="str">
        <f>$R$18</f>
        <v>Technology #5</v>
      </c>
      <c r="M132" s="25" t="str">
        <f>$S$18</f>
        <v>Technology #6</v>
      </c>
      <c r="N132" s="21" t="str">
        <f>$N$18</f>
        <v>CCGT</v>
      </c>
      <c r="O132" s="22" t="str">
        <f>$O$18</f>
        <v>Technology #2</v>
      </c>
      <c r="P132" s="23" t="str">
        <f>$P$18</f>
        <v>Technology #3</v>
      </c>
      <c r="Q132" s="24" t="str">
        <f>$Q$18</f>
        <v>Technology #4</v>
      </c>
      <c r="R132" s="27" t="str">
        <f>$R$18</f>
        <v>Technology #5</v>
      </c>
      <c r="S132" s="25" t="str">
        <f>$S$18</f>
        <v>Technology #6</v>
      </c>
      <c r="T132" s="21" t="str">
        <f>$N$18</f>
        <v>CCGT</v>
      </c>
      <c r="U132" s="22" t="str">
        <f>$O$18</f>
        <v>Technology #2</v>
      </c>
      <c r="V132" s="23" t="str">
        <f>$P$18</f>
        <v>Technology #3</v>
      </c>
      <c r="W132" s="24" t="str">
        <f>$Q$18</f>
        <v>Technology #4</v>
      </c>
      <c r="X132" s="27" t="str">
        <f>$R$18</f>
        <v>Technology #5</v>
      </c>
      <c r="Y132" s="25" t="str">
        <f>$S$18</f>
        <v>Technology #6</v>
      </c>
      <c r="Z132" s="656"/>
    </row>
    <row r="133" spans="1:26" outlineLevel="1" x14ac:dyDescent="0.45">
      <c r="A133" s="656"/>
      <c r="B133" s="656"/>
      <c r="C133" s="656"/>
      <c r="D133" s="656"/>
      <c r="E133" s="656"/>
      <c r="F133" s="689">
        <v>1</v>
      </c>
      <c r="G133" s="690">
        <f>'III. Inputs, Renewable Energy'!U20</f>
        <v>2018</v>
      </c>
      <c r="H133" s="1751">
        <f t="shared" ref="H133:H158" si="19">N$111*(1+N$112)^($F133-1)</f>
        <v>0</v>
      </c>
      <c r="I133" s="1752">
        <f t="shared" ref="I133:M133" si="20">O$111*(1+O$112)^($F133-1)</f>
        <v>0</v>
      </c>
      <c r="J133" s="1753">
        <f t="shared" si="20"/>
        <v>0</v>
      </c>
      <c r="K133" s="1754">
        <f t="shared" si="20"/>
        <v>0</v>
      </c>
      <c r="L133" s="1755">
        <f t="shared" si="20"/>
        <v>0</v>
      </c>
      <c r="M133" s="1756">
        <f t="shared" si="20"/>
        <v>0</v>
      </c>
      <c r="N133" s="1751">
        <f>N$114*$F133+N$115</f>
        <v>0</v>
      </c>
      <c r="O133" s="1752">
        <f t="shared" ref="O133:S148" si="21">O$114*$F133+O$115</f>
        <v>0</v>
      </c>
      <c r="P133" s="1753">
        <f t="shared" si="21"/>
        <v>0</v>
      </c>
      <c r="Q133" s="1754">
        <f t="shared" si="21"/>
        <v>0</v>
      </c>
      <c r="R133" s="1755">
        <f t="shared" si="21"/>
        <v>0</v>
      </c>
      <c r="S133" s="1756">
        <f t="shared" si="21"/>
        <v>0</v>
      </c>
      <c r="T133" s="1740">
        <v>18.971018759099671</v>
      </c>
      <c r="U133" s="1741">
        <v>0</v>
      </c>
      <c r="V133" s="1742">
        <v>0</v>
      </c>
      <c r="W133" s="1743">
        <v>0</v>
      </c>
      <c r="X133" s="1744">
        <v>0</v>
      </c>
      <c r="Y133" s="1745">
        <v>0</v>
      </c>
      <c r="Z133" s="656"/>
    </row>
    <row r="134" spans="1:26" outlineLevel="1" x14ac:dyDescent="0.45">
      <c r="A134" s="656"/>
      <c r="B134" s="656"/>
      <c r="C134" s="656"/>
      <c r="D134" s="656"/>
      <c r="E134" s="656"/>
      <c r="F134" s="691">
        <f>F133+1</f>
        <v>2</v>
      </c>
      <c r="G134" s="691">
        <f>G133+1</f>
        <v>2019</v>
      </c>
      <c r="H134" s="1751">
        <f t="shared" si="19"/>
        <v>0</v>
      </c>
      <c r="I134" s="1752">
        <f t="shared" ref="I134:I182" si="22">O$111*(1+O$112)^($F134-1)</f>
        <v>0</v>
      </c>
      <c r="J134" s="1753">
        <f t="shared" ref="J134:J182" si="23">P$111*(1+P$112)^($F134-1)</f>
        <v>0</v>
      </c>
      <c r="K134" s="1754">
        <f t="shared" ref="K134:K182" si="24">Q$111*(1+Q$112)^($F134-1)</f>
        <v>0</v>
      </c>
      <c r="L134" s="1755">
        <f t="shared" ref="L134:L182" si="25">R$111*(1+R$112)^($F134-1)</f>
        <v>0</v>
      </c>
      <c r="M134" s="1756">
        <f t="shared" ref="M134:M182" si="26">S$111*(1+S$112)^($F134-1)</f>
        <v>0</v>
      </c>
      <c r="N134" s="1751">
        <f t="shared" ref="N134:S165" si="27">N$114*$F134+N$115</f>
        <v>0</v>
      </c>
      <c r="O134" s="1752">
        <f t="shared" si="21"/>
        <v>0</v>
      </c>
      <c r="P134" s="1753">
        <f t="shared" si="21"/>
        <v>0</v>
      </c>
      <c r="Q134" s="1754">
        <f t="shared" si="21"/>
        <v>0</v>
      </c>
      <c r="R134" s="1755">
        <f t="shared" si="21"/>
        <v>0</v>
      </c>
      <c r="S134" s="1756">
        <f t="shared" si="21"/>
        <v>0</v>
      </c>
      <c r="T134" s="1740">
        <v>19.298105289428978</v>
      </c>
      <c r="U134" s="1741">
        <v>0</v>
      </c>
      <c r="V134" s="1742">
        <v>0</v>
      </c>
      <c r="W134" s="1743">
        <v>0</v>
      </c>
      <c r="X134" s="1744">
        <v>0</v>
      </c>
      <c r="Y134" s="1745">
        <v>0</v>
      </c>
      <c r="Z134" s="656"/>
    </row>
    <row r="135" spans="1:26" outlineLevel="1" x14ac:dyDescent="0.45">
      <c r="A135" s="656"/>
      <c r="B135" s="656"/>
      <c r="C135" s="656"/>
      <c r="D135" s="656"/>
      <c r="E135" s="656"/>
      <c r="F135" s="691">
        <f t="shared" ref="F135:F182" si="28">F134+1</f>
        <v>3</v>
      </c>
      <c r="G135" s="691">
        <f t="shared" ref="G135:G182" si="29">G134+1</f>
        <v>2020</v>
      </c>
      <c r="H135" s="1751">
        <f t="shared" si="19"/>
        <v>0</v>
      </c>
      <c r="I135" s="1752">
        <f t="shared" si="22"/>
        <v>0</v>
      </c>
      <c r="J135" s="1753">
        <f t="shared" si="23"/>
        <v>0</v>
      </c>
      <c r="K135" s="1754">
        <f t="shared" si="24"/>
        <v>0</v>
      </c>
      <c r="L135" s="1755">
        <f t="shared" si="25"/>
        <v>0</v>
      </c>
      <c r="M135" s="1756">
        <f t="shared" si="26"/>
        <v>0</v>
      </c>
      <c r="N135" s="1751">
        <f t="shared" si="27"/>
        <v>0</v>
      </c>
      <c r="O135" s="1752">
        <f t="shared" si="21"/>
        <v>0</v>
      </c>
      <c r="P135" s="1753">
        <f t="shared" si="21"/>
        <v>0</v>
      </c>
      <c r="Q135" s="1754">
        <f t="shared" si="21"/>
        <v>0</v>
      </c>
      <c r="R135" s="1755">
        <f t="shared" si="21"/>
        <v>0</v>
      </c>
      <c r="S135" s="1756">
        <f t="shared" si="21"/>
        <v>0</v>
      </c>
      <c r="T135" s="1740">
        <v>19.298105289428978</v>
      </c>
      <c r="U135" s="1741">
        <v>0</v>
      </c>
      <c r="V135" s="1742">
        <v>0</v>
      </c>
      <c r="W135" s="1743">
        <v>0</v>
      </c>
      <c r="X135" s="1744">
        <v>0</v>
      </c>
      <c r="Y135" s="1745">
        <v>0</v>
      </c>
      <c r="Z135" s="656"/>
    </row>
    <row r="136" spans="1:26" outlineLevel="1" x14ac:dyDescent="0.45">
      <c r="A136" s="656"/>
      <c r="B136" s="656"/>
      <c r="C136" s="656"/>
      <c r="D136" s="656"/>
      <c r="E136" s="656"/>
      <c r="F136" s="691">
        <f t="shared" si="28"/>
        <v>4</v>
      </c>
      <c r="G136" s="691">
        <f t="shared" si="29"/>
        <v>2021</v>
      </c>
      <c r="H136" s="1751">
        <f t="shared" si="19"/>
        <v>0</v>
      </c>
      <c r="I136" s="1752">
        <f t="shared" si="22"/>
        <v>0</v>
      </c>
      <c r="J136" s="1753">
        <f t="shared" si="23"/>
        <v>0</v>
      </c>
      <c r="K136" s="1754">
        <f t="shared" si="24"/>
        <v>0</v>
      </c>
      <c r="L136" s="1755">
        <f t="shared" si="25"/>
        <v>0</v>
      </c>
      <c r="M136" s="1756">
        <f t="shared" si="26"/>
        <v>0</v>
      </c>
      <c r="N136" s="1751">
        <f t="shared" si="27"/>
        <v>0</v>
      </c>
      <c r="O136" s="1752">
        <f t="shared" si="21"/>
        <v>0</v>
      </c>
      <c r="P136" s="1753">
        <f t="shared" si="21"/>
        <v>0</v>
      </c>
      <c r="Q136" s="1754">
        <f t="shared" si="21"/>
        <v>0</v>
      </c>
      <c r="R136" s="1755">
        <f t="shared" si="21"/>
        <v>0</v>
      </c>
      <c r="S136" s="1756">
        <f t="shared" si="21"/>
        <v>0</v>
      </c>
      <c r="T136" s="1740">
        <v>19.625191819758282</v>
      </c>
      <c r="U136" s="1741">
        <v>0</v>
      </c>
      <c r="V136" s="1742">
        <v>0</v>
      </c>
      <c r="W136" s="1743">
        <v>0</v>
      </c>
      <c r="X136" s="1744">
        <v>0</v>
      </c>
      <c r="Y136" s="1745">
        <v>0</v>
      </c>
      <c r="Z136" s="656"/>
    </row>
    <row r="137" spans="1:26" outlineLevel="1" x14ac:dyDescent="0.45">
      <c r="A137" s="656"/>
      <c r="B137" s="656"/>
      <c r="C137" s="656"/>
      <c r="D137" s="656"/>
      <c r="E137" s="656"/>
      <c r="F137" s="691">
        <f t="shared" si="28"/>
        <v>5</v>
      </c>
      <c r="G137" s="691">
        <f t="shared" si="29"/>
        <v>2022</v>
      </c>
      <c r="H137" s="1751">
        <f t="shared" si="19"/>
        <v>0</v>
      </c>
      <c r="I137" s="1752">
        <f t="shared" si="22"/>
        <v>0</v>
      </c>
      <c r="J137" s="1753">
        <f t="shared" si="23"/>
        <v>0</v>
      </c>
      <c r="K137" s="1754">
        <f t="shared" si="24"/>
        <v>0</v>
      </c>
      <c r="L137" s="1755">
        <f t="shared" si="25"/>
        <v>0</v>
      </c>
      <c r="M137" s="1756">
        <f t="shared" si="26"/>
        <v>0</v>
      </c>
      <c r="N137" s="1751">
        <f t="shared" si="27"/>
        <v>0</v>
      </c>
      <c r="O137" s="1752">
        <f t="shared" si="21"/>
        <v>0</v>
      </c>
      <c r="P137" s="1753">
        <f t="shared" si="21"/>
        <v>0</v>
      </c>
      <c r="Q137" s="1754">
        <f t="shared" si="21"/>
        <v>0</v>
      </c>
      <c r="R137" s="1755">
        <f t="shared" si="21"/>
        <v>0</v>
      </c>
      <c r="S137" s="1756">
        <f t="shared" si="21"/>
        <v>0</v>
      </c>
      <c r="T137" s="1740">
        <v>19.952278350087585</v>
      </c>
      <c r="U137" s="1741">
        <v>0</v>
      </c>
      <c r="V137" s="1742">
        <v>0</v>
      </c>
      <c r="W137" s="1743">
        <v>0</v>
      </c>
      <c r="X137" s="1744">
        <v>0</v>
      </c>
      <c r="Y137" s="1745">
        <v>0</v>
      </c>
      <c r="Z137" s="656"/>
    </row>
    <row r="138" spans="1:26" outlineLevel="1" x14ac:dyDescent="0.45">
      <c r="A138" s="656"/>
      <c r="B138" s="656"/>
      <c r="C138" s="656"/>
      <c r="D138" s="656"/>
      <c r="E138" s="656"/>
      <c r="F138" s="691">
        <f t="shared" si="28"/>
        <v>6</v>
      </c>
      <c r="G138" s="691">
        <f t="shared" si="29"/>
        <v>2023</v>
      </c>
      <c r="H138" s="1751">
        <f t="shared" si="19"/>
        <v>0</v>
      </c>
      <c r="I138" s="1752">
        <f t="shared" si="22"/>
        <v>0</v>
      </c>
      <c r="J138" s="1753">
        <f t="shared" si="23"/>
        <v>0</v>
      </c>
      <c r="K138" s="1754">
        <f t="shared" si="24"/>
        <v>0</v>
      </c>
      <c r="L138" s="1755">
        <f t="shared" si="25"/>
        <v>0</v>
      </c>
      <c r="M138" s="1756">
        <f t="shared" si="26"/>
        <v>0</v>
      </c>
      <c r="N138" s="1751">
        <f t="shared" si="27"/>
        <v>0</v>
      </c>
      <c r="O138" s="1752">
        <f t="shared" si="21"/>
        <v>0</v>
      </c>
      <c r="P138" s="1753">
        <f t="shared" si="21"/>
        <v>0</v>
      </c>
      <c r="Q138" s="1754">
        <f t="shared" si="21"/>
        <v>0</v>
      </c>
      <c r="R138" s="1755">
        <f t="shared" si="21"/>
        <v>0</v>
      </c>
      <c r="S138" s="1756">
        <f t="shared" si="21"/>
        <v>0</v>
      </c>
      <c r="T138" s="1740">
        <v>19.952278350087585</v>
      </c>
      <c r="U138" s="1741">
        <v>0</v>
      </c>
      <c r="V138" s="1742">
        <v>0</v>
      </c>
      <c r="W138" s="1743">
        <v>0</v>
      </c>
      <c r="X138" s="1744">
        <v>0</v>
      </c>
      <c r="Y138" s="1745">
        <v>0</v>
      </c>
      <c r="Z138" s="656"/>
    </row>
    <row r="139" spans="1:26" outlineLevel="1" x14ac:dyDescent="0.45">
      <c r="A139" s="656"/>
      <c r="B139" s="656"/>
      <c r="C139" s="656"/>
      <c r="D139" s="656"/>
      <c r="E139" s="656"/>
      <c r="F139" s="691">
        <f t="shared" si="28"/>
        <v>7</v>
      </c>
      <c r="G139" s="691">
        <f t="shared" si="29"/>
        <v>2024</v>
      </c>
      <c r="H139" s="1751">
        <f t="shared" si="19"/>
        <v>0</v>
      </c>
      <c r="I139" s="1752">
        <f t="shared" si="22"/>
        <v>0</v>
      </c>
      <c r="J139" s="1753">
        <f t="shared" si="23"/>
        <v>0</v>
      </c>
      <c r="K139" s="1754">
        <f t="shared" si="24"/>
        <v>0</v>
      </c>
      <c r="L139" s="1755">
        <f t="shared" si="25"/>
        <v>0</v>
      </c>
      <c r="M139" s="1756">
        <f t="shared" si="26"/>
        <v>0</v>
      </c>
      <c r="N139" s="1751">
        <f t="shared" si="27"/>
        <v>0</v>
      </c>
      <c r="O139" s="1752">
        <f t="shared" si="21"/>
        <v>0</v>
      </c>
      <c r="P139" s="1753">
        <f t="shared" si="21"/>
        <v>0</v>
      </c>
      <c r="Q139" s="1754">
        <f t="shared" si="21"/>
        <v>0</v>
      </c>
      <c r="R139" s="1755">
        <f t="shared" si="21"/>
        <v>0</v>
      </c>
      <c r="S139" s="1756">
        <f t="shared" si="21"/>
        <v>0</v>
      </c>
      <c r="T139" s="1740">
        <v>20.279364880416889</v>
      </c>
      <c r="U139" s="1741">
        <v>0</v>
      </c>
      <c r="V139" s="1742">
        <v>0</v>
      </c>
      <c r="W139" s="1743">
        <v>0</v>
      </c>
      <c r="X139" s="1744">
        <v>0</v>
      </c>
      <c r="Y139" s="1745">
        <v>0</v>
      </c>
      <c r="Z139" s="656"/>
    </row>
    <row r="140" spans="1:26" outlineLevel="1" x14ac:dyDescent="0.45">
      <c r="A140" s="656"/>
      <c r="B140" s="656"/>
      <c r="C140" s="656"/>
      <c r="D140" s="656"/>
      <c r="E140" s="656"/>
      <c r="F140" s="691">
        <f t="shared" si="28"/>
        <v>8</v>
      </c>
      <c r="G140" s="691">
        <f t="shared" si="29"/>
        <v>2025</v>
      </c>
      <c r="H140" s="1751">
        <f t="shared" si="19"/>
        <v>0</v>
      </c>
      <c r="I140" s="1752">
        <f t="shared" si="22"/>
        <v>0</v>
      </c>
      <c r="J140" s="1753">
        <f t="shared" si="23"/>
        <v>0</v>
      </c>
      <c r="K140" s="1754">
        <f t="shared" si="24"/>
        <v>0</v>
      </c>
      <c r="L140" s="1755">
        <f t="shared" si="25"/>
        <v>0</v>
      </c>
      <c r="M140" s="1756">
        <f t="shared" si="26"/>
        <v>0</v>
      </c>
      <c r="N140" s="1751">
        <f t="shared" si="27"/>
        <v>0</v>
      </c>
      <c r="O140" s="1752">
        <f t="shared" si="21"/>
        <v>0</v>
      </c>
      <c r="P140" s="1753">
        <f t="shared" si="21"/>
        <v>0</v>
      </c>
      <c r="Q140" s="1754">
        <f t="shared" si="21"/>
        <v>0</v>
      </c>
      <c r="R140" s="1755">
        <f t="shared" si="21"/>
        <v>0</v>
      </c>
      <c r="S140" s="1756">
        <f t="shared" si="21"/>
        <v>0</v>
      </c>
      <c r="T140" s="1740">
        <v>20.606451410746192</v>
      </c>
      <c r="U140" s="1741">
        <v>0</v>
      </c>
      <c r="V140" s="1742">
        <v>0</v>
      </c>
      <c r="W140" s="1743">
        <v>0</v>
      </c>
      <c r="X140" s="1744">
        <v>0</v>
      </c>
      <c r="Y140" s="1745">
        <v>0</v>
      </c>
      <c r="Z140" s="656"/>
    </row>
    <row r="141" spans="1:26" outlineLevel="1" x14ac:dyDescent="0.45">
      <c r="A141" s="656"/>
      <c r="B141" s="656"/>
      <c r="C141" s="656"/>
      <c r="D141" s="656"/>
      <c r="E141" s="656"/>
      <c r="F141" s="691">
        <f t="shared" si="28"/>
        <v>9</v>
      </c>
      <c r="G141" s="691">
        <f t="shared" si="29"/>
        <v>2026</v>
      </c>
      <c r="H141" s="1751">
        <f t="shared" si="19"/>
        <v>0</v>
      </c>
      <c r="I141" s="1752">
        <f t="shared" si="22"/>
        <v>0</v>
      </c>
      <c r="J141" s="1753">
        <f t="shared" si="23"/>
        <v>0</v>
      </c>
      <c r="K141" s="1754">
        <f t="shared" si="24"/>
        <v>0</v>
      </c>
      <c r="L141" s="1755">
        <f t="shared" si="25"/>
        <v>0</v>
      </c>
      <c r="M141" s="1756">
        <f t="shared" si="26"/>
        <v>0</v>
      </c>
      <c r="N141" s="1751">
        <f t="shared" si="27"/>
        <v>0</v>
      </c>
      <c r="O141" s="1752">
        <f t="shared" si="21"/>
        <v>0</v>
      </c>
      <c r="P141" s="1753">
        <f t="shared" si="21"/>
        <v>0</v>
      </c>
      <c r="Q141" s="1754">
        <f t="shared" si="21"/>
        <v>0</v>
      </c>
      <c r="R141" s="1755">
        <f t="shared" si="21"/>
        <v>0</v>
      </c>
      <c r="S141" s="1756">
        <f t="shared" si="21"/>
        <v>0</v>
      </c>
      <c r="T141" s="1740">
        <v>20.716009506730597</v>
      </c>
      <c r="U141" s="1741">
        <v>0</v>
      </c>
      <c r="V141" s="1742">
        <v>0</v>
      </c>
      <c r="W141" s="1743">
        <v>0</v>
      </c>
      <c r="X141" s="1744">
        <v>0</v>
      </c>
      <c r="Y141" s="1745">
        <v>0</v>
      </c>
      <c r="Z141" s="656"/>
    </row>
    <row r="142" spans="1:26" outlineLevel="1" x14ac:dyDescent="0.45">
      <c r="A142" s="656"/>
      <c r="B142" s="656"/>
      <c r="C142" s="656"/>
      <c r="D142" s="656"/>
      <c r="E142" s="656"/>
      <c r="F142" s="691">
        <f t="shared" si="28"/>
        <v>10</v>
      </c>
      <c r="G142" s="691">
        <f t="shared" si="29"/>
        <v>2027</v>
      </c>
      <c r="H142" s="1751">
        <f t="shared" si="19"/>
        <v>0</v>
      </c>
      <c r="I142" s="1752">
        <f t="shared" si="22"/>
        <v>0</v>
      </c>
      <c r="J142" s="1753">
        <f t="shared" si="23"/>
        <v>0</v>
      </c>
      <c r="K142" s="1754">
        <f t="shared" si="24"/>
        <v>0</v>
      </c>
      <c r="L142" s="1755">
        <f t="shared" si="25"/>
        <v>0</v>
      </c>
      <c r="M142" s="1756">
        <f t="shared" si="26"/>
        <v>0</v>
      </c>
      <c r="N142" s="1751">
        <f t="shared" si="27"/>
        <v>0</v>
      </c>
      <c r="O142" s="1752">
        <f t="shared" si="21"/>
        <v>0</v>
      </c>
      <c r="P142" s="1753">
        <f t="shared" si="21"/>
        <v>0</v>
      </c>
      <c r="Q142" s="1754">
        <f t="shared" si="21"/>
        <v>0</v>
      </c>
      <c r="R142" s="1755">
        <f t="shared" si="21"/>
        <v>0</v>
      </c>
      <c r="S142" s="1756">
        <f t="shared" si="21"/>
        <v>0</v>
      </c>
      <c r="T142" s="1740">
        <v>20.934673583984331</v>
      </c>
      <c r="U142" s="1741">
        <v>0</v>
      </c>
      <c r="V142" s="1742">
        <v>0</v>
      </c>
      <c r="W142" s="1743">
        <v>0</v>
      </c>
      <c r="X142" s="1744">
        <v>0</v>
      </c>
      <c r="Y142" s="1745">
        <v>0</v>
      </c>
      <c r="Z142" s="656"/>
    </row>
    <row r="143" spans="1:26" outlineLevel="1" x14ac:dyDescent="0.45">
      <c r="A143" s="656"/>
      <c r="B143" s="656"/>
      <c r="C143" s="656"/>
      <c r="D143" s="656"/>
      <c r="E143" s="656"/>
      <c r="F143" s="691">
        <f t="shared" si="28"/>
        <v>11</v>
      </c>
      <c r="G143" s="691">
        <f t="shared" si="29"/>
        <v>2028</v>
      </c>
      <c r="H143" s="1751">
        <f t="shared" si="19"/>
        <v>0</v>
      </c>
      <c r="I143" s="1752">
        <f t="shared" si="22"/>
        <v>0</v>
      </c>
      <c r="J143" s="1753">
        <f t="shared" si="23"/>
        <v>0</v>
      </c>
      <c r="K143" s="1754">
        <f t="shared" si="24"/>
        <v>0</v>
      </c>
      <c r="L143" s="1755">
        <f t="shared" si="25"/>
        <v>0</v>
      </c>
      <c r="M143" s="1756">
        <f t="shared" si="26"/>
        <v>0</v>
      </c>
      <c r="N143" s="1751">
        <f t="shared" si="27"/>
        <v>0</v>
      </c>
      <c r="O143" s="1752">
        <f t="shared" si="21"/>
        <v>0</v>
      </c>
      <c r="P143" s="1753">
        <f t="shared" si="21"/>
        <v>0</v>
      </c>
      <c r="Q143" s="1754">
        <f t="shared" si="21"/>
        <v>0</v>
      </c>
      <c r="R143" s="1755">
        <f t="shared" si="21"/>
        <v>0</v>
      </c>
      <c r="S143" s="1756">
        <f t="shared" si="21"/>
        <v>0</v>
      </c>
      <c r="T143" s="1740">
        <v>21.155645730205965</v>
      </c>
      <c r="U143" s="1741">
        <v>0</v>
      </c>
      <c r="V143" s="1742">
        <v>0</v>
      </c>
      <c r="W143" s="1743">
        <v>0</v>
      </c>
      <c r="X143" s="1744">
        <v>0</v>
      </c>
      <c r="Y143" s="1745">
        <v>0</v>
      </c>
      <c r="Z143" s="656"/>
    </row>
    <row r="144" spans="1:26" outlineLevel="1" x14ac:dyDescent="0.45">
      <c r="A144" s="656"/>
      <c r="B144" s="656"/>
      <c r="C144" s="656"/>
      <c r="D144" s="656"/>
      <c r="E144" s="656"/>
      <c r="F144" s="691">
        <f t="shared" si="28"/>
        <v>12</v>
      </c>
      <c r="G144" s="691">
        <f t="shared" si="29"/>
        <v>2029</v>
      </c>
      <c r="H144" s="1751">
        <f t="shared" si="19"/>
        <v>0</v>
      </c>
      <c r="I144" s="1752">
        <f t="shared" si="22"/>
        <v>0</v>
      </c>
      <c r="J144" s="1753">
        <f t="shared" si="23"/>
        <v>0</v>
      </c>
      <c r="K144" s="1754">
        <f t="shared" si="24"/>
        <v>0</v>
      </c>
      <c r="L144" s="1755">
        <f t="shared" si="25"/>
        <v>0</v>
      </c>
      <c r="M144" s="1756">
        <f t="shared" si="26"/>
        <v>0</v>
      </c>
      <c r="N144" s="1751">
        <f t="shared" si="27"/>
        <v>0</v>
      </c>
      <c r="O144" s="1752">
        <f t="shared" si="21"/>
        <v>0</v>
      </c>
      <c r="P144" s="1753">
        <f t="shared" si="21"/>
        <v>0</v>
      </c>
      <c r="Q144" s="1754">
        <f t="shared" si="21"/>
        <v>0</v>
      </c>
      <c r="R144" s="1755">
        <f t="shared" si="21"/>
        <v>0</v>
      </c>
      <c r="S144" s="1756">
        <f t="shared" si="21"/>
        <v>0</v>
      </c>
      <c r="T144" s="1740">
        <v>21.378950307798455</v>
      </c>
      <c r="U144" s="1741">
        <v>0</v>
      </c>
      <c r="V144" s="1742">
        <v>0</v>
      </c>
      <c r="W144" s="1743">
        <v>0</v>
      </c>
      <c r="X144" s="1744">
        <v>0</v>
      </c>
      <c r="Y144" s="1745">
        <v>0</v>
      </c>
      <c r="Z144" s="656"/>
    </row>
    <row r="145" spans="1:26" outlineLevel="1" x14ac:dyDescent="0.45">
      <c r="A145" s="656"/>
      <c r="B145" s="656"/>
      <c r="C145" s="656"/>
      <c r="D145" s="656"/>
      <c r="E145" s="656"/>
      <c r="F145" s="691">
        <f t="shared" si="28"/>
        <v>13</v>
      </c>
      <c r="G145" s="691">
        <f t="shared" si="29"/>
        <v>2030</v>
      </c>
      <c r="H145" s="1751">
        <f t="shared" si="19"/>
        <v>0</v>
      </c>
      <c r="I145" s="1752">
        <f t="shared" si="22"/>
        <v>0</v>
      </c>
      <c r="J145" s="1753">
        <f t="shared" si="23"/>
        <v>0</v>
      </c>
      <c r="K145" s="1754">
        <f t="shared" si="24"/>
        <v>0</v>
      </c>
      <c r="L145" s="1755">
        <f t="shared" si="25"/>
        <v>0</v>
      </c>
      <c r="M145" s="1756">
        <f t="shared" si="26"/>
        <v>0</v>
      </c>
      <c r="N145" s="1751">
        <f t="shared" si="27"/>
        <v>0</v>
      </c>
      <c r="O145" s="1752">
        <f t="shared" si="21"/>
        <v>0</v>
      </c>
      <c r="P145" s="1753">
        <f t="shared" si="21"/>
        <v>0</v>
      </c>
      <c r="Q145" s="1754">
        <f t="shared" si="21"/>
        <v>0</v>
      </c>
      <c r="R145" s="1755">
        <f t="shared" si="21"/>
        <v>0</v>
      </c>
      <c r="S145" s="1756">
        <f t="shared" si="21"/>
        <v>0</v>
      </c>
      <c r="T145" s="1740">
        <v>21.587711001734107</v>
      </c>
      <c r="U145" s="1741">
        <v>0</v>
      </c>
      <c r="V145" s="1742">
        <v>0</v>
      </c>
      <c r="W145" s="1743">
        <v>0</v>
      </c>
      <c r="X145" s="1744">
        <v>0</v>
      </c>
      <c r="Y145" s="1745">
        <v>0</v>
      </c>
      <c r="Z145" s="656"/>
    </row>
    <row r="146" spans="1:26" outlineLevel="1" x14ac:dyDescent="0.45">
      <c r="A146" s="656"/>
      <c r="B146" s="656"/>
      <c r="C146" s="656"/>
      <c r="D146" s="656"/>
      <c r="E146" s="656"/>
      <c r="F146" s="691">
        <f t="shared" si="28"/>
        <v>14</v>
      </c>
      <c r="G146" s="691">
        <f t="shared" si="29"/>
        <v>2031</v>
      </c>
      <c r="H146" s="1751">
        <f t="shared" si="19"/>
        <v>0</v>
      </c>
      <c r="I146" s="1752">
        <f t="shared" si="22"/>
        <v>0</v>
      </c>
      <c r="J146" s="1753">
        <f t="shared" si="23"/>
        <v>0</v>
      </c>
      <c r="K146" s="1754">
        <f t="shared" si="24"/>
        <v>0</v>
      </c>
      <c r="L146" s="1755">
        <f t="shared" si="25"/>
        <v>0</v>
      </c>
      <c r="M146" s="1756">
        <f t="shared" si="26"/>
        <v>0</v>
      </c>
      <c r="N146" s="1751">
        <f t="shared" si="27"/>
        <v>0</v>
      </c>
      <c r="O146" s="1752">
        <f t="shared" si="21"/>
        <v>0</v>
      </c>
      <c r="P146" s="1753">
        <f t="shared" si="21"/>
        <v>0</v>
      </c>
      <c r="Q146" s="1754">
        <f t="shared" si="21"/>
        <v>0</v>
      </c>
      <c r="R146" s="1755">
        <f t="shared" si="21"/>
        <v>0</v>
      </c>
      <c r="S146" s="1756">
        <f t="shared" si="21"/>
        <v>0</v>
      </c>
      <c r="T146" s="1740">
        <v>21.832655495186714</v>
      </c>
      <c r="U146" s="1741">
        <v>0</v>
      </c>
      <c r="V146" s="1742">
        <v>0</v>
      </c>
      <c r="W146" s="1743">
        <v>0</v>
      </c>
      <c r="X146" s="1744">
        <v>0</v>
      </c>
      <c r="Y146" s="1745">
        <v>0</v>
      </c>
      <c r="Z146" s="656"/>
    </row>
    <row r="147" spans="1:26" outlineLevel="1" x14ac:dyDescent="0.45">
      <c r="A147" s="656"/>
      <c r="B147" s="656"/>
      <c r="C147" s="656"/>
      <c r="D147" s="656"/>
      <c r="E147" s="656"/>
      <c r="F147" s="691">
        <f t="shared" si="28"/>
        <v>15</v>
      </c>
      <c r="G147" s="691">
        <f t="shared" si="29"/>
        <v>2032</v>
      </c>
      <c r="H147" s="1751">
        <f t="shared" si="19"/>
        <v>0</v>
      </c>
      <c r="I147" s="1752">
        <f t="shared" si="22"/>
        <v>0</v>
      </c>
      <c r="J147" s="1753">
        <f t="shared" si="23"/>
        <v>0</v>
      </c>
      <c r="K147" s="1754">
        <f t="shared" si="24"/>
        <v>0</v>
      </c>
      <c r="L147" s="1755">
        <f t="shared" si="25"/>
        <v>0</v>
      </c>
      <c r="M147" s="1756">
        <f t="shared" si="26"/>
        <v>0</v>
      </c>
      <c r="N147" s="1751">
        <f t="shared" si="27"/>
        <v>0</v>
      </c>
      <c r="O147" s="1752">
        <f t="shared" si="21"/>
        <v>0</v>
      </c>
      <c r="P147" s="1753">
        <f t="shared" si="21"/>
        <v>0</v>
      </c>
      <c r="Q147" s="1754">
        <f t="shared" si="21"/>
        <v>0</v>
      </c>
      <c r="R147" s="1755">
        <f t="shared" si="21"/>
        <v>0</v>
      </c>
      <c r="S147" s="1756">
        <f t="shared" si="21"/>
        <v>0</v>
      </c>
      <c r="T147" s="1740">
        <v>22.063106126438964</v>
      </c>
      <c r="U147" s="1741">
        <v>0</v>
      </c>
      <c r="V147" s="1742">
        <v>0</v>
      </c>
      <c r="W147" s="1743">
        <v>0</v>
      </c>
      <c r="X147" s="1744">
        <v>0</v>
      </c>
      <c r="Y147" s="1745">
        <v>0</v>
      </c>
      <c r="Z147" s="656"/>
    </row>
    <row r="148" spans="1:26" outlineLevel="1" x14ac:dyDescent="0.45">
      <c r="A148" s="656"/>
      <c r="B148" s="656"/>
      <c r="C148" s="656"/>
      <c r="D148" s="656"/>
      <c r="E148" s="656"/>
      <c r="F148" s="691">
        <f t="shared" si="28"/>
        <v>16</v>
      </c>
      <c r="G148" s="691">
        <f t="shared" si="29"/>
        <v>2033</v>
      </c>
      <c r="H148" s="1751">
        <f t="shared" si="19"/>
        <v>0</v>
      </c>
      <c r="I148" s="1752">
        <f t="shared" si="22"/>
        <v>0</v>
      </c>
      <c r="J148" s="1753">
        <f t="shared" si="23"/>
        <v>0</v>
      </c>
      <c r="K148" s="1754">
        <f t="shared" si="24"/>
        <v>0</v>
      </c>
      <c r="L148" s="1755">
        <f t="shared" si="25"/>
        <v>0</v>
      </c>
      <c r="M148" s="1756">
        <f t="shared" si="26"/>
        <v>0</v>
      </c>
      <c r="N148" s="1751">
        <f t="shared" si="27"/>
        <v>0</v>
      </c>
      <c r="O148" s="1752">
        <f t="shared" si="21"/>
        <v>0</v>
      </c>
      <c r="P148" s="1753">
        <f t="shared" si="21"/>
        <v>0</v>
      </c>
      <c r="Q148" s="1754">
        <f t="shared" si="21"/>
        <v>0</v>
      </c>
      <c r="R148" s="1755">
        <f t="shared" si="21"/>
        <v>0</v>
      </c>
      <c r="S148" s="1756">
        <f t="shared" si="21"/>
        <v>0</v>
      </c>
      <c r="T148" s="1740">
        <v>22.295989237489938</v>
      </c>
      <c r="U148" s="1741">
        <v>0</v>
      </c>
      <c r="V148" s="1742">
        <v>0</v>
      </c>
      <c r="W148" s="1743">
        <v>0</v>
      </c>
      <c r="X148" s="1744">
        <v>0</v>
      </c>
      <c r="Y148" s="1745">
        <v>0</v>
      </c>
      <c r="Z148" s="656"/>
    </row>
    <row r="149" spans="1:26" outlineLevel="1" x14ac:dyDescent="0.45">
      <c r="A149" s="656"/>
      <c r="B149" s="656"/>
      <c r="C149" s="656"/>
      <c r="D149" s="656"/>
      <c r="E149" s="656"/>
      <c r="F149" s="691">
        <f t="shared" si="28"/>
        <v>17</v>
      </c>
      <c r="G149" s="691">
        <f t="shared" si="29"/>
        <v>2034</v>
      </c>
      <c r="H149" s="1751">
        <f t="shared" si="19"/>
        <v>0</v>
      </c>
      <c r="I149" s="1752">
        <f t="shared" si="22"/>
        <v>0</v>
      </c>
      <c r="J149" s="1753">
        <f t="shared" si="23"/>
        <v>0</v>
      </c>
      <c r="K149" s="1754">
        <f t="shared" si="24"/>
        <v>0</v>
      </c>
      <c r="L149" s="1755">
        <f t="shared" si="25"/>
        <v>0</v>
      </c>
      <c r="M149" s="1756">
        <f t="shared" si="26"/>
        <v>0</v>
      </c>
      <c r="N149" s="1751">
        <f t="shared" si="27"/>
        <v>0</v>
      </c>
      <c r="O149" s="1752">
        <f t="shared" si="27"/>
        <v>0</v>
      </c>
      <c r="P149" s="1753">
        <f t="shared" si="27"/>
        <v>0</v>
      </c>
      <c r="Q149" s="1754">
        <f t="shared" si="27"/>
        <v>0</v>
      </c>
      <c r="R149" s="1755">
        <f t="shared" si="27"/>
        <v>0</v>
      </c>
      <c r="S149" s="1756">
        <f t="shared" si="27"/>
        <v>0</v>
      </c>
      <c r="T149" s="1740">
        <v>22.531330503938527</v>
      </c>
      <c r="U149" s="1741">
        <v>0</v>
      </c>
      <c r="V149" s="1742">
        <v>0</v>
      </c>
      <c r="W149" s="1743">
        <v>0</v>
      </c>
      <c r="X149" s="1744">
        <v>0</v>
      </c>
      <c r="Y149" s="1745">
        <v>0</v>
      </c>
      <c r="Z149" s="656"/>
    </row>
    <row r="150" spans="1:26" outlineLevel="1" x14ac:dyDescent="0.45">
      <c r="A150" s="656"/>
      <c r="B150" s="656"/>
      <c r="C150" s="656"/>
      <c r="D150" s="656"/>
      <c r="E150" s="656"/>
      <c r="F150" s="691">
        <f t="shared" si="28"/>
        <v>18</v>
      </c>
      <c r="G150" s="691">
        <f t="shared" si="29"/>
        <v>2035</v>
      </c>
      <c r="H150" s="1751">
        <f t="shared" si="19"/>
        <v>0</v>
      </c>
      <c r="I150" s="1752">
        <f t="shared" si="22"/>
        <v>0</v>
      </c>
      <c r="J150" s="1753">
        <f t="shared" si="23"/>
        <v>0</v>
      </c>
      <c r="K150" s="1754">
        <f t="shared" si="24"/>
        <v>0</v>
      </c>
      <c r="L150" s="1755">
        <f t="shared" si="25"/>
        <v>0</v>
      </c>
      <c r="M150" s="1756">
        <f t="shared" si="26"/>
        <v>0</v>
      </c>
      <c r="N150" s="1751">
        <f t="shared" si="27"/>
        <v>0</v>
      </c>
      <c r="O150" s="1752">
        <f t="shared" si="27"/>
        <v>0</v>
      </c>
      <c r="P150" s="1753">
        <f t="shared" si="27"/>
        <v>0</v>
      </c>
      <c r="Q150" s="1754">
        <f t="shared" si="27"/>
        <v>0</v>
      </c>
      <c r="R150" s="1755">
        <f t="shared" si="27"/>
        <v>0</v>
      </c>
      <c r="S150" s="1756">
        <f t="shared" si="27"/>
        <v>0</v>
      </c>
      <c r="T150" s="1740">
        <v>22.769155872397732</v>
      </c>
      <c r="U150" s="1741">
        <v>0</v>
      </c>
      <c r="V150" s="1742">
        <v>0</v>
      </c>
      <c r="W150" s="1743">
        <v>0</v>
      </c>
      <c r="X150" s="1744">
        <v>0</v>
      </c>
      <c r="Y150" s="1745">
        <v>0</v>
      </c>
      <c r="Z150" s="656"/>
    </row>
    <row r="151" spans="1:26" outlineLevel="1" x14ac:dyDescent="0.45">
      <c r="A151" s="656"/>
      <c r="B151" s="656"/>
      <c r="C151" s="656"/>
      <c r="D151" s="656"/>
      <c r="E151" s="656"/>
      <c r="F151" s="691">
        <f t="shared" si="28"/>
        <v>19</v>
      </c>
      <c r="G151" s="691">
        <f t="shared" si="29"/>
        <v>2036</v>
      </c>
      <c r="H151" s="1751">
        <f t="shared" si="19"/>
        <v>0</v>
      </c>
      <c r="I151" s="1752">
        <f t="shared" si="22"/>
        <v>0</v>
      </c>
      <c r="J151" s="1753">
        <f t="shared" si="23"/>
        <v>0</v>
      </c>
      <c r="K151" s="1754">
        <f t="shared" si="24"/>
        <v>0</v>
      </c>
      <c r="L151" s="1755">
        <f t="shared" si="25"/>
        <v>0</v>
      </c>
      <c r="M151" s="1756">
        <f t="shared" si="26"/>
        <v>0</v>
      </c>
      <c r="N151" s="1751">
        <f t="shared" si="27"/>
        <v>0</v>
      </c>
      <c r="O151" s="1752">
        <f t="shared" si="27"/>
        <v>0</v>
      </c>
      <c r="P151" s="1753">
        <f t="shared" si="27"/>
        <v>0</v>
      </c>
      <c r="Q151" s="1754">
        <f t="shared" si="27"/>
        <v>0</v>
      </c>
      <c r="R151" s="1755">
        <f t="shared" si="27"/>
        <v>0</v>
      </c>
      <c r="S151" s="1756">
        <f t="shared" si="27"/>
        <v>0</v>
      </c>
      <c r="T151" s="1740">
        <v>23.009491563355333</v>
      </c>
      <c r="U151" s="1741">
        <v>0</v>
      </c>
      <c r="V151" s="1742">
        <v>0</v>
      </c>
      <c r="W151" s="1743">
        <v>0</v>
      </c>
      <c r="X151" s="1744">
        <v>0</v>
      </c>
      <c r="Y151" s="1745">
        <v>0</v>
      </c>
      <c r="Z151" s="656"/>
    </row>
    <row r="152" spans="1:26" outlineLevel="1" x14ac:dyDescent="0.45">
      <c r="A152" s="656"/>
      <c r="B152" s="656"/>
      <c r="C152" s="656"/>
      <c r="D152" s="656"/>
      <c r="E152" s="656"/>
      <c r="F152" s="691">
        <f t="shared" si="28"/>
        <v>20</v>
      </c>
      <c r="G152" s="691">
        <f t="shared" si="29"/>
        <v>2037</v>
      </c>
      <c r="H152" s="1751">
        <f t="shared" si="19"/>
        <v>0</v>
      </c>
      <c r="I152" s="1752">
        <f t="shared" si="22"/>
        <v>0</v>
      </c>
      <c r="J152" s="1753">
        <f t="shared" si="23"/>
        <v>0</v>
      </c>
      <c r="K152" s="1754">
        <f t="shared" si="24"/>
        <v>0</v>
      </c>
      <c r="L152" s="1755">
        <f t="shared" si="25"/>
        <v>0</v>
      </c>
      <c r="M152" s="1756">
        <f t="shared" si="26"/>
        <v>0</v>
      </c>
      <c r="N152" s="1751">
        <f t="shared" si="27"/>
        <v>0</v>
      </c>
      <c r="O152" s="1752">
        <f t="shared" si="27"/>
        <v>0</v>
      </c>
      <c r="P152" s="1753">
        <f t="shared" si="27"/>
        <v>0</v>
      </c>
      <c r="Q152" s="1754">
        <f t="shared" si="27"/>
        <v>0</v>
      </c>
      <c r="R152" s="1755">
        <f t="shared" si="27"/>
        <v>0</v>
      </c>
      <c r="S152" s="1756">
        <f t="shared" si="27"/>
        <v>0</v>
      </c>
      <c r="T152" s="1740">
        <v>23.252364074064694</v>
      </c>
      <c r="U152" s="1741">
        <v>0</v>
      </c>
      <c r="V152" s="1742">
        <v>0</v>
      </c>
      <c r="W152" s="1743">
        <v>0</v>
      </c>
      <c r="X152" s="1744">
        <v>0</v>
      </c>
      <c r="Y152" s="1745">
        <v>0</v>
      </c>
      <c r="Z152" s="656"/>
    </row>
    <row r="153" spans="1:26" outlineLevel="1" x14ac:dyDescent="0.45">
      <c r="A153" s="656"/>
      <c r="B153" s="656"/>
      <c r="C153" s="656"/>
      <c r="D153" s="656"/>
      <c r="E153" s="656"/>
      <c r="F153" s="691">
        <f t="shared" si="28"/>
        <v>21</v>
      </c>
      <c r="G153" s="691">
        <f t="shared" si="29"/>
        <v>2038</v>
      </c>
      <c r="H153" s="1751">
        <f t="shared" si="19"/>
        <v>0</v>
      </c>
      <c r="I153" s="1752">
        <f t="shared" si="22"/>
        <v>0</v>
      </c>
      <c r="J153" s="1753">
        <f t="shared" si="23"/>
        <v>0</v>
      </c>
      <c r="K153" s="1754">
        <f t="shared" si="24"/>
        <v>0</v>
      </c>
      <c r="L153" s="1755">
        <f t="shared" si="25"/>
        <v>0</v>
      </c>
      <c r="M153" s="1756">
        <f t="shared" si="26"/>
        <v>0</v>
      </c>
      <c r="N153" s="1751">
        <f t="shared" si="27"/>
        <v>0</v>
      </c>
      <c r="O153" s="1752">
        <f t="shared" si="27"/>
        <v>0</v>
      </c>
      <c r="P153" s="1753">
        <f t="shared" si="27"/>
        <v>0</v>
      </c>
      <c r="Q153" s="1754">
        <f t="shared" si="27"/>
        <v>0</v>
      </c>
      <c r="R153" s="1755">
        <f t="shared" si="27"/>
        <v>0</v>
      </c>
      <c r="S153" s="1756">
        <f t="shared" si="27"/>
        <v>0</v>
      </c>
      <c r="T153" s="1740">
        <v>23.49780018146614</v>
      </c>
      <c r="U153" s="1741">
        <v>0</v>
      </c>
      <c r="V153" s="1742">
        <v>0</v>
      </c>
      <c r="W153" s="1743">
        <v>0</v>
      </c>
      <c r="X153" s="1744">
        <v>0</v>
      </c>
      <c r="Y153" s="1745">
        <v>0</v>
      </c>
      <c r="Z153" s="656"/>
    </row>
    <row r="154" spans="1:26" outlineLevel="1" x14ac:dyDescent="0.45">
      <c r="A154" s="656"/>
      <c r="B154" s="656"/>
      <c r="C154" s="656"/>
      <c r="D154" s="656"/>
      <c r="E154" s="656"/>
      <c r="F154" s="691">
        <f t="shared" si="28"/>
        <v>22</v>
      </c>
      <c r="G154" s="691">
        <f t="shared" si="29"/>
        <v>2039</v>
      </c>
      <c r="H154" s="1751">
        <f t="shared" si="19"/>
        <v>0</v>
      </c>
      <c r="I154" s="1752">
        <f t="shared" si="22"/>
        <v>0</v>
      </c>
      <c r="J154" s="1753">
        <f t="shared" si="23"/>
        <v>0</v>
      </c>
      <c r="K154" s="1754">
        <f t="shared" si="24"/>
        <v>0</v>
      </c>
      <c r="L154" s="1755">
        <f t="shared" si="25"/>
        <v>0</v>
      </c>
      <c r="M154" s="1756">
        <f t="shared" si="26"/>
        <v>0</v>
      </c>
      <c r="N154" s="1751">
        <f t="shared" si="27"/>
        <v>0</v>
      </c>
      <c r="O154" s="1752">
        <f t="shared" si="27"/>
        <v>0</v>
      </c>
      <c r="P154" s="1753">
        <f t="shared" si="27"/>
        <v>0</v>
      </c>
      <c r="Q154" s="1754">
        <f t="shared" si="27"/>
        <v>0</v>
      </c>
      <c r="R154" s="1755">
        <f t="shared" si="27"/>
        <v>0</v>
      </c>
      <c r="S154" s="1756">
        <f t="shared" si="27"/>
        <v>0</v>
      </c>
      <c r="T154" s="1740">
        <v>23.745826945139111</v>
      </c>
      <c r="U154" s="1741">
        <v>0</v>
      </c>
      <c r="V154" s="1742">
        <v>0</v>
      </c>
      <c r="W154" s="1743">
        <v>0</v>
      </c>
      <c r="X154" s="1744">
        <v>0</v>
      </c>
      <c r="Y154" s="1745">
        <v>0</v>
      </c>
      <c r="Z154" s="656"/>
    </row>
    <row r="155" spans="1:26" outlineLevel="1" x14ac:dyDescent="0.45">
      <c r="A155" s="656"/>
      <c r="B155" s="656"/>
      <c r="C155" s="656"/>
      <c r="D155" s="656"/>
      <c r="E155" s="656"/>
      <c r="F155" s="691">
        <f t="shared" si="28"/>
        <v>23</v>
      </c>
      <c r="G155" s="691">
        <f t="shared" si="29"/>
        <v>2040</v>
      </c>
      <c r="H155" s="1751">
        <f t="shared" si="19"/>
        <v>0</v>
      </c>
      <c r="I155" s="1752">
        <f t="shared" si="22"/>
        <v>0</v>
      </c>
      <c r="J155" s="1753">
        <f t="shared" si="23"/>
        <v>0</v>
      </c>
      <c r="K155" s="1754">
        <f t="shared" si="24"/>
        <v>0</v>
      </c>
      <c r="L155" s="1755">
        <f t="shared" si="25"/>
        <v>0</v>
      </c>
      <c r="M155" s="1756">
        <f t="shared" si="26"/>
        <v>0</v>
      </c>
      <c r="N155" s="1751">
        <f t="shared" si="27"/>
        <v>0</v>
      </c>
      <c r="O155" s="1752">
        <f t="shared" si="27"/>
        <v>0</v>
      </c>
      <c r="P155" s="1753">
        <f t="shared" si="27"/>
        <v>0</v>
      </c>
      <c r="Q155" s="1754">
        <f t="shared" si="27"/>
        <v>0</v>
      </c>
      <c r="R155" s="1755">
        <f t="shared" si="27"/>
        <v>0</v>
      </c>
      <c r="S155" s="1756">
        <f t="shared" si="27"/>
        <v>0</v>
      </c>
      <c r="T155" s="1740">
        <v>23.996471710285544</v>
      </c>
      <c r="U155" s="1741">
        <v>0</v>
      </c>
      <c r="V155" s="1742">
        <v>0</v>
      </c>
      <c r="W155" s="1743">
        <v>0</v>
      </c>
      <c r="X155" s="1744">
        <v>0</v>
      </c>
      <c r="Y155" s="1745">
        <v>0</v>
      </c>
      <c r="Z155" s="656"/>
    </row>
    <row r="156" spans="1:26" outlineLevel="1" x14ac:dyDescent="0.45">
      <c r="A156" s="656"/>
      <c r="B156" s="656"/>
      <c r="C156" s="656"/>
      <c r="D156" s="656"/>
      <c r="E156" s="656"/>
      <c r="F156" s="691">
        <f t="shared" si="28"/>
        <v>24</v>
      </c>
      <c r="G156" s="691">
        <f t="shared" si="29"/>
        <v>2041</v>
      </c>
      <c r="H156" s="1751">
        <f t="shared" si="19"/>
        <v>0</v>
      </c>
      <c r="I156" s="1752">
        <f t="shared" si="22"/>
        <v>0</v>
      </c>
      <c r="J156" s="1753">
        <f t="shared" si="23"/>
        <v>0</v>
      </c>
      <c r="K156" s="1754">
        <f t="shared" si="24"/>
        <v>0</v>
      </c>
      <c r="L156" s="1755">
        <f t="shared" si="25"/>
        <v>0</v>
      </c>
      <c r="M156" s="1756">
        <f t="shared" si="26"/>
        <v>0</v>
      </c>
      <c r="N156" s="1751">
        <f t="shared" si="27"/>
        <v>0</v>
      </c>
      <c r="O156" s="1752">
        <f t="shared" si="27"/>
        <v>0</v>
      </c>
      <c r="P156" s="1753">
        <f t="shared" si="27"/>
        <v>0</v>
      </c>
      <c r="Q156" s="1754">
        <f t="shared" si="27"/>
        <v>0</v>
      </c>
      <c r="R156" s="1755">
        <f t="shared" si="27"/>
        <v>0</v>
      </c>
      <c r="S156" s="1756">
        <f t="shared" si="27"/>
        <v>0</v>
      </c>
      <c r="T156" s="1740">
        <v>24.249762110744676</v>
      </c>
      <c r="U156" s="1741">
        <v>0</v>
      </c>
      <c r="V156" s="1742">
        <v>0</v>
      </c>
      <c r="W156" s="1743">
        <v>0</v>
      </c>
      <c r="X156" s="1744">
        <v>0</v>
      </c>
      <c r="Y156" s="1745">
        <v>0</v>
      </c>
      <c r="Z156" s="656"/>
    </row>
    <row r="157" spans="1:26" outlineLevel="1" x14ac:dyDescent="0.45">
      <c r="A157" s="656"/>
      <c r="B157" s="656"/>
      <c r="C157" s="656"/>
      <c r="D157" s="656"/>
      <c r="E157" s="656"/>
      <c r="F157" s="691">
        <f t="shared" si="28"/>
        <v>25</v>
      </c>
      <c r="G157" s="691">
        <f t="shared" si="29"/>
        <v>2042</v>
      </c>
      <c r="H157" s="1751">
        <f t="shared" si="19"/>
        <v>0</v>
      </c>
      <c r="I157" s="1752">
        <f t="shared" si="22"/>
        <v>0</v>
      </c>
      <c r="J157" s="1753">
        <f t="shared" si="23"/>
        <v>0</v>
      </c>
      <c r="K157" s="1754">
        <f t="shared" si="24"/>
        <v>0</v>
      </c>
      <c r="L157" s="1755">
        <f t="shared" si="25"/>
        <v>0</v>
      </c>
      <c r="M157" s="1756">
        <f t="shared" si="26"/>
        <v>0</v>
      </c>
      <c r="N157" s="1751">
        <f t="shared" si="27"/>
        <v>0</v>
      </c>
      <c r="O157" s="1752">
        <f t="shared" si="27"/>
        <v>0</v>
      </c>
      <c r="P157" s="1753">
        <f t="shared" si="27"/>
        <v>0</v>
      </c>
      <c r="Q157" s="1754">
        <f t="shared" si="27"/>
        <v>0</v>
      </c>
      <c r="R157" s="1755">
        <f t="shared" si="27"/>
        <v>0</v>
      </c>
      <c r="S157" s="1756">
        <f t="shared" si="27"/>
        <v>0</v>
      </c>
      <c r="T157" s="1740">
        <v>24.505726072039717</v>
      </c>
      <c r="U157" s="1741">
        <v>0</v>
      </c>
      <c r="V157" s="1742">
        <v>0</v>
      </c>
      <c r="W157" s="1743">
        <v>0</v>
      </c>
      <c r="X157" s="1744">
        <v>0</v>
      </c>
      <c r="Y157" s="1745">
        <v>0</v>
      </c>
      <c r="Z157" s="656"/>
    </row>
    <row r="158" spans="1:26" outlineLevel="1" x14ac:dyDescent="0.45">
      <c r="A158" s="656"/>
      <c r="B158" s="656"/>
      <c r="C158" s="656"/>
      <c r="D158" s="656"/>
      <c r="E158" s="656"/>
      <c r="F158" s="691">
        <f t="shared" si="28"/>
        <v>26</v>
      </c>
      <c r="G158" s="691">
        <f t="shared" si="29"/>
        <v>2043</v>
      </c>
      <c r="H158" s="1751">
        <f t="shared" si="19"/>
        <v>0</v>
      </c>
      <c r="I158" s="1752">
        <f t="shared" si="22"/>
        <v>0</v>
      </c>
      <c r="J158" s="1753">
        <f t="shared" si="23"/>
        <v>0</v>
      </c>
      <c r="K158" s="1754">
        <f t="shared" si="24"/>
        <v>0</v>
      </c>
      <c r="L158" s="1755">
        <f t="shared" si="25"/>
        <v>0</v>
      </c>
      <c r="M158" s="1756">
        <f t="shared" si="26"/>
        <v>0</v>
      </c>
      <c r="N158" s="1751">
        <f t="shared" si="27"/>
        <v>0</v>
      </c>
      <c r="O158" s="1752">
        <f t="shared" si="27"/>
        <v>0</v>
      </c>
      <c r="P158" s="1753">
        <f t="shared" si="27"/>
        <v>0</v>
      </c>
      <c r="Q158" s="1754">
        <f t="shared" si="27"/>
        <v>0</v>
      </c>
      <c r="R158" s="1755">
        <f t="shared" si="27"/>
        <v>0</v>
      </c>
      <c r="S158" s="1756">
        <f t="shared" si="27"/>
        <v>0</v>
      </c>
      <c r="T158" s="1740">
        <v>0</v>
      </c>
      <c r="U158" s="1741">
        <v>0</v>
      </c>
      <c r="V158" s="1742">
        <v>0</v>
      </c>
      <c r="W158" s="1743">
        <v>0</v>
      </c>
      <c r="X158" s="1744">
        <v>0</v>
      </c>
      <c r="Y158" s="1745">
        <v>0</v>
      </c>
      <c r="Z158" s="656"/>
    </row>
    <row r="159" spans="1:26" outlineLevel="1" x14ac:dyDescent="0.45">
      <c r="A159" s="656"/>
      <c r="B159" s="656"/>
      <c r="C159" s="656"/>
      <c r="D159" s="656"/>
      <c r="E159" s="656"/>
      <c r="F159" s="691">
        <f t="shared" si="28"/>
        <v>27</v>
      </c>
      <c r="G159" s="691">
        <f t="shared" si="29"/>
        <v>2044</v>
      </c>
      <c r="H159" s="1751">
        <f t="shared" ref="H159:H182" si="30">N$111*(1+N$112)^($F159-1)</f>
        <v>0</v>
      </c>
      <c r="I159" s="1752">
        <f t="shared" si="22"/>
        <v>0</v>
      </c>
      <c r="J159" s="1753">
        <f t="shared" si="23"/>
        <v>0</v>
      </c>
      <c r="K159" s="1754">
        <f t="shared" si="24"/>
        <v>0</v>
      </c>
      <c r="L159" s="1755">
        <f t="shared" si="25"/>
        <v>0</v>
      </c>
      <c r="M159" s="1756">
        <f t="shared" si="26"/>
        <v>0</v>
      </c>
      <c r="N159" s="1751">
        <f t="shared" si="27"/>
        <v>0</v>
      </c>
      <c r="O159" s="1752">
        <f t="shared" si="27"/>
        <v>0</v>
      </c>
      <c r="P159" s="1753">
        <f t="shared" si="27"/>
        <v>0</v>
      </c>
      <c r="Q159" s="1754">
        <f t="shared" si="27"/>
        <v>0</v>
      </c>
      <c r="R159" s="1755">
        <f t="shared" si="27"/>
        <v>0</v>
      </c>
      <c r="S159" s="1756">
        <f t="shared" si="27"/>
        <v>0</v>
      </c>
      <c r="T159" s="1740">
        <v>0</v>
      </c>
      <c r="U159" s="1741">
        <v>0</v>
      </c>
      <c r="V159" s="1742">
        <v>0</v>
      </c>
      <c r="W159" s="1743">
        <v>0</v>
      </c>
      <c r="X159" s="1744">
        <v>0</v>
      </c>
      <c r="Y159" s="1745">
        <v>0</v>
      </c>
      <c r="Z159" s="656"/>
    </row>
    <row r="160" spans="1:26" outlineLevel="1" x14ac:dyDescent="0.45">
      <c r="A160" s="656"/>
      <c r="B160" s="656"/>
      <c r="C160" s="656"/>
      <c r="D160" s="656"/>
      <c r="E160" s="656"/>
      <c r="F160" s="691">
        <f t="shared" si="28"/>
        <v>28</v>
      </c>
      <c r="G160" s="691">
        <f t="shared" si="29"/>
        <v>2045</v>
      </c>
      <c r="H160" s="1751">
        <f t="shared" si="30"/>
        <v>0</v>
      </c>
      <c r="I160" s="1752">
        <f t="shared" si="22"/>
        <v>0</v>
      </c>
      <c r="J160" s="1753">
        <f t="shared" si="23"/>
        <v>0</v>
      </c>
      <c r="K160" s="1754">
        <f t="shared" si="24"/>
        <v>0</v>
      </c>
      <c r="L160" s="1755">
        <f t="shared" si="25"/>
        <v>0</v>
      </c>
      <c r="M160" s="1756">
        <f t="shared" si="26"/>
        <v>0</v>
      </c>
      <c r="N160" s="1751">
        <f t="shared" si="27"/>
        <v>0</v>
      </c>
      <c r="O160" s="1752">
        <f t="shared" si="27"/>
        <v>0</v>
      </c>
      <c r="P160" s="1753">
        <f t="shared" si="27"/>
        <v>0</v>
      </c>
      <c r="Q160" s="1754">
        <f t="shared" si="27"/>
        <v>0</v>
      </c>
      <c r="R160" s="1755">
        <f t="shared" si="27"/>
        <v>0</v>
      </c>
      <c r="S160" s="1756">
        <f t="shared" si="27"/>
        <v>0</v>
      </c>
      <c r="T160" s="1740">
        <v>0</v>
      </c>
      <c r="U160" s="1741">
        <v>0</v>
      </c>
      <c r="V160" s="1742">
        <v>0</v>
      </c>
      <c r="W160" s="1743">
        <v>0</v>
      </c>
      <c r="X160" s="1744">
        <v>0</v>
      </c>
      <c r="Y160" s="1745">
        <v>0</v>
      </c>
      <c r="Z160" s="656"/>
    </row>
    <row r="161" spans="1:26" outlineLevel="1" x14ac:dyDescent="0.45">
      <c r="A161" s="656"/>
      <c r="B161" s="656"/>
      <c r="C161" s="656"/>
      <c r="D161" s="656"/>
      <c r="E161" s="656"/>
      <c r="F161" s="691">
        <f t="shared" si="28"/>
        <v>29</v>
      </c>
      <c r="G161" s="691">
        <f t="shared" si="29"/>
        <v>2046</v>
      </c>
      <c r="H161" s="1751">
        <f t="shared" si="30"/>
        <v>0</v>
      </c>
      <c r="I161" s="1752">
        <f t="shared" si="22"/>
        <v>0</v>
      </c>
      <c r="J161" s="1753">
        <f t="shared" si="23"/>
        <v>0</v>
      </c>
      <c r="K161" s="1754">
        <f t="shared" si="24"/>
        <v>0</v>
      </c>
      <c r="L161" s="1755">
        <f t="shared" si="25"/>
        <v>0</v>
      </c>
      <c r="M161" s="1756">
        <f t="shared" si="26"/>
        <v>0</v>
      </c>
      <c r="N161" s="1751">
        <f t="shared" si="27"/>
        <v>0</v>
      </c>
      <c r="O161" s="1752">
        <f t="shared" si="27"/>
        <v>0</v>
      </c>
      <c r="P161" s="1753">
        <f t="shared" si="27"/>
        <v>0</v>
      </c>
      <c r="Q161" s="1754">
        <f t="shared" si="27"/>
        <v>0</v>
      </c>
      <c r="R161" s="1755">
        <f t="shared" si="27"/>
        <v>0</v>
      </c>
      <c r="S161" s="1756">
        <f t="shared" si="27"/>
        <v>0</v>
      </c>
      <c r="T161" s="1740">
        <v>0</v>
      </c>
      <c r="U161" s="1741">
        <v>0</v>
      </c>
      <c r="V161" s="1742">
        <v>0</v>
      </c>
      <c r="W161" s="1743">
        <v>0</v>
      </c>
      <c r="X161" s="1744">
        <v>0</v>
      </c>
      <c r="Y161" s="1745">
        <v>0</v>
      </c>
      <c r="Z161" s="656"/>
    </row>
    <row r="162" spans="1:26" outlineLevel="1" x14ac:dyDescent="0.45">
      <c r="A162" s="656"/>
      <c r="B162" s="656"/>
      <c r="C162" s="656"/>
      <c r="D162" s="656"/>
      <c r="E162" s="656"/>
      <c r="F162" s="691">
        <f t="shared" si="28"/>
        <v>30</v>
      </c>
      <c r="G162" s="691">
        <f t="shared" si="29"/>
        <v>2047</v>
      </c>
      <c r="H162" s="1751">
        <f t="shared" si="30"/>
        <v>0</v>
      </c>
      <c r="I162" s="1752">
        <f t="shared" si="22"/>
        <v>0</v>
      </c>
      <c r="J162" s="1753">
        <f t="shared" si="23"/>
        <v>0</v>
      </c>
      <c r="K162" s="1754">
        <f t="shared" si="24"/>
        <v>0</v>
      </c>
      <c r="L162" s="1755">
        <f t="shared" si="25"/>
        <v>0</v>
      </c>
      <c r="M162" s="1756">
        <f t="shared" si="26"/>
        <v>0</v>
      </c>
      <c r="N162" s="1751">
        <f t="shared" si="27"/>
        <v>0</v>
      </c>
      <c r="O162" s="1752">
        <f t="shared" si="27"/>
        <v>0</v>
      </c>
      <c r="P162" s="1753">
        <f t="shared" si="27"/>
        <v>0</v>
      </c>
      <c r="Q162" s="1754">
        <f t="shared" si="27"/>
        <v>0</v>
      </c>
      <c r="R162" s="1755">
        <f t="shared" si="27"/>
        <v>0</v>
      </c>
      <c r="S162" s="1756">
        <f t="shared" si="27"/>
        <v>0</v>
      </c>
      <c r="T162" s="1740">
        <v>0</v>
      </c>
      <c r="U162" s="1741">
        <v>0</v>
      </c>
      <c r="V162" s="1742">
        <v>0</v>
      </c>
      <c r="W162" s="1743">
        <v>0</v>
      </c>
      <c r="X162" s="1744">
        <v>0</v>
      </c>
      <c r="Y162" s="1745">
        <v>0</v>
      </c>
      <c r="Z162" s="656"/>
    </row>
    <row r="163" spans="1:26" outlineLevel="1" x14ac:dyDescent="0.45">
      <c r="A163" s="656"/>
      <c r="B163" s="656"/>
      <c r="C163" s="656"/>
      <c r="D163" s="656"/>
      <c r="E163" s="656"/>
      <c r="F163" s="691">
        <f t="shared" si="28"/>
        <v>31</v>
      </c>
      <c r="G163" s="691">
        <f t="shared" si="29"/>
        <v>2048</v>
      </c>
      <c r="H163" s="1751">
        <f t="shared" si="30"/>
        <v>0</v>
      </c>
      <c r="I163" s="1752">
        <f t="shared" si="22"/>
        <v>0</v>
      </c>
      <c r="J163" s="1753">
        <f t="shared" si="23"/>
        <v>0</v>
      </c>
      <c r="K163" s="1754">
        <f t="shared" si="24"/>
        <v>0</v>
      </c>
      <c r="L163" s="1755">
        <f t="shared" si="25"/>
        <v>0</v>
      </c>
      <c r="M163" s="1756">
        <f t="shared" si="26"/>
        <v>0</v>
      </c>
      <c r="N163" s="1751">
        <f t="shared" si="27"/>
        <v>0</v>
      </c>
      <c r="O163" s="1752">
        <f t="shared" si="27"/>
        <v>0</v>
      </c>
      <c r="P163" s="1753">
        <f t="shared" si="27"/>
        <v>0</v>
      </c>
      <c r="Q163" s="1754">
        <f t="shared" si="27"/>
        <v>0</v>
      </c>
      <c r="R163" s="1755">
        <f t="shared" si="27"/>
        <v>0</v>
      </c>
      <c r="S163" s="1756">
        <f t="shared" si="27"/>
        <v>0</v>
      </c>
      <c r="T163" s="1740">
        <v>0</v>
      </c>
      <c r="U163" s="1741">
        <v>0</v>
      </c>
      <c r="V163" s="1742">
        <v>0</v>
      </c>
      <c r="W163" s="1743">
        <v>0</v>
      </c>
      <c r="X163" s="1744">
        <v>0</v>
      </c>
      <c r="Y163" s="1745">
        <v>0</v>
      </c>
      <c r="Z163" s="656"/>
    </row>
    <row r="164" spans="1:26" outlineLevel="1" x14ac:dyDescent="0.45">
      <c r="A164" s="656"/>
      <c r="B164" s="656"/>
      <c r="C164" s="656"/>
      <c r="D164" s="656"/>
      <c r="E164" s="656"/>
      <c r="F164" s="691">
        <f t="shared" si="28"/>
        <v>32</v>
      </c>
      <c r="G164" s="691">
        <f t="shared" si="29"/>
        <v>2049</v>
      </c>
      <c r="H164" s="1751">
        <f t="shared" si="30"/>
        <v>0</v>
      </c>
      <c r="I164" s="1752">
        <f t="shared" si="22"/>
        <v>0</v>
      </c>
      <c r="J164" s="1753">
        <f t="shared" si="23"/>
        <v>0</v>
      </c>
      <c r="K164" s="1754">
        <f t="shared" si="24"/>
        <v>0</v>
      </c>
      <c r="L164" s="1755">
        <f t="shared" si="25"/>
        <v>0</v>
      </c>
      <c r="M164" s="1756">
        <f t="shared" si="26"/>
        <v>0</v>
      </c>
      <c r="N164" s="1751">
        <f t="shared" si="27"/>
        <v>0</v>
      </c>
      <c r="O164" s="1752">
        <f t="shared" si="27"/>
        <v>0</v>
      </c>
      <c r="P164" s="1753">
        <f t="shared" si="27"/>
        <v>0</v>
      </c>
      <c r="Q164" s="1754">
        <f t="shared" si="27"/>
        <v>0</v>
      </c>
      <c r="R164" s="1755">
        <f t="shared" si="27"/>
        <v>0</v>
      </c>
      <c r="S164" s="1756">
        <f t="shared" si="27"/>
        <v>0</v>
      </c>
      <c r="T164" s="1740">
        <v>0</v>
      </c>
      <c r="U164" s="1741">
        <v>0</v>
      </c>
      <c r="V164" s="1742">
        <v>0</v>
      </c>
      <c r="W164" s="1743">
        <v>0</v>
      </c>
      <c r="X164" s="1744">
        <v>0</v>
      </c>
      <c r="Y164" s="1745">
        <v>0</v>
      </c>
      <c r="Z164" s="656"/>
    </row>
    <row r="165" spans="1:26" outlineLevel="1" x14ac:dyDescent="0.45">
      <c r="A165" s="656"/>
      <c r="B165" s="656"/>
      <c r="C165" s="656"/>
      <c r="D165" s="656"/>
      <c r="E165" s="656"/>
      <c r="F165" s="691">
        <f t="shared" si="28"/>
        <v>33</v>
      </c>
      <c r="G165" s="691">
        <f t="shared" si="29"/>
        <v>2050</v>
      </c>
      <c r="H165" s="1751">
        <f t="shared" si="30"/>
        <v>0</v>
      </c>
      <c r="I165" s="1752">
        <f t="shared" si="22"/>
        <v>0</v>
      </c>
      <c r="J165" s="1753">
        <f t="shared" si="23"/>
        <v>0</v>
      </c>
      <c r="K165" s="1754">
        <f t="shared" si="24"/>
        <v>0</v>
      </c>
      <c r="L165" s="1755">
        <f t="shared" si="25"/>
        <v>0</v>
      </c>
      <c r="M165" s="1756">
        <f t="shared" si="26"/>
        <v>0</v>
      </c>
      <c r="N165" s="1751">
        <f t="shared" si="27"/>
        <v>0</v>
      </c>
      <c r="O165" s="1752">
        <f t="shared" si="27"/>
        <v>0</v>
      </c>
      <c r="P165" s="1753">
        <f t="shared" si="27"/>
        <v>0</v>
      </c>
      <c r="Q165" s="1754">
        <f t="shared" si="27"/>
        <v>0</v>
      </c>
      <c r="R165" s="1755">
        <f t="shared" si="27"/>
        <v>0</v>
      </c>
      <c r="S165" s="1756">
        <f t="shared" si="27"/>
        <v>0</v>
      </c>
      <c r="T165" s="1740">
        <v>0</v>
      </c>
      <c r="U165" s="1741">
        <v>0</v>
      </c>
      <c r="V165" s="1742">
        <v>0</v>
      </c>
      <c r="W165" s="1743">
        <v>0</v>
      </c>
      <c r="X165" s="1744">
        <v>0</v>
      </c>
      <c r="Y165" s="1745">
        <v>0</v>
      </c>
      <c r="Z165" s="656"/>
    </row>
    <row r="166" spans="1:26" outlineLevel="1" x14ac:dyDescent="0.45">
      <c r="A166" s="656"/>
      <c r="B166" s="656"/>
      <c r="C166" s="656"/>
      <c r="D166" s="656"/>
      <c r="E166" s="656"/>
      <c r="F166" s="691">
        <f t="shared" si="28"/>
        <v>34</v>
      </c>
      <c r="G166" s="691">
        <f t="shared" si="29"/>
        <v>2051</v>
      </c>
      <c r="H166" s="1751">
        <f t="shared" si="30"/>
        <v>0</v>
      </c>
      <c r="I166" s="1752">
        <f t="shared" si="22"/>
        <v>0</v>
      </c>
      <c r="J166" s="1753">
        <f t="shared" si="23"/>
        <v>0</v>
      </c>
      <c r="K166" s="1754">
        <f t="shared" si="24"/>
        <v>0</v>
      </c>
      <c r="L166" s="1755">
        <f t="shared" si="25"/>
        <v>0</v>
      </c>
      <c r="M166" s="1756">
        <f t="shared" si="26"/>
        <v>0</v>
      </c>
      <c r="N166" s="1751">
        <f t="shared" ref="N166:S182" si="31">N$114*$F166+N$115</f>
        <v>0</v>
      </c>
      <c r="O166" s="1752">
        <f t="shared" si="31"/>
        <v>0</v>
      </c>
      <c r="P166" s="1753">
        <f t="shared" si="31"/>
        <v>0</v>
      </c>
      <c r="Q166" s="1754">
        <f t="shared" si="31"/>
        <v>0</v>
      </c>
      <c r="R166" s="1755">
        <f t="shared" si="31"/>
        <v>0</v>
      </c>
      <c r="S166" s="1756">
        <f t="shared" si="31"/>
        <v>0</v>
      </c>
      <c r="T166" s="1740">
        <v>0</v>
      </c>
      <c r="U166" s="1741">
        <v>0</v>
      </c>
      <c r="V166" s="1742">
        <v>0</v>
      </c>
      <c r="W166" s="1743">
        <v>0</v>
      </c>
      <c r="X166" s="1744">
        <v>0</v>
      </c>
      <c r="Y166" s="1745">
        <v>0</v>
      </c>
      <c r="Z166" s="656"/>
    </row>
    <row r="167" spans="1:26" outlineLevel="1" x14ac:dyDescent="0.45">
      <c r="A167" s="656"/>
      <c r="B167" s="656"/>
      <c r="C167" s="656"/>
      <c r="D167" s="656"/>
      <c r="E167" s="656"/>
      <c r="F167" s="691">
        <f t="shared" si="28"/>
        <v>35</v>
      </c>
      <c r="G167" s="691">
        <f t="shared" si="29"/>
        <v>2052</v>
      </c>
      <c r="H167" s="1751">
        <f t="shared" si="30"/>
        <v>0</v>
      </c>
      <c r="I167" s="1752">
        <f t="shared" si="22"/>
        <v>0</v>
      </c>
      <c r="J167" s="1753">
        <f t="shared" si="23"/>
        <v>0</v>
      </c>
      <c r="K167" s="1754">
        <f t="shared" si="24"/>
        <v>0</v>
      </c>
      <c r="L167" s="1755">
        <f t="shared" si="25"/>
        <v>0</v>
      </c>
      <c r="M167" s="1756">
        <f t="shared" si="26"/>
        <v>0</v>
      </c>
      <c r="N167" s="1751">
        <f t="shared" si="31"/>
        <v>0</v>
      </c>
      <c r="O167" s="1752">
        <f t="shared" si="31"/>
        <v>0</v>
      </c>
      <c r="P167" s="1753">
        <f t="shared" si="31"/>
        <v>0</v>
      </c>
      <c r="Q167" s="1754">
        <f t="shared" si="31"/>
        <v>0</v>
      </c>
      <c r="R167" s="1755">
        <f t="shared" si="31"/>
        <v>0</v>
      </c>
      <c r="S167" s="1756">
        <f t="shared" si="31"/>
        <v>0</v>
      </c>
      <c r="T167" s="1740">
        <v>0</v>
      </c>
      <c r="U167" s="1741">
        <v>0</v>
      </c>
      <c r="V167" s="1742">
        <v>0</v>
      </c>
      <c r="W167" s="1743">
        <v>0</v>
      </c>
      <c r="X167" s="1744">
        <v>0</v>
      </c>
      <c r="Y167" s="1745">
        <v>0</v>
      </c>
      <c r="Z167" s="656"/>
    </row>
    <row r="168" spans="1:26" outlineLevel="1" x14ac:dyDescent="0.45">
      <c r="A168" s="656"/>
      <c r="B168" s="656"/>
      <c r="C168" s="656"/>
      <c r="D168" s="656"/>
      <c r="E168" s="656"/>
      <c r="F168" s="691">
        <f t="shared" si="28"/>
        <v>36</v>
      </c>
      <c r="G168" s="691">
        <f t="shared" si="29"/>
        <v>2053</v>
      </c>
      <c r="H168" s="1751">
        <f t="shared" si="30"/>
        <v>0</v>
      </c>
      <c r="I168" s="1752">
        <f t="shared" si="22"/>
        <v>0</v>
      </c>
      <c r="J168" s="1753">
        <f t="shared" si="23"/>
        <v>0</v>
      </c>
      <c r="K168" s="1754">
        <f t="shared" si="24"/>
        <v>0</v>
      </c>
      <c r="L168" s="1755">
        <f t="shared" si="25"/>
        <v>0</v>
      </c>
      <c r="M168" s="1756">
        <f t="shared" si="26"/>
        <v>0</v>
      </c>
      <c r="N168" s="1751">
        <f t="shared" si="31"/>
        <v>0</v>
      </c>
      <c r="O168" s="1752">
        <f t="shared" si="31"/>
        <v>0</v>
      </c>
      <c r="P168" s="1753">
        <f t="shared" si="31"/>
        <v>0</v>
      </c>
      <c r="Q168" s="1754">
        <f t="shared" si="31"/>
        <v>0</v>
      </c>
      <c r="R168" s="1755">
        <f t="shared" si="31"/>
        <v>0</v>
      </c>
      <c r="S168" s="1756">
        <f t="shared" si="31"/>
        <v>0</v>
      </c>
      <c r="T168" s="1740">
        <v>0</v>
      </c>
      <c r="U168" s="1741">
        <v>0</v>
      </c>
      <c r="V168" s="1742">
        <v>0</v>
      </c>
      <c r="W168" s="1743">
        <v>0</v>
      </c>
      <c r="X168" s="1744">
        <v>0</v>
      </c>
      <c r="Y168" s="1745">
        <v>0</v>
      </c>
      <c r="Z168" s="656"/>
    </row>
    <row r="169" spans="1:26" outlineLevel="1" x14ac:dyDescent="0.45">
      <c r="A169" s="656"/>
      <c r="B169" s="656"/>
      <c r="C169" s="656"/>
      <c r="D169" s="656"/>
      <c r="E169" s="656"/>
      <c r="F169" s="691">
        <f t="shared" si="28"/>
        <v>37</v>
      </c>
      <c r="G169" s="691">
        <f t="shared" si="29"/>
        <v>2054</v>
      </c>
      <c r="H169" s="1751">
        <f t="shared" si="30"/>
        <v>0</v>
      </c>
      <c r="I169" s="1752">
        <f t="shared" si="22"/>
        <v>0</v>
      </c>
      <c r="J169" s="1753">
        <f t="shared" si="23"/>
        <v>0</v>
      </c>
      <c r="K169" s="1754">
        <f t="shared" si="24"/>
        <v>0</v>
      </c>
      <c r="L169" s="1755">
        <f t="shared" si="25"/>
        <v>0</v>
      </c>
      <c r="M169" s="1756">
        <f t="shared" si="26"/>
        <v>0</v>
      </c>
      <c r="N169" s="1751">
        <f t="shared" si="31"/>
        <v>0</v>
      </c>
      <c r="O169" s="1752">
        <f t="shared" si="31"/>
        <v>0</v>
      </c>
      <c r="P169" s="1753">
        <f t="shared" si="31"/>
        <v>0</v>
      </c>
      <c r="Q169" s="1754">
        <f t="shared" si="31"/>
        <v>0</v>
      </c>
      <c r="R169" s="1755">
        <f t="shared" si="31"/>
        <v>0</v>
      </c>
      <c r="S169" s="1756">
        <f t="shared" si="31"/>
        <v>0</v>
      </c>
      <c r="T169" s="1740">
        <v>0</v>
      </c>
      <c r="U169" s="1741">
        <v>0</v>
      </c>
      <c r="V169" s="1742">
        <v>0</v>
      </c>
      <c r="W169" s="1743">
        <v>0</v>
      </c>
      <c r="X169" s="1744">
        <v>0</v>
      </c>
      <c r="Y169" s="1745">
        <v>0</v>
      </c>
      <c r="Z169" s="656"/>
    </row>
    <row r="170" spans="1:26" outlineLevel="1" x14ac:dyDescent="0.45">
      <c r="A170" s="656"/>
      <c r="B170" s="656"/>
      <c r="C170" s="656"/>
      <c r="D170" s="656"/>
      <c r="E170" s="656"/>
      <c r="F170" s="691">
        <f t="shared" si="28"/>
        <v>38</v>
      </c>
      <c r="G170" s="691">
        <f t="shared" si="29"/>
        <v>2055</v>
      </c>
      <c r="H170" s="1751">
        <f t="shared" si="30"/>
        <v>0</v>
      </c>
      <c r="I170" s="1752">
        <f t="shared" si="22"/>
        <v>0</v>
      </c>
      <c r="J170" s="1753">
        <f t="shared" si="23"/>
        <v>0</v>
      </c>
      <c r="K170" s="1754">
        <f t="shared" si="24"/>
        <v>0</v>
      </c>
      <c r="L170" s="1755">
        <f t="shared" si="25"/>
        <v>0</v>
      </c>
      <c r="M170" s="1756">
        <f t="shared" si="26"/>
        <v>0</v>
      </c>
      <c r="N170" s="1751">
        <f t="shared" si="31"/>
        <v>0</v>
      </c>
      <c r="O170" s="1752">
        <f t="shared" si="31"/>
        <v>0</v>
      </c>
      <c r="P170" s="1753">
        <f t="shared" si="31"/>
        <v>0</v>
      </c>
      <c r="Q170" s="1754">
        <f t="shared" si="31"/>
        <v>0</v>
      </c>
      <c r="R170" s="1755">
        <f t="shared" si="31"/>
        <v>0</v>
      </c>
      <c r="S170" s="1756">
        <f t="shared" si="31"/>
        <v>0</v>
      </c>
      <c r="T170" s="1740">
        <v>0</v>
      </c>
      <c r="U170" s="1741">
        <v>0</v>
      </c>
      <c r="V170" s="1742">
        <v>0</v>
      </c>
      <c r="W170" s="1743">
        <v>0</v>
      </c>
      <c r="X170" s="1744">
        <v>0</v>
      </c>
      <c r="Y170" s="1745">
        <v>0</v>
      </c>
      <c r="Z170" s="656"/>
    </row>
    <row r="171" spans="1:26" outlineLevel="1" x14ac:dyDescent="0.45">
      <c r="A171" s="656"/>
      <c r="B171" s="656"/>
      <c r="C171" s="656"/>
      <c r="D171" s="656"/>
      <c r="E171" s="656"/>
      <c r="F171" s="691">
        <f t="shared" si="28"/>
        <v>39</v>
      </c>
      <c r="G171" s="691">
        <f t="shared" si="29"/>
        <v>2056</v>
      </c>
      <c r="H171" s="1751">
        <f t="shared" si="30"/>
        <v>0</v>
      </c>
      <c r="I171" s="1752">
        <f t="shared" si="22"/>
        <v>0</v>
      </c>
      <c r="J171" s="1753">
        <f t="shared" si="23"/>
        <v>0</v>
      </c>
      <c r="K171" s="1754">
        <f t="shared" si="24"/>
        <v>0</v>
      </c>
      <c r="L171" s="1755">
        <f t="shared" si="25"/>
        <v>0</v>
      </c>
      <c r="M171" s="1756">
        <f t="shared" si="26"/>
        <v>0</v>
      </c>
      <c r="N171" s="1751">
        <f t="shared" si="31"/>
        <v>0</v>
      </c>
      <c r="O171" s="1752">
        <f t="shared" si="31"/>
        <v>0</v>
      </c>
      <c r="P171" s="1753">
        <f t="shared" si="31"/>
        <v>0</v>
      </c>
      <c r="Q171" s="1754">
        <f t="shared" si="31"/>
        <v>0</v>
      </c>
      <c r="R171" s="1755">
        <f t="shared" si="31"/>
        <v>0</v>
      </c>
      <c r="S171" s="1756">
        <f t="shared" si="31"/>
        <v>0</v>
      </c>
      <c r="T171" s="1740">
        <v>0</v>
      </c>
      <c r="U171" s="1741">
        <v>0</v>
      </c>
      <c r="V171" s="1742">
        <v>0</v>
      </c>
      <c r="W171" s="1743">
        <v>0</v>
      </c>
      <c r="X171" s="1744">
        <v>0</v>
      </c>
      <c r="Y171" s="1745">
        <v>0</v>
      </c>
      <c r="Z171" s="656"/>
    </row>
    <row r="172" spans="1:26" outlineLevel="1" x14ac:dyDescent="0.45">
      <c r="A172" s="656"/>
      <c r="B172" s="656"/>
      <c r="C172" s="656"/>
      <c r="D172" s="656"/>
      <c r="E172" s="656"/>
      <c r="F172" s="691">
        <f t="shared" si="28"/>
        <v>40</v>
      </c>
      <c r="G172" s="691">
        <f t="shared" si="29"/>
        <v>2057</v>
      </c>
      <c r="H172" s="1751">
        <f t="shared" si="30"/>
        <v>0</v>
      </c>
      <c r="I172" s="1752">
        <f t="shared" si="22"/>
        <v>0</v>
      </c>
      <c r="J172" s="1753">
        <f t="shared" si="23"/>
        <v>0</v>
      </c>
      <c r="K172" s="1754">
        <f t="shared" si="24"/>
        <v>0</v>
      </c>
      <c r="L172" s="1755">
        <f t="shared" si="25"/>
        <v>0</v>
      </c>
      <c r="M172" s="1756">
        <f t="shared" si="26"/>
        <v>0</v>
      </c>
      <c r="N172" s="1751">
        <f t="shared" si="31"/>
        <v>0</v>
      </c>
      <c r="O172" s="1752">
        <f t="shared" si="31"/>
        <v>0</v>
      </c>
      <c r="P172" s="1753">
        <f t="shared" si="31"/>
        <v>0</v>
      </c>
      <c r="Q172" s="1754">
        <f t="shared" si="31"/>
        <v>0</v>
      </c>
      <c r="R172" s="1755">
        <f t="shared" si="31"/>
        <v>0</v>
      </c>
      <c r="S172" s="1756">
        <f t="shared" si="31"/>
        <v>0</v>
      </c>
      <c r="T172" s="1740">
        <v>0</v>
      </c>
      <c r="U172" s="1741">
        <v>0</v>
      </c>
      <c r="V172" s="1742">
        <v>0</v>
      </c>
      <c r="W172" s="1743">
        <v>0</v>
      </c>
      <c r="X172" s="1744">
        <v>0</v>
      </c>
      <c r="Y172" s="1745">
        <v>0</v>
      </c>
      <c r="Z172" s="656"/>
    </row>
    <row r="173" spans="1:26" outlineLevel="1" x14ac:dyDescent="0.45">
      <c r="A173" s="656"/>
      <c r="B173" s="656"/>
      <c r="C173" s="656"/>
      <c r="D173" s="656"/>
      <c r="E173" s="656"/>
      <c r="F173" s="691">
        <f t="shared" si="28"/>
        <v>41</v>
      </c>
      <c r="G173" s="691">
        <f t="shared" si="29"/>
        <v>2058</v>
      </c>
      <c r="H173" s="1751">
        <f t="shared" si="30"/>
        <v>0</v>
      </c>
      <c r="I173" s="1752">
        <f t="shared" si="22"/>
        <v>0</v>
      </c>
      <c r="J173" s="1753">
        <f t="shared" si="23"/>
        <v>0</v>
      </c>
      <c r="K173" s="1754">
        <f t="shared" si="24"/>
        <v>0</v>
      </c>
      <c r="L173" s="1755">
        <f t="shared" si="25"/>
        <v>0</v>
      </c>
      <c r="M173" s="1756">
        <f t="shared" si="26"/>
        <v>0</v>
      </c>
      <c r="N173" s="1751">
        <f t="shared" si="31"/>
        <v>0</v>
      </c>
      <c r="O173" s="1752">
        <f t="shared" si="31"/>
        <v>0</v>
      </c>
      <c r="P173" s="1753">
        <f t="shared" si="31"/>
        <v>0</v>
      </c>
      <c r="Q173" s="1754">
        <f t="shared" si="31"/>
        <v>0</v>
      </c>
      <c r="R173" s="1755">
        <f t="shared" si="31"/>
        <v>0</v>
      </c>
      <c r="S173" s="1756">
        <f t="shared" si="31"/>
        <v>0</v>
      </c>
      <c r="T173" s="1740">
        <v>0</v>
      </c>
      <c r="U173" s="1741">
        <v>0</v>
      </c>
      <c r="V173" s="1742">
        <v>0</v>
      </c>
      <c r="W173" s="1743">
        <v>0</v>
      </c>
      <c r="X173" s="1744">
        <v>0</v>
      </c>
      <c r="Y173" s="1745">
        <v>0</v>
      </c>
      <c r="Z173" s="656"/>
    </row>
    <row r="174" spans="1:26" outlineLevel="1" x14ac:dyDescent="0.45">
      <c r="A174" s="656"/>
      <c r="B174" s="656"/>
      <c r="C174" s="656"/>
      <c r="D174" s="656"/>
      <c r="E174" s="656"/>
      <c r="F174" s="691">
        <f t="shared" si="28"/>
        <v>42</v>
      </c>
      <c r="G174" s="691">
        <f t="shared" si="29"/>
        <v>2059</v>
      </c>
      <c r="H174" s="1751">
        <f t="shared" si="30"/>
        <v>0</v>
      </c>
      <c r="I174" s="1752">
        <f t="shared" si="22"/>
        <v>0</v>
      </c>
      <c r="J174" s="1753">
        <f t="shared" si="23"/>
        <v>0</v>
      </c>
      <c r="K174" s="1754">
        <f t="shared" si="24"/>
        <v>0</v>
      </c>
      <c r="L174" s="1755">
        <f t="shared" si="25"/>
        <v>0</v>
      </c>
      <c r="M174" s="1756">
        <f t="shared" si="26"/>
        <v>0</v>
      </c>
      <c r="N174" s="1751">
        <f t="shared" si="31"/>
        <v>0</v>
      </c>
      <c r="O174" s="1752">
        <f t="shared" si="31"/>
        <v>0</v>
      </c>
      <c r="P174" s="1753">
        <f t="shared" si="31"/>
        <v>0</v>
      </c>
      <c r="Q174" s="1754">
        <f t="shared" si="31"/>
        <v>0</v>
      </c>
      <c r="R174" s="1755">
        <f t="shared" si="31"/>
        <v>0</v>
      </c>
      <c r="S174" s="1756">
        <f t="shared" si="31"/>
        <v>0</v>
      </c>
      <c r="T174" s="1740">
        <v>0</v>
      </c>
      <c r="U174" s="1741">
        <v>0</v>
      </c>
      <c r="V174" s="1742">
        <v>0</v>
      </c>
      <c r="W174" s="1743">
        <v>0</v>
      </c>
      <c r="X174" s="1744">
        <v>0</v>
      </c>
      <c r="Y174" s="1745">
        <v>0</v>
      </c>
      <c r="Z174" s="656"/>
    </row>
    <row r="175" spans="1:26" outlineLevel="1" x14ac:dyDescent="0.45">
      <c r="A175" s="656"/>
      <c r="B175" s="656"/>
      <c r="C175" s="656"/>
      <c r="D175" s="656"/>
      <c r="E175" s="656"/>
      <c r="F175" s="691">
        <f t="shared" si="28"/>
        <v>43</v>
      </c>
      <c r="G175" s="691">
        <f t="shared" si="29"/>
        <v>2060</v>
      </c>
      <c r="H175" s="1751">
        <f t="shared" si="30"/>
        <v>0</v>
      </c>
      <c r="I175" s="1752">
        <f t="shared" si="22"/>
        <v>0</v>
      </c>
      <c r="J175" s="1753">
        <f t="shared" si="23"/>
        <v>0</v>
      </c>
      <c r="K175" s="1754">
        <f t="shared" si="24"/>
        <v>0</v>
      </c>
      <c r="L175" s="1755">
        <f t="shared" si="25"/>
        <v>0</v>
      </c>
      <c r="M175" s="1756">
        <f t="shared" si="26"/>
        <v>0</v>
      </c>
      <c r="N175" s="1751">
        <f t="shared" si="31"/>
        <v>0</v>
      </c>
      <c r="O175" s="1752">
        <f t="shared" si="31"/>
        <v>0</v>
      </c>
      <c r="P175" s="1753">
        <f t="shared" si="31"/>
        <v>0</v>
      </c>
      <c r="Q175" s="1754">
        <f t="shared" si="31"/>
        <v>0</v>
      </c>
      <c r="R175" s="1755">
        <f t="shared" si="31"/>
        <v>0</v>
      </c>
      <c r="S175" s="1756">
        <f t="shared" si="31"/>
        <v>0</v>
      </c>
      <c r="T175" s="1740">
        <v>0</v>
      </c>
      <c r="U175" s="1741">
        <v>0</v>
      </c>
      <c r="V175" s="1742">
        <v>0</v>
      </c>
      <c r="W175" s="1743">
        <v>0</v>
      </c>
      <c r="X175" s="1744">
        <v>0</v>
      </c>
      <c r="Y175" s="1745">
        <v>0</v>
      </c>
      <c r="Z175" s="656"/>
    </row>
    <row r="176" spans="1:26" outlineLevel="1" x14ac:dyDescent="0.45">
      <c r="A176" s="656"/>
      <c r="B176" s="656"/>
      <c r="C176" s="656"/>
      <c r="D176" s="656"/>
      <c r="E176" s="656"/>
      <c r="F176" s="691">
        <f t="shared" si="28"/>
        <v>44</v>
      </c>
      <c r="G176" s="691">
        <f t="shared" si="29"/>
        <v>2061</v>
      </c>
      <c r="H176" s="1751">
        <f t="shared" si="30"/>
        <v>0</v>
      </c>
      <c r="I176" s="1752">
        <f t="shared" si="22"/>
        <v>0</v>
      </c>
      <c r="J176" s="1753">
        <f t="shared" si="23"/>
        <v>0</v>
      </c>
      <c r="K176" s="1754">
        <f t="shared" si="24"/>
        <v>0</v>
      </c>
      <c r="L176" s="1755">
        <f t="shared" si="25"/>
        <v>0</v>
      </c>
      <c r="M176" s="1756">
        <f t="shared" si="26"/>
        <v>0</v>
      </c>
      <c r="N176" s="1751">
        <f t="shared" si="31"/>
        <v>0</v>
      </c>
      <c r="O176" s="1752">
        <f t="shared" si="31"/>
        <v>0</v>
      </c>
      <c r="P176" s="1753">
        <f t="shared" si="31"/>
        <v>0</v>
      </c>
      <c r="Q176" s="1754">
        <f t="shared" si="31"/>
        <v>0</v>
      </c>
      <c r="R176" s="1755">
        <f t="shared" si="31"/>
        <v>0</v>
      </c>
      <c r="S176" s="1756">
        <f t="shared" si="31"/>
        <v>0</v>
      </c>
      <c r="T176" s="1740">
        <v>0</v>
      </c>
      <c r="U176" s="1741">
        <v>0</v>
      </c>
      <c r="V176" s="1742">
        <v>0</v>
      </c>
      <c r="W176" s="1743">
        <v>0</v>
      </c>
      <c r="X176" s="1744">
        <v>0</v>
      </c>
      <c r="Y176" s="1745">
        <v>0</v>
      </c>
      <c r="Z176" s="656"/>
    </row>
    <row r="177" spans="1:26" outlineLevel="1" x14ac:dyDescent="0.45">
      <c r="A177" s="656"/>
      <c r="B177" s="656"/>
      <c r="C177" s="656"/>
      <c r="D177" s="656"/>
      <c r="E177" s="656"/>
      <c r="F177" s="691">
        <f t="shared" si="28"/>
        <v>45</v>
      </c>
      <c r="G177" s="691">
        <f t="shared" si="29"/>
        <v>2062</v>
      </c>
      <c r="H177" s="1751">
        <f t="shared" si="30"/>
        <v>0</v>
      </c>
      <c r="I177" s="1752">
        <f t="shared" si="22"/>
        <v>0</v>
      </c>
      <c r="J177" s="1753">
        <f t="shared" si="23"/>
        <v>0</v>
      </c>
      <c r="K177" s="1754">
        <f t="shared" si="24"/>
        <v>0</v>
      </c>
      <c r="L177" s="1755">
        <f t="shared" si="25"/>
        <v>0</v>
      </c>
      <c r="M177" s="1756">
        <f t="shared" si="26"/>
        <v>0</v>
      </c>
      <c r="N177" s="1751">
        <f t="shared" si="31"/>
        <v>0</v>
      </c>
      <c r="O177" s="1752">
        <f t="shared" si="31"/>
        <v>0</v>
      </c>
      <c r="P177" s="1753">
        <f t="shared" si="31"/>
        <v>0</v>
      </c>
      <c r="Q177" s="1754">
        <f t="shared" si="31"/>
        <v>0</v>
      </c>
      <c r="R177" s="1755">
        <f t="shared" si="31"/>
        <v>0</v>
      </c>
      <c r="S177" s="1756">
        <f t="shared" si="31"/>
        <v>0</v>
      </c>
      <c r="T177" s="1740">
        <v>0</v>
      </c>
      <c r="U177" s="1741">
        <v>0</v>
      </c>
      <c r="V177" s="1742">
        <v>0</v>
      </c>
      <c r="W177" s="1743">
        <v>0</v>
      </c>
      <c r="X177" s="1744">
        <v>0</v>
      </c>
      <c r="Y177" s="1745">
        <v>0</v>
      </c>
      <c r="Z177" s="656"/>
    </row>
    <row r="178" spans="1:26" outlineLevel="1" x14ac:dyDescent="0.45">
      <c r="A178" s="656"/>
      <c r="B178" s="656"/>
      <c r="C178" s="656"/>
      <c r="D178" s="656"/>
      <c r="E178" s="656"/>
      <c r="F178" s="691">
        <f t="shared" si="28"/>
        <v>46</v>
      </c>
      <c r="G178" s="691">
        <f t="shared" si="29"/>
        <v>2063</v>
      </c>
      <c r="H178" s="1751">
        <f t="shared" si="30"/>
        <v>0</v>
      </c>
      <c r="I178" s="1752">
        <f t="shared" si="22"/>
        <v>0</v>
      </c>
      <c r="J178" s="1753">
        <f t="shared" si="23"/>
        <v>0</v>
      </c>
      <c r="K178" s="1754">
        <f t="shared" si="24"/>
        <v>0</v>
      </c>
      <c r="L178" s="1755">
        <f t="shared" si="25"/>
        <v>0</v>
      </c>
      <c r="M178" s="1756">
        <f t="shared" si="26"/>
        <v>0</v>
      </c>
      <c r="N178" s="1751">
        <f t="shared" si="31"/>
        <v>0</v>
      </c>
      <c r="O178" s="1752">
        <f t="shared" si="31"/>
        <v>0</v>
      </c>
      <c r="P178" s="1753">
        <f t="shared" si="31"/>
        <v>0</v>
      </c>
      <c r="Q178" s="1754">
        <f t="shared" si="31"/>
        <v>0</v>
      </c>
      <c r="R178" s="1755">
        <f t="shared" si="31"/>
        <v>0</v>
      </c>
      <c r="S178" s="1756">
        <f t="shared" si="31"/>
        <v>0</v>
      </c>
      <c r="T178" s="1740">
        <v>0</v>
      </c>
      <c r="U178" s="1741">
        <v>0</v>
      </c>
      <c r="V178" s="1742">
        <v>0</v>
      </c>
      <c r="W178" s="1743">
        <v>0</v>
      </c>
      <c r="X178" s="1744">
        <v>0</v>
      </c>
      <c r="Y178" s="1745">
        <v>0</v>
      </c>
      <c r="Z178" s="656"/>
    </row>
    <row r="179" spans="1:26" outlineLevel="1" x14ac:dyDescent="0.45">
      <c r="A179" s="656"/>
      <c r="B179" s="656"/>
      <c r="C179" s="656"/>
      <c r="D179" s="656"/>
      <c r="E179" s="656"/>
      <c r="F179" s="691">
        <f t="shared" si="28"/>
        <v>47</v>
      </c>
      <c r="G179" s="691">
        <f t="shared" si="29"/>
        <v>2064</v>
      </c>
      <c r="H179" s="1751">
        <f t="shared" si="30"/>
        <v>0</v>
      </c>
      <c r="I179" s="1752">
        <f t="shared" si="22"/>
        <v>0</v>
      </c>
      <c r="J179" s="1753">
        <f t="shared" si="23"/>
        <v>0</v>
      </c>
      <c r="K179" s="1754">
        <f t="shared" si="24"/>
        <v>0</v>
      </c>
      <c r="L179" s="1755">
        <f t="shared" si="25"/>
        <v>0</v>
      </c>
      <c r="M179" s="1756">
        <f t="shared" si="26"/>
        <v>0</v>
      </c>
      <c r="N179" s="1751">
        <f t="shared" si="31"/>
        <v>0</v>
      </c>
      <c r="O179" s="1752">
        <f t="shared" si="31"/>
        <v>0</v>
      </c>
      <c r="P179" s="1753">
        <f t="shared" si="31"/>
        <v>0</v>
      </c>
      <c r="Q179" s="1754">
        <f t="shared" si="31"/>
        <v>0</v>
      </c>
      <c r="R179" s="1755">
        <f t="shared" si="31"/>
        <v>0</v>
      </c>
      <c r="S179" s="1756">
        <f t="shared" si="31"/>
        <v>0</v>
      </c>
      <c r="T179" s="1740">
        <v>0</v>
      </c>
      <c r="U179" s="1741">
        <v>0</v>
      </c>
      <c r="V179" s="1742">
        <v>0</v>
      </c>
      <c r="W179" s="1743">
        <v>0</v>
      </c>
      <c r="X179" s="1744">
        <v>0</v>
      </c>
      <c r="Y179" s="1745">
        <v>0</v>
      </c>
      <c r="Z179" s="656"/>
    </row>
    <row r="180" spans="1:26" outlineLevel="1" x14ac:dyDescent="0.45">
      <c r="A180" s="656"/>
      <c r="B180" s="656"/>
      <c r="C180" s="656"/>
      <c r="D180" s="656"/>
      <c r="E180" s="656"/>
      <c r="F180" s="691">
        <f t="shared" si="28"/>
        <v>48</v>
      </c>
      <c r="G180" s="691">
        <f t="shared" si="29"/>
        <v>2065</v>
      </c>
      <c r="H180" s="1751">
        <f t="shared" si="30"/>
        <v>0</v>
      </c>
      <c r="I180" s="1752">
        <f t="shared" si="22"/>
        <v>0</v>
      </c>
      <c r="J180" s="1753">
        <f t="shared" si="23"/>
        <v>0</v>
      </c>
      <c r="K180" s="1754">
        <f t="shared" si="24"/>
        <v>0</v>
      </c>
      <c r="L180" s="1755">
        <f t="shared" si="25"/>
        <v>0</v>
      </c>
      <c r="M180" s="1756">
        <f t="shared" si="26"/>
        <v>0</v>
      </c>
      <c r="N180" s="1751">
        <f t="shared" si="31"/>
        <v>0</v>
      </c>
      <c r="O180" s="1752">
        <f t="shared" si="31"/>
        <v>0</v>
      </c>
      <c r="P180" s="1753">
        <f t="shared" si="31"/>
        <v>0</v>
      </c>
      <c r="Q180" s="1754">
        <f t="shared" si="31"/>
        <v>0</v>
      </c>
      <c r="R180" s="1755">
        <f t="shared" si="31"/>
        <v>0</v>
      </c>
      <c r="S180" s="1756">
        <f t="shared" si="31"/>
        <v>0</v>
      </c>
      <c r="T180" s="1740">
        <v>0</v>
      </c>
      <c r="U180" s="1741">
        <v>0</v>
      </c>
      <c r="V180" s="1742">
        <v>0</v>
      </c>
      <c r="W180" s="1743">
        <v>0</v>
      </c>
      <c r="X180" s="1744">
        <v>0</v>
      </c>
      <c r="Y180" s="1745">
        <v>0</v>
      </c>
      <c r="Z180" s="656"/>
    </row>
    <row r="181" spans="1:26" outlineLevel="1" x14ac:dyDescent="0.45">
      <c r="A181" s="656"/>
      <c r="B181" s="656"/>
      <c r="C181" s="656"/>
      <c r="D181" s="656"/>
      <c r="E181" s="656"/>
      <c r="F181" s="691">
        <f t="shared" si="28"/>
        <v>49</v>
      </c>
      <c r="G181" s="691">
        <f t="shared" si="29"/>
        <v>2066</v>
      </c>
      <c r="H181" s="1751">
        <f t="shared" si="30"/>
        <v>0</v>
      </c>
      <c r="I181" s="1752">
        <f t="shared" si="22"/>
        <v>0</v>
      </c>
      <c r="J181" s="1753">
        <f t="shared" si="23"/>
        <v>0</v>
      </c>
      <c r="K181" s="1754">
        <f t="shared" si="24"/>
        <v>0</v>
      </c>
      <c r="L181" s="1755">
        <f t="shared" si="25"/>
        <v>0</v>
      </c>
      <c r="M181" s="1756">
        <f t="shared" si="26"/>
        <v>0</v>
      </c>
      <c r="N181" s="1751">
        <f t="shared" si="31"/>
        <v>0</v>
      </c>
      <c r="O181" s="1752">
        <f t="shared" si="31"/>
        <v>0</v>
      </c>
      <c r="P181" s="1753">
        <f t="shared" si="31"/>
        <v>0</v>
      </c>
      <c r="Q181" s="1754">
        <f t="shared" si="31"/>
        <v>0</v>
      </c>
      <c r="R181" s="1755">
        <f t="shared" si="31"/>
        <v>0</v>
      </c>
      <c r="S181" s="1756">
        <f t="shared" si="31"/>
        <v>0</v>
      </c>
      <c r="T181" s="1740">
        <v>0</v>
      </c>
      <c r="U181" s="1741">
        <v>0</v>
      </c>
      <c r="V181" s="1742">
        <v>0</v>
      </c>
      <c r="W181" s="1743">
        <v>0</v>
      </c>
      <c r="X181" s="1744">
        <v>0</v>
      </c>
      <c r="Y181" s="1745">
        <v>0</v>
      </c>
      <c r="Z181" s="656"/>
    </row>
    <row r="182" spans="1:26" outlineLevel="1" x14ac:dyDescent="0.45">
      <c r="A182" s="656"/>
      <c r="B182" s="656"/>
      <c r="C182" s="656"/>
      <c r="D182" s="656"/>
      <c r="E182" s="656"/>
      <c r="F182" s="692">
        <f t="shared" si="28"/>
        <v>50</v>
      </c>
      <c r="G182" s="692">
        <f t="shared" si="29"/>
        <v>2067</v>
      </c>
      <c r="H182" s="1757">
        <f t="shared" si="30"/>
        <v>0</v>
      </c>
      <c r="I182" s="1758">
        <f t="shared" si="22"/>
        <v>0</v>
      </c>
      <c r="J182" s="1759">
        <f t="shared" si="23"/>
        <v>0</v>
      </c>
      <c r="K182" s="1760">
        <f t="shared" si="24"/>
        <v>0</v>
      </c>
      <c r="L182" s="1761">
        <f t="shared" si="25"/>
        <v>0</v>
      </c>
      <c r="M182" s="1762">
        <f t="shared" si="26"/>
        <v>0</v>
      </c>
      <c r="N182" s="1757">
        <f t="shared" si="31"/>
        <v>0</v>
      </c>
      <c r="O182" s="1758">
        <f t="shared" si="31"/>
        <v>0</v>
      </c>
      <c r="P182" s="1759">
        <f t="shared" si="31"/>
        <v>0</v>
      </c>
      <c r="Q182" s="1760">
        <f t="shared" si="31"/>
        <v>0</v>
      </c>
      <c r="R182" s="1761">
        <f t="shared" si="31"/>
        <v>0</v>
      </c>
      <c r="S182" s="1762">
        <f t="shared" si="31"/>
        <v>0</v>
      </c>
      <c r="T182" s="1740">
        <v>0</v>
      </c>
      <c r="U182" s="1763">
        <v>0</v>
      </c>
      <c r="V182" s="1764">
        <v>0</v>
      </c>
      <c r="W182" s="1765">
        <v>0</v>
      </c>
      <c r="X182" s="1766">
        <v>0</v>
      </c>
      <c r="Y182" s="1767">
        <v>0</v>
      </c>
      <c r="Z182" s="656"/>
    </row>
    <row r="183" spans="1:26" outlineLevel="1" x14ac:dyDescent="0.45">
      <c r="A183" s="656"/>
      <c r="B183" s="656"/>
      <c r="C183" s="656"/>
      <c r="D183" s="656"/>
      <c r="E183" s="656"/>
      <c r="F183" s="656"/>
      <c r="G183" s="656"/>
      <c r="H183" s="656"/>
      <c r="I183" s="656"/>
      <c r="J183" s="656"/>
      <c r="K183" s="656"/>
      <c r="L183" s="656"/>
      <c r="M183" s="656"/>
      <c r="N183" s="656"/>
      <c r="O183" s="656"/>
      <c r="P183" s="656"/>
      <c r="Q183" s="656"/>
      <c r="R183" s="656"/>
      <c r="S183" s="656"/>
      <c r="T183" s="656"/>
      <c r="U183" s="656"/>
      <c r="V183" s="656"/>
      <c r="W183" s="656"/>
      <c r="X183" s="656"/>
      <c r="Y183" s="656"/>
      <c r="Z183" s="656"/>
    </row>
    <row r="184" spans="1:26" outlineLevel="1" x14ac:dyDescent="0.45">
      <c r="A184" s="656"/>
      <c r="B184" s="656"/>
      <c r="C184" s="656"/>
      <c r="D184" s="656"/>
      <c r="E184" s="656"/>
      <c r="F184" s="656"/>
      <c r="G184" s="656"/>
      <c r="H184" s="656"/>
      <c r="I184" s="656"/>
      <c r="J184" s="656"/>
      <c r="K184" s="656"/>
      <c r="L184" s="656"/>
      <c r="M184" s="656"/>
      <c r="N184" s="656"/>
      <c r="O184" s="656"/>
      <c r="P184" s="656"/>
      <c r="Q184" s="656"/>
      <c r="R184" s="656"/>
      <c r="S184" s="656"/>
      <c r="T184" s="656"/>
      <c r="U184" s="656"/>
      <c r="V184" s="656"/>
      <c r="W184" s="656"/>
      <c r="X184" s="656"/>
      <c r="Y184" s="656"/>
      <c r="Z184" s="656"/>
    </row>
    <row r="185" spans="1:26" x14ac:dyDescent="0.45">
      <c r="A185" s="656"/>
      <c r="B185" s="656"/>
      <c r="C185" s="656"/>
      <c r="D185" s="656"/>
      <c r="E185" s="656"/>
      <c r="F185" s="656"/>
      <c r="G185" s="656"/>
      <c r="H185" s="656"/>
      <c r="I185" s="656"/>
      <c r="J185" s="656"/>
      <c r="K185" s="656"/>
      <c r="L185" s="656"/>
      <c r="M185" s="656"/>
      <c r="N185" s="656"/>
      <c r="O185" s="656"/>
      <c r="P185" s="656"/>
      <c r="Q185" s="656"/>
      <c r="R185" s="656"/>
      <c r="S185" s="656"/>
      <c r="T185" s="656"/>
      <c r="U185" s="656"/>
      <c r="V185" s="656"/>
      <c r="W185" s="656"/>
      <c r="X185" s="656"/>
      <c r="Y185" s="656"/>
      <c r="Z185" s="656"/>
    </row>
    <row r="186" spans="1:26" hidden="1" x14ac:dyDescent="0.45"/>
    <row r="187" spans="1:26" hidden="1" x14ac:dyDescent="0.45"/>
    <row r="188" spans="1:26" hidden="1" x14ac:dyDescent="0.45"/>
    <row r="189" spans="1:26" hidden="1" x14ac:dyDescent="0.45"/>
    <row r="190" spans="1:26" hidden="1" x14ac:dyDescent="0.45"/>
    <row r="191" spans="1:26" hidden="1" x14ac:dyDescent="0.45"/>
    <row r="192" spans="1:26"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sheetData>
  <sheetProtection formatCells="0" formatColumns="0" formatRows="0" insertColumns="0" insertRows="0"/>
  <mergeCells count="7">
    <mergeCell ref="T131:Y131"/>
    <mergeCell ref="N17:T17"/>
    <mergeCell ref="H131:M131"/>
    <mergeCell ref="N131:S131"/>
    <mergeCell ref="N32:S32"/>
    <mergeCell ref="N65:S65"/>
    <mergeCell ref="N102:S102"/>
  </mergeCells>
  <dataValidations count="3">
    <dataValidation type="list" allowBlank="1" showInputMessage="1" showErrorMessage="1" sqref="N109:T109">
      <formula1>fuelcostmb</formula1>
    </dataValidation>
    <dataValidation type="list" allowBlank="1" showInputMessage="1" showErrorMessage="1" sqref="T68 N72:T72 T70 T79">
      <formula1>InstrumentSelectionMB</formula1>
    </dataValidation>
    <dataValidation allowBlank="1" showInputMessage="1" showErrorMessage="1" sqref="O73:T75 O68:S68 O70:S70 O79:S79"/>
  </dataValidations>
  <pageMargins left="0.7" right="0.7" top="0.75" bottom="0.75" header="0.3" footer="0.3"/>
  <pageSetup scale="38" fitToHeight="0" orientation="landscape" horizontalDpi="4294967293" verticalDpi="4294967293" r:id="rId1"/>
  <rowBreaks count="1" manualBreakCount="1">
    <brk id="58" max="16383" man="1"/>
  </rowBreaks>
  <ignoredErrors>
    <ignoredError sqref="O38:P38 Q39:Q40 Q38:S38 O39:P39 R39:R40 S39:S40 O40:P40"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5"/>
  <sheetViews>
    <sheetView zoomScale="75" zoomScaleNormal="75" zoomScalePageLayoutView="90" workbookViewId="0"/>
  </sheetViews>
  <sheetFormatPr defaultColWidth="0" defaultRowHeight="12.75" zeroHeight="1" outlineLevelRow="1" x14ac:dyDescent="0.45"/>
  <cols>
    <col min="1" max="15" width="2.86328125" style="20" customWidth="1"/>
    <col min="16" max="16" width="71.1328125" style="20" customWidth="1"/>
    <col min="17" max="17" width="12.265625" style="20" bestFit="1" customWidth="1"/>
    <col min="18" max="19" width="13.86328125" style="20" customWidth="1"/>
    <col min="20" max="20" width="14.265625" style="20" customWidth="1"/>
    <col min="21" max="21" width="13.86328125" style="20" customWidth="1"/>
    <col min="22" max="22" width="14.265625" style="20" customWidth="1"/>
    <col min="23" max="23" width="15.265625" style="20" customWidth="1"/>
    <col min="24" max="24" width="14.86328125" style="20" customWidth="1"/>
    <col min="25" max="25" width="14.265625" style="20" customWidth="1"/>
    <col min="26" max="26" width="2.73046875" style="20" customWidth="1"/>
    <col min="27" max="29" width="9.1328125" style="20" hidden="1" customWidth="1"/>
    <col min="30" max="30" width="10.86328125" style="20" hidden="1" customWidth="1"/>
    <col min="31" max="16384" width="9.1328125" style="20" hidden="1"/>
  </cols>
  <sheetData>
    <row r="1" spans="1:26" x14ac:dyDescent="0.45">
      <c r="A1" s="421" t="s">
        <v>584</v>
      </c>
      <c r="B1" s="656"/>
      <c r="C1" s="656"/>
      <c r="D1" s="656"/>
      <c r="E1" s="656"/>
      <c r="F1" s="656"/>
      <c r="G1" s="656"/>
      <c r="H1" s="656"/>
      <c r="I1" s="656"/>
      <c r="J1" s="656"/>
      <c r="K1" s="656"/>
      <c r="L1" s="656"/>
      <c r="M1" s="656"/>
      <c r="N1" s="656"/>
      <c r="O1" s="656"/>
      <c r="P1" s="656"/>
      <c r="Q1" s="656"/>
      <c r="R1" s="656"/>
      <c r="S1" s="656"/>
      <c r="T1" s="656"/>
      <c r="U1" s="656"/>
      <c r="V1" s="656"/>
      <c r="W1" s="656"/>
      <c r="X1" s="656"/>
      <c r="Y1" s="656"/>
      <c r="Z1" s="656"/>
    </row>
    <row r="2" spans="1:26" x14ac:dyDescent="0.45">
      <c r="A2" s="656"/>
      <c r="B2" s="656"/>
      <c r="C2" s="656"/>
      <c r="D2" s="656"/>
      <c r="E2" s="656"/>
      <c r="F2" s="656"/>
      <c r="G2" s="656"/>
      <c r="H2" s="656"/>
      <c r="I2" s="656"/>
      <c r="J2" s="656"/>
      <c r="K2" s="656"/>
      <c r="L2" s="656"/>
      <c r="M2" s="656"/>
      <c r="N2" s="656"/>
      <c r="O2" s="656"/>
      <c r="P2" s="656"/>
      <c r="Q2" s="656"/>
      <c r="R2" s="656"/>
      <c r="S2" s="656"/>
      <c r="T2" s="656"/>
      <c r="U2" s="656"/>
      <c r="V2" s="656"/>
      <c r="W2" s="656"/>
      <c r="X2" s="656"/>
      <c r="Y2" s="656"/>
      <c r="Z2" s="656"/>
    </row>
    <row r="3" spans="1:26" ht="13.15" x14ac:dyDescent="0.45">
      <c r="A3" s="488" t="s">
        <v>381</v>
      </c>
      <c r="B3" s="488"/>
      <c r="C3" s="488"/>
      <c r="D3" s="488"/>
      <c r="E3" s="488"/>
      <c r="F3" s="488"/>
      <c r="G3" s="488"/>
      <c r="H3" s="488"/>
      <c r="I3" s="488"/>
      <c r="J3" s="488"/>
      <c r="K3" s="488"/>
      <c r="L3" s="488"/>
      <c r="M3" s="488"/>
      <c r="N3" s="490"/>
      <c r="O3" s="490"/>
      <c r="P3" s="489"/>
      <c r="Q3" s="489"/>
      <c r="R3" s="490"/>
      <c r="S3" s="490"/>
      <c r="T3" s="490"/>
      <c r="U3" s="490"/>
      <c r="V3" s="490"/>
      <c r="W3" s="490"/>
      <c r="X3" s="490"/>
      <c r="Y3" s="490"/>
      <c r="Z3" s="656"/>
    </row>
    <row r="4" spans="1:26" s="156" customFormat="1" ht="12.75" customHeight="1" x14ac:dyDescent="0.45">
      <c r="A4" s="658"/>
      <c r="B4" s="658"/>
      <c r="C4" s="658"/>
      <c r="D4" s="658"/>
      <c r="E4" s="658"/>
      <c r="F4" s="658"/>
      <c r="G4" s="658"/>
      <c r="H4" s="658"/>
      <c r="I4" s="658"/>
      <c r="J4" s="658"/>
      <c r="K4" s="658"/>
      <c r="L4" s="658"/>
      <c r="M4" s="658"/>
      <c r="N4" s="658"/>
      <c r="O4" s="658"/>
      <c r="P4" s="658"/>
      <c r="Q4" s="658"/>
      <c r="R4" s="658"/>
      <c r="S4" s="658"/>
      <c r="T4" s="659"/>
      <c r="U4" s="659"/>
      <c r="V4" s="659"/>
      <c r="W4" s="658"/>
      <c r="X4" s="658"/>
      <c r="Y4" s="659"/>
      <c r="Z4" s="658"/>
    </row>
    <row r="5" spans="1:26" s="156" customFormat="1" ht="12.75" customHeight="1" x14ac:dyDescent="0.45">
      <c r="A5" s="658"/>
      <c r="B5" s="658" t="s">
        <v>182</v>
      </c>
      <c r="C5" s="658"/>
      <c r="D5" s="658"/>
      <c r="E5" s="658"/>
      <c r="F5" s="658"/>
      <c r="G5" s="658"/>
      <c r="H5" s="658"/>
      <c r="I5" s="658"/>
      <c r="J5" s="658"/>
      <c r="K5" s="658"/>
      <c r="L5" s="658"/>
      <c r="M5" s="658"/>
      <c r="N5" s="658"/>
      <c r="O5" s="658"/>
      <c r="P5" s="658"/>
      <c r="Q5" s="658"/>
      <c r="R5" s="658"/>
      <c r="S5" s="658"/>
      <c r="T5" s="658"/>
      <c r="U5" s="658"/>
      <c r="V5" s="658"/>
      <c r="W5" s="761"/>
      <c r="X5" s="658"/>
      <c r="Y5" s="658"/>
      <c r="Z5" s="658"/>
    </row>
    <row r="6" spans="1:26" s="156" customFormat="1" ht="12.75" customHeight="1" x14ac:dyDescent="0.45">
      <c r="A6" s="658"/>
      <c r="B6" s="658"/>
      <c r="C6" s="658" t="s">
        <v>383</v>
      </c>
      <c r="D6" s="658"/>
      <c r="E6" s="658"/>
      <c r="F6" s="658"/>
      <c r="G6" s="658"/>
      <c r="H6" s="658"/>
      <c r="I6" s="658"/>
      <c r="J6" s="658"/>
      <c r="K6" s="658"/>
      <c r="L6" s="658"/>
      <c r="M6" s="658"/>
      <c r="N6" s="658"/>
      <c r="O6" s="658"/>
      <c r="P6" s="658"/>
      <c r="Q6" s="658"/>
      <c r="R6" s="658"/>
      <c r="S6" s="658"/>
      <c r="T6" s="658"/>
      <c r="U6" s="658"/>
      <c r="V6" s="658"/>
      <c r="W6" s="762"/>
      <c r="X6" s="658"/>
      <c r="Y6" s="658"/>
      <c r="Z6" s="658"/>
    </row>
    <row r="7" spans="1:26" s="156" customFormat="1" ht="12.75" customHeight="1" x14ac:dyDescent="0.45">
      <c r="A7" s="658"/>
      <c r="B7" s="658"/>
      <c r="C7" s="658" t="s">
        <v>172</v>
      </c>
      <c r="D7" s="658"/>
      <c r="E7" s="658"/>
      <c r="F7" s="658"/>
      <c r="G7" s="658"/>
      <c r="H7" s="658"/>
      <c r="I7" s="658"/>
      <c r="J7" s="658"/>
      <c r="K7" s="658"/>
      <c r="L7" s="658"/>
      <c r="M7" s="658"/>
      <c r="N7" s="658"/>
      <c r="O7" s="658"/>
      <c r="P7" s="658"/>
      <c r="Q7" s="658"/>
      <c r="R7" s="658"/>
      <c r="S7" s="658"/>
      <c r="T7" s="658"/>
      <c r="U7" s="658"/>
      <c r="V7" s="658"/>
      <c r="W7" s="761"/>
      <c r="X7" s="658"/>
      <c r="Y7" s="658"/>
      <c r="Z7" s="658"/>
    </row>
    <row r="8" spans="1:26" s="156" customFormat="1" x14ac:dyDescent="0.45">
      <c r="A8" s="658"/>
      <c r="B8" s="658"/>
      <c r="C8" s="658" t="s">
        <v>173</v>
      </c>
      <c r="D8" s="658"/>
      <c r="E8" s="658"/>
      <c r="F8" s="658"/>
      <c r="G8" s="658"/>
      <c r="H8" s="658"/>
      <c r="I8" s="658"/>
      <c r="J8" s="658"/>
      <c r="K8" s="658"/>
      <c r="L8" s="658"/>
      <c r="M8" s="658"/>
      <c r="N8" s="658"/>
      <c r="O8" s="658"/>
      <c r="P8" s="658"/>
      <c r="Q8" s="658"/>
      <c r="R8" s="658"/>
      <c r="S8" s="658"/>
      <c r="T8" s="659"/>
      <c r="U8" s="659"/>
      <c r="V8" s="659"/>
      <c r="W8" s="658"/>
      <c r="X8" s="658"/>
      <c r="Y8" s="658"/>
      <c r="Z8" s="658"/>
    </row>
    <row r="9" spans="1:26" s="156" customFormat="1" ht="12.75" customHeight="1" x14ac:dyDescent="0.45">
      <c r="A9" s="658"/>
      <c r="B9" s="658"/>
      <c r="C9" s="658" t="s">
        <v>174</v>
      </c>
      <c r="D9" s="658"/>
      <c r="E9" s="658"/>
      <c r="F9" s="658"/>
      <c r="G9" s="658"/>
      <c r="H9" s="658"/>
      <c r="I9" s="658"/>
      <c r="J9" s="658"/>
      <c r="K9" s="658"/>
      <c r="L9" s="658"/>
      <c r="M9" s="658"/>
      <c r="N9" s="658"/>
      <c r="O9" s="658"/>
      <c r="P9" s="658"/>
      <c r="Q9" s="658"/>
      <c r="R9" s="658"/>
      <c r="S9" s="658"/>
      <c r="T9" s="659"/>
      <c r="U9" s="659"/>
      <c r="V9" s="659"/>
      <c r="W9" s="658"/>
      <c r="X9" s="658"/>
      <c r="Y9" s="658"/>
      <c r="Z9" s="658"/>
    </row>
    <row r="10" spans="1:26" ht="12.75" customHeight="1" x14ac:dyDescent="0.45">
      <c r="A10" s="656"/>
      <c r="B10" s="656"/>
      <c r="C10" s="656"/>
      <c r="D10" s="656"/>
      <c r="E10" s="656"/>
      <c r="F10" s="656"/>
      <c r="G10" s="656"/>
      <c r="H10" s="656"/>
      <c r="I10" s="656"/>
      <c r="J10" s="656"/>
      <c r="K10" s="656"/>
      <c r="L10" s="656"/>
      <c r="M10" s="656"/>
      <c r="N10" s="656"/>
      <c r="O10" s="656"/>
      <c r="P10" s="656"/>
      <c r="Q10" s="656"/>
      <c r="R10" s="656"/>
      <c r="S10" s="656"/>
      <c r="T10" s="656"/>
      <c r="U10" s="656"/>
      <c r="V10" s="656"/>
      <c r="W10" s="656"/>
      <c r="X10" s="656"/>
      <c r="Y10" s="656"/>
      <c r="Z10" s="656"/>
    </row>
    <row r="11" spans="1:26" s="156" customFormat="1" ht="12.75" customHeight="1" x14ac:dyDescent="0.45">
      <c r="A11" s="491" t="s">
        <v>382</v>
      </c>
      <c r="B11" s="491"/>
      <c r="C11" s="491"/>
      <c r="D11" s="491"/>
      <c r="E11" s="491"/>
      <c r="F11" s="491"/>
      <c r="G11" s="491"/>
      <c r="H11" s="491"/>
      <c r="I11" s="491"/>
      <c r="J11" s="491"/>
      <c r="K11" s="491"/>
      <c r="L11" s="491"/>
      <c r="M11" s="517"/>
      <c r="N11" s="492"/>
      <c r="O11" s="492"/>
      <c r="P11" s="492"/>
      <c r="Q11" s="492"/>
      <c r="R11" s="492"/>
      <c r="S11" s="492"/>
      <c r="T11" s="492"/>
      <c r="U11" s="492"/>
      <c r="V11" s="492"/>
      <c r="W11" s="492"/>
      <c r="X11" s="492"/>
      <c r="Y11" s="492"/>
      <c r="Z11" s="658"/>
    </row>
    <row r="12" spans="1:26" ht="12.75" customHeight="1" x14ac:dyDescent="0.45">
      <c r="A12" s="656"/>
      <c r="B12" s="656"/>
      <c r="C12" s="656"/>
      <c r="D12" s="656"/>
      <c r="E12" s="656"/>
      <c r="F12" s="656"/>
      <c r="G12" s="656"/>
      <c r="H12" s="656"/>
      <c r="I12" s="656"/>
      <c r="J12" s="656"/>
      <c r="K12" s="656"/>
      <c r="L12" s="656"/>
      <c r="M12" s="656"/>
      <c r="N12" s="656"/>
      <c r="O12" s="656"/>
      <c r="P12" s="656"/>
      <c r="Q12" s="656"/>
      <c r="R12" s="656"/>
      <c r="S12" s="656"/>
      <c r="T12" s="656"/>
      <c r="U12" s="656"/>
      <c r="V12" s="656"/>
      <c r="W12" s="656"/>
      <c r="X12" s="656"/>
      <c r="Y12" s="656"/>
      <c r="Z12" s="656"/>
    </row>
    <row r="13" spans="1:26" ht="12.75" customHeight="1" x14ac:dyDescent="0.45">
      <c r="A13" s="656"/>
      <c r="B13" s="656"/>
      <c r="C13" s="656"/>
      <c r="D13" s="656"/>
      <c r="E13" s="656"/>
      <c r="F13" s="656"/>
      <c r="G13" s="656"/>
      <c r="H13" s="656"/>
      <c r="I13" s="656"/>
      <c r="J13" s="656"/>
      <c r="K13" s="656"/>
      <c r="L13" s="656"/>
      <c r="M13" s="656"/>
      <c r="N13" s="656"/>
      <c r="O13" s="656"/>
      <c r="P13" s="763"/>
      <c r="Q13" s="665"/>
      <c r="R13" s="665"/>
      <c r="S13" s="656"/>
      <c r="T13" s="676"/>
      <c r="U13" s="2152" t="s">
        <v>373</v>
      </c>
      <c r="V13" s="2153"/>
      <c r="W13" s="656"/>
      <c r="X13" s="656"/>
      <c r="Y13" s="656"/>
      <c r="Z13" s="656"/>
    </row>
    <row r="14" spans="1:26" ht="12.75" customHeight="1" x14ac:dyDescent="0.45">
      <c r="A14" s="656"/>
      <c r="B14" s="656"/>
      <c r="C14" s="656" t="s">
        <v>40</v>
      </c>
      <c r="D14" s="656"/>
      <c r="E14" s="656"/>
      <c r="F14" s="656"/>
      <c r="G14" s="656"/>
      <c r="H14" s="656"/>
      <c r="I14" s="656"/>
      <c r="J14" s="656"/>
      <c r="K14" s="656"/>
      <c r="L14" s="656"/>
      <c r="M14" s="656"/>
      <c r="N14" s="656"/>
      <c r="O14" s="656"/>
      <c r="P14" s="656"/>
      <c r="Q14" s="666" t="s">
        <v>13</v>
      </c>
      <c r="R14" s="656"/>
      <c r="S14" s="656"/>
      <c r="T14" s="764"/>
      <c r="U14" s="2154">
        <v>835</v>
      </c>
      <c r="V14" s="2155"/>
      <c r="W14" s="656"/>
      <c r="X14" s="656"/>
      <c r="Y14" s="656"/>
      <c r="Z14" s="656"/>
    </row>
    <row r="15" spans="1:26" ht="12.75" customHeight="1" x14ac:dyDescent="0.45">
      <c r="A15" s="656"/>
      <c r="B15" s="656"/>
      <c r="C15" s="656" t="s">
        <v>12</v>
      </c>
      <c r="D15" s="656"/>
      <c r="E15" s="656"/>
      <c r="F15" s="656"/>
      <c r="G15" s="656"/>
      <c r="H15" s="656"/>
      <c r="I15" s="656"/>
      <c r="J15" s="656"/>
      <c r="K15" s="656"/>
      <c r="L15" s="656"/>
      <c r="M15" s="656"/>
      <c r="N15" s="656"/>
      <c r="O15" s="656"/>
      <c r="P15" s="656"/>
      <c r="Q15" s="666" t="s">
        <v>726</v>
      </c>
      <c r="R15" s="656"/>
      <c r="S15" s="656"/>
      <c r="T15" s="765"/>
      <c r="U15" s="2011">
        <f>(0.85*930000/U21)</f>
        <v>636627.20463880163</v>
      </c>
      <c r="V15" s="2012"/>
      <c r="W15" s="656"/>
      <c r="X15" s="656"/>
      <c r="Y15" s="656"/>
      <c r="Z15" s="656"/>
    </row>
    <row r="16" spans="1:26" ht="12.75" customHeight="1" x14ac:dyDescent="0.45">
      <c r="A16" s="656"/>
      <c r="B16" s="656"/>
      <c r="C16" s="658" t="s">
        <v>168</v>
      </c>
      <c r="D16" s="656"/>
      <c r="E16" s="656"/>
      <c r="F16" s="656"/>
      <c r="G16" s="656"/>
      <c r="H16" s="656"/>
      <c r="I16" s="656"/>
      <c r="J16" s="656"/>
      <c r="K16" s="656"/>
      <c r="L16" s="656"/>
      <c r="M16" s="656"/>
      <c r="N16" s="656"/>
      <c r="O16" s="656"/>
      <c r="P16" s="656"/>
      <c r="Q16" s="666" t="s">
        <v>669</v>
      </c>
      <c r="R16" s="656"/>
      <c r="S16" s="656"/>
      <c r="T16" s="764"/>
      <c r="U16" s="2007">
        <v>20</v>
      </c>
      <c r="V16" s="2008"/>
      <c r="W16" s="656"/>
      <c r="X16" s="656"/>
      <c r="Y16" s="656"/>
      <c r="Z16" s="656"/>
    </row>
    <row r="17" spans="1:26" ht="12.75" customHeight="1" x14ac:dyDescent="0.45">
      <c r="A17" s="656"/>
      <c r="B17" s="656"/>
      <c r="C17" s="656" t="s">
        <v>775</v>
      </c>
      <c r="D17" s="656"/>
      <c r="E17" s="656"/>
      <c r="F17" s="656"/>
      <c r="G17" s="656"/>
      <c r="H17" s="656"/>
      <c r="I17" s="656"/>
      <c r="J17" s="656"/>
      <c r="K17" s="656"/>
      <c r="L17" s="656"/>
      <c r="M17" s="656"/>
      <c r="N17" s="656"/>
      <c r="O17" s="656"/>
      <c r="P17" s="656"/>
      <c r="Q17" s="666" t="s">
        <v>669</v>
      </c>
      <c r="R17" s="656"/>
      <c r="S17" s="656"/>
      <c r="T17" s="764"/>
      <c r="U17" s="2007">
        <v>13</v>
      </c>
      <c r="V17" s="2008"/>
      <c r="W17" s="656"/>
      <c r="X17" s="656"/>
      <c r="Y17" s="656"/>
      <c r="Z17" s="656"/>
    </row>
    <row r="18" spans="1:26" ht="12.75" customHeight="1" x14ac:dyDescent="0.45">
      <c r="A18" s="656"/>
      <c r="B18" s="656"/>
      <c r="C18" s="656" t="s">
        <v>15</v>
      </c>
      <c r="D18" s="656"/>
      <c r="E18" s="656"/>
      <c r="F18" s="656"/>
      <c r="G18" s="656"/>
      <c r="H18" s="656"/>
      <c r="I18" s="656"/>
      <c r="J18" s="656"/>
      <c r="K18" s="656"/>
      <c r="L18" s="656"/>
      <c r="M18" s="656"/>
      <c r="N18" s="656"/>
      <c r="O18" s="656"/>
      <c r="P18" s="656"/>
      <c r="Q18" s="666" t="s">
        <v>14</v>
      </c>
      <c r="R18" s="656"/>
      <c r="S18" s="656"/>
      <c r="T18" s="766"/>
      <c r="U18" s="2156">
        <v>0.25</v>
      </c>
      <c r="V18" s="2157"/>
      <c r="W18" s="656"/>
      <c r="X18" s="656"/>
      <c r="Y18" s="656"/>
      <c r="Z18" s="656"/>
    </row>
    <row r="19" spans="1:26" ht="12.75" customHeight="1" x14ac:dyDescent="0.45">
      <c r="A19" s="656"/>
      <c r="B19" s="656"/>
      <c r="C19" s="656" t="s">
        <v>84</v>
      </c>
      <c r="D19" s="656"/>
      <c r="E19" s="656"/>
      <c r="F19" s="656"/>
      <c r="G19" s="656"/>
      <c r="H19" s="656"/>
      <c r="I19" s="656"/>
      <c r="J19" s="656"/>
      <c r="K19" s="656"/>
      <c r="L19" s="656"/>
      <c r="M19" s="656"/>
      <c r="N19" s="656"/>
      <c r="O19" s="656"/>
      <c r="P19" s="656"/>
      <c r="Q19" s="666" t="s">
        <v>14</v>
      </c>
      <c r="R19" s="656"/>
      <c r="S19" s="656"/>
      <c r="T19" s="766"/>
      <c r="U19" s="2156">
        <v>7.0000000000000007E-2</v>
      </c>
      <c r="V19" s="2157"/>
      <c r="W19" s="656"/>
      <c r="X19" s="656"/>
      <c r="Y19" s="656"/>
      <c r="Z19" s="656"/>
    </row>
    <row r="20" spans="1:26" ht="12.75" customHeight="1" x14ac:dyDescent="0.45">
      <c r="A20" s="656"/>
      <c r="B20" s="656"/>
      <c r="C20" s="656" t="s">
        <v>602</v>
      </c>
      <c r="D20" s="656"/>
      <c r="E20" s="656"/>
      <c r="F20" s="656"/>
      <c r="G20" s="656"/>
      <c r="H20" s="656"/>
      <c r="I20" s="656"/>
      <c r="J20" s="656"/>
      <c r="K20" s="656"/>
      <c r="L20" s="656"/>
      <c r="M20" s="656"/>
      <c r="N20" s="656"/>
      <c r="O20" s="656"/>
      <c r="P20" s="656"/>
      <c r="Q20" s="666" t="s">
        <v>51</v>
      </c>
      <c r="R20" s="656"/>
      <c r="S20" s="656"/>
      <c r="T20" s="766"/>
      <c r="U20" s="2243">
        <v>2018</v>
      </c>
      <c r="V20" s="2244"/>
      <c r="W20" s="656"/>
      <c r="X20" s="656"/>
      <c r="Y20" s="656"/>
      <c r="Z20" s="656"/>
    </row>
    <row r="21" spans="1:26" ht="12.75" customHeight="1" x14ac:dyDescent="0.45">
      <c r="A21" s="656"/>
      <c r="B21" s="656"/>
      <c r="C21" s="656" t="s">
        <v>751</v>
      </c>
      <c r="D21" s="656"/>
      <c r="E21" s="656"/>
      <c r="F21" s="656"/>
      <c r="G21" s="656"/>
      <c r="H21" s="656"/>
      <c r="I21" s="656"/>
      <c r="J21" s="656"/>
      <c r="K21" s="656"/>
      <c r="L21" s="656"/>
      <c r="M21" s="656"/>
      <c r="N21" s="656"/>
      <c r="O21" s="656"/>
      <c r="P21" s="656"/>
      <c r="Q21" s="666" t="s">
        <v>752</v>
      </c>
      <c r="R21" s="656"/>
      <c r="S21" s="656"/>
      <c r="T21" s="766"/>
      <c r="U21" s="2186">
        <v>1.2417</v>
      </c>
      <c r="V21" s="2187"/>
      <c r="W21" s="656"/>
      <c r="X21" s="656"/>
      <c r="Y21" s="656"/>
      <c r="Z21" s="656"/>
    </row>
    <row r="22" spans="1:26" ht="12.75" customHeight="1" x14ac:dyDescent="0.45">
      <c r="A22" s="656"/>
      <c r="B22" s="656"/>
      <c r="C22" s="656" t="s">
        <v>667</v>
      </c>
      <c r="D22" s="656"/>
      <c r="E22" s="656"/>
      <c r="F22" s="656"/>
      <c r="G22" s="656"/>
      <c r="H22" s="656"/>
      <c r="I22" s="656"/>
      <c r="J22" s="656"/>
      <c r="K22" s="656"/>
      <c r="L22" s="656"/>
      <c r="M22" s="656"/>
      <c r="N22" s="656"/>
      <c r="O22" s="656"/>
      <c r="P22" s="656"/>
      <c r="Q22" s="666" t="s">
        <v>668</v>
      </c>
      <c r="R22" s="656"/>
      <c r="S22" s="656"/>
      <c r="T22" s="766"/>
      <c r="U22" s="2193">
        <v>43132</v>
      </c>
      <c r="V22" s="2194"/>
      <c r="W22" s="656"/>
      <c r="X22" s="656"/>
      <c r="Y22" s="656"/>
      <c r="Z22" s="656"/>
    </row>
    <row r="23" spans="1:26" ht="12.75" customHeight="1" x14ac:dyDescent="0.45">
      <c r="A23" s="656"/>
      <c r="B23" s="656"/>
      <c r="C23" s="656" t="s">
        <v>464</v>
      </c>
      <c r="D23" s="656"/>
      <c r="E23" s="656"/>
      <c r="F23" s="656"/>
      <c r="G23" s="656"/>
      <c r="H23" s="656"/>
      <c r="I23" s="656"/>
      <c r="J23" s="656"/>
      <c r="K23" s="656"/>
      <c r="L23" s="656"/>
      <c r="M23" s="656"/>
      <c r="N23" s="656"/>
      <c r="O23" s="656"/>
      <c r="P23" s="656"/>
      <c r="Q23" s="666" t="s">
        <v>14</v>
      </c>
      <c r="R23" s="656"/>
      <c r="S23" s="656"/>
      <c r="T23" s="766"/>
      <c r="U23" s="2195">
        <v>2.4E-2</v>
      </c>
      <c r="V23" s="2196"/>
      <c r="W23" s="656"/>
      <c r="X23" s="656"/>
      <c r="Y23" s="656"/>
      <c r="Z23" s="656"/>
    </row>
    <row r="24" spans="1:26" ht="12.75" customHeight="1" x14ac:dyDescent="0.45">
      <c r="A24" s="656"/>
      <c r="B24" s="656"/>
      <c r="C24" s="656"/>
      <c r="D24" s="656"/>
      <c r="E24" s="656"/>
      <c r="F24" s="656"/>
      <c r="G24" s="656"/>
      <c r="H24" s="656"/>
      <c r="I24" s="656"/>
      <c r="J24" s="656"/>
      <c r="K24" s="656"/>
      <c r="L24" s="656"/>
      <c r="M24" s="656"/>
      <c r="N24" s="656"/>
      <c r="O24" s="656"/>
      <c r="P24" s="656"/>
      <c r="Q24" s="656"/>
      <c r="R24" s="656"/>
      <c r="S24" s="656"/>
      <c r="T24" s="656"/>
      <c r="U24" s="656"/>
      <c r="V24" s="656"/>
      <c r="W24" s="656"/>
      <c r="X24" s="656"/>
      <c r="Y24" s="656"/>
      <c r="Z24" s="656"/>
    </row>
    <row r="25" spans="1:26" s="156" customFormat="1" ht="12.75" customHeight="1" x14ac:dyDescent="0.45">
      <c r="A25" s="491" t="s">
        <v>175</v>
      </c>
      <c r="B25" s="491"/>
      <c r="C25" s="491"/>
      <c r="D25" s="491"/>
      <c r="E25" s="491"/>
      <c r="F25" s="491"/>
      <c r="G25" s="491"/>
      <c r="H25" s="491"/>
      <c r="I25" s="491"/>
      <c r="J25" s="491"/>
      <c r="K25" s="491"/>
      <c r="L25" s="491"/>
      <c r="M25" s="517"/>
      <c r="N25" s="492"/>
      <c r="O25" s="492"/>
      <c r="P25" s="492"/>
      <c r="Q25" s="492"/>
      <c r="R25" s="492"/>
      <c r="S25" s="492"/>
      <c r="T25" s="492"/>
      <c r="U25" s="492"/>
      <c r="V25" s="492"/>
      <c r="W25" s="492"/>
      <c r="X25" s="492"/>
      <c r="Y25" s="492"/>
      <c r="Z25" s="658"/>
    </row>
    <row r="26" spans="1:26" ht="12.75" customHeight="1" x14ac:dyDescent="0.45">
      <c r="A26" s="656"/>
      <c r="B26" s="656"/>
      <c r="C26" s="656"/>
      <c r="D26" s="656"/>
      <c r="E26" s="656"/>
      <c r="F26" s="656"/>
      <c r="G26" s="656"/>
      <c r="H26" s="656"/>
      <c r="I26" s="656"/>
      <c r="J26" s="656"/>
      <c r="K26" s="656"/>
      <c r="L26" s="656"/>
      <c r="M26" s="656"/>
      <c r="N26" s="656"/>
      <c r="O26" s="656"/>
      <c r="P26" s="656"/>
      <c r="Q26" s="656"/>
      <c r="R26" s="656"/>
      <c r="S26" s="656"/>
      <c r="T26" s="656"/>
      <c r="U26" s="656"/>
      <c r="V26" s="656"/>
      <c r="W26" s="656"/>
      <c r="X26" s="656"/>
      <c r="Y26" s="656"/>
      <c r="Z26" s="656"/>
    </row>
    <row r="27" spans="1:26" ht="12.75" customHeight="1" x14ac:dyDescent="0.45">
      <c r="A27" s="656"/>
      <c r="B27" s="667" t="s">
        <v>176</v>
      </c>
      <c r="C27" s="667"/>
      <c r="D27" s="667"/>
      <c r="E27" s="667"/>
      <c r="F27" s="667"/>
      <c r="G27" s="667"/>
      <c r="H27" s="667"/>
      <c r="I27" s="667"/>
      <c r="J27" s="667"/>
      <c r="K27" s="667"/>
      <c r="L27" s="667"/>
      <c r="M27" s="667"/>
      <c r="N27" s="667"/>
      <c r="O27" s="667"/>
      <c r="P27" s="667"/>
      <c r="Q27" s="667"/>
      <c r="R27" s="667"/>
      <c r="S27" s="667"/>
      <c r="T27" s="667"/>
      <c r="U27" s="667"/>
      <c r="V27" s="667"/>
      <c r="W27" s="667"/>
      <c r="X27" s="667"/>
      <c r="Y27" s="667"/>
      <c r="Z27" s="656"/>
    </row>
    <row r="28" spans="1:26" ht="12.75" customHeight="1" x14ac:dyDescent="0.45">
      <c r="A28" s="656"/>
      <c r="B28" s="656"/>
      <c r="C28" s="656"/>
      <c r="D28" s="656"/>
      <c r="E28" s="656"/>
      <c r="F28" s="656"/>
      <c r="G28" s="656"/>
      <c r="H28" s="656"/>
      <c r="I28" s="656"/>
      <c r="J28" s="656"/>
      <c r="K28" s="656"/>
      <c r="L28" s="656"/>
      <c r="M28" s="656"/>
      <c r="N28" s="656"/>
      <c r="O28" s="656"/>
      <c r="P28" s="656"/>
      <c r="Q28" s="656"/>
      <c r="R28" s="656"/>
      <c r="S28" s="656"/>
      <c r="T28" s="656"/>
      <c r="U28" s="656"/>
      <c r="V28" s="656"/>
      <c r="W28" s="656"/>
      <c r="X28" s="656"/>
      <c r="Y28" s="656"/>
      <c r="Z28" s="656"/>
    </row>
    <row r="29" spans="1:26" ht="12.75" customHeight="1" x14ac:dyDescent="0.45">
      <c r="A29" s="656"/>
      <c r="B29" s="656"/>
      <c r="C29" s="663" t="s">
        <v>655</v>
      </c>
      <c r="D29" s="656"/>
      <c r="E29" s="656"/>
      <c r="F29" s="656"/>
      <c r="G29" s="656"/>
      <c r="H29" s="656"/>
      <c r="I29" s="656"/>
      <c r="J29" s="656"/>
      <c r="K29" s="656"/>
      <c r="L29" s="656"/>
      <c r="M29" s="656"/>
      <c r="N29" s="656"/>
      <c r="O29" s="656"/>
      <c r="P29" s="656"/>
      <c r="Q29" s="656"/>
      <c r="R29" s="656"/>
      <c r="S29" s="656"/>
      <c r="T29" s="656"/>
      <c r="U29" s="656"/>
      <c r="V29" s="656"/>
      <c r="W29" s="656"/>
      <c r="X29" s="656"/>
      <c r="Y29" s="656"/>
      <c r="Z29" s="656"/>
    </row>
    <row r="30" spans="1:26" ht="12.75" hidden="1" customHeight="1" outlineLevel="1" x14ac:dyDescent="0.45">
      <c r="A30" s="656"/>
      <c r="B30" s="656"/>
      <c r="C30" s="664" t="s">
        <v>344</v>
      </c>
      <c r="D30" s="656"/>
      <c r="E30" s="656"/>
      <c r="F30" s="656"/>
      <c r="G30" s="656"/>
      <c r="H30" s="656"/>
      <c r="I30" s="656"/>
      <c r="J30" s="656"/>
      <c r="K30" s="656"/>
      <c r="L30" s="656"/>
      <c r="M30" s="656"/>
      <c r="N30" s="656"/>
      <c r="O30" s="656"/>
      <c r="P30" s="656"/>
      <c r="Q30" s="656"/>
      <c r="R30" s="656"/>
      <c r="S30" s="656"/>
      <c r="T30" s="656"/>
      <c r="U30" s="656"/>
      <c r="V30" s="656"/>
      <c r="W30" s="656"/>
      <c r="X30" s="656"/>
      <c r="Y30" s="656"/>
      <c r="Z30" s="656"/>
    </row>
    <row r="31" spans="1:26" ht="12.75" customHeight="1" collapsed="1" x14ac:dyDescent="0.45">
      <c r="A31" s="656"/>
      <c r="B31" s="656"/>
      <c r="C31" s="656"/>
      <c r="D31" s="656"/>
      <c r="E31" s="656"/>
      <c r="F31" s="656"/>
      <c r="G31" s="656"/>
      <c r="H31" s="656"/>
      <c r="I31" s="656"/>
      <c r="J31" s="656"/>
      <c r="K31" s="656"/>
      <c r="L31" s="656"/>
      <c r="M31" s="656"/>
      <c r="N31" s="656"/>
      <c r="O31" s="656"/>
      <c r="P31" s="763"/>
      <c r="Q31" s="665"/>
      <c r="R31" s="656"/>
      <c r="S31" s="2040" t="s">
        <v>265</v>
      </c>
      <c r="T31" s="2041"/>
      <c r="U31" s="2042"/>
      <c r="V31" s="2049" t="s">
        <v>171</v>
      </c>
      <c r="W31" s="2050"/>
      <c r="X31" s="2051"/>
      <c r="Y31" s="656"/>
      <c r="Z31" s="656"/>
    </row>
    <row r="32" spans="1:26" ht="12.75" customHeight="1" x14ac:dyDescent="0.45">
      <c r="A32" s="656"/>
      <c r="B32" s="656"/>
      <c r="C32" s="671" t="s">
        <v>23</v>
      </c>
      <c r="D32" s="671"/>
      <c r="E32" s="656"/>
      <c r="F32" s="656"/>
      <c r="G32" s="656"/>
      <c r="H32" s="656"/>
      <c r="I32" s="656"/>
      <c r="J32" s="656"/>
      <c r="K32" s="656"/>
      <c r="L32" s="656"/>
      <c r="M32" s="656"/>
      <c r="N32" s="656"/>
      <c r="O32" s="656"/>
      <c r="P32" s="656"/>
      <c r="Q32" s="656"/>
      <c r="R32" s="656"/>
      <c r="S32" s="2046"/>
      <c r="T32" s="2047"/>
      <c r="U32" s="2048"/>
      <c r="V32" s="2037"/>
      <c r="W32" s="2038"/>
      <c r="X32" s="2039"/>
      <c r="Y32" s="656"/>
      <c r="Z32" s="656"/>
    </row>
    <row r="33" spans="1:26" ht="12.75" customHeight="1" x14ac:dyDescent="0.45">
      <c r="A33" s="656"/>
      <c r="B33" s="656"/>
      <c r="C33" s="656"/>
      <c r="D33" s="656" t="s">
        <v>25</v>
      </c>
      <c r="E33" s="656"/>
      <c r="F33" s="656"/>
      <c r="G33" s="656"/>
      <c r="H33" s="656"/>
      <c r="I33" s="656"/>
      <c r="J33" s="656"/>
      <c r="K33" s="656"/>
      <c r="L33" s="656"/>
      <c r="M33" s="656"/>
      <c r="N33" s="656"/>
      <c r="O33" s="656"/>
      <c r="P33" s="656"/>
      <c r="Q33" s="666" t="s">
        <v>14</v>
      </c>
      <c r="R33" s="656"/>
      <c r="S33" s="2024">
        <v>0.3</v>
      </c>
      <c r="T33" s="2025"/>
      <c r="U33" s="2026"/>
      <c r="V33" s="2176">
        <v>0.27500000000000002</v>
      </c>
      <c r="W33" s="2177"/>
      <c r="X33" s="2178"/>
      <c r="Y33" s="768"/>
      <c r="Z33" s="656"/>
    </row>
    <row r="34" spans="1:26" ht="12.75" customHeight="1" x14ac:dyDescent="0.45">
      <c r="A34" s="656"/>
      <c r="B34" s="656"/>
      <c r="C34" s="656"/>
      <c r="D34" s="656" t="s">
        <v>82</v>
      </c>
      <c r="E34" s="656"/>
      <c r="F34" s="656"/>
      <c r="G34" s="656"/>
      <c r="H34" s="656"/>
      <c r="I34" s="656"/>
      <c r="J34" s="656"/>
      <c r="K34" s="656"/>
      <c r="L34" s="656"/>
      <c r="M34" s="656"/>
      <c r="N34" s="656"/>
      <c r="O34" s="656"/>
      <c r="P34" s="656"/>
      <c r="Q34" s="666" t="s">
        <v>14</v>
      </c>
      <c r="R34" s="656"/>
      <c r="S34" s="2219">
        <f>1-S33</f>
        <v>0.7</v>
      </c>
      <c r="T34" s="2220"/>
      <c r="U34" s="2221"/>
      <c r="V34" s="2190">
        <f>1-V33</f>
        <v>0.72499999999999998</v>
      </c>
      <c r="W34" s="2191"/>
      <c r="X34" s="2192"/>
      <c r="Y34" s="768"/>
      <c r="Z34" s="656"/>
    </row>
    <row r="35" spans="1:26" ht="12.75" customHeight="1" x14ac:dyDescent="0.45">
      <c r="A35" s="656"/>
      <c r="B35" s="656"/>
      <c r="C35" s="656"/>
      <c r="D35" s="656"/>
      <c r="E35" s="656" t="s">
        <v>304</v>
      </c>
      <c r="F35" s="656"/>
      <c r="G35" s="656"/>
      <c r="H35" s="656"/>
      <c r="I35" s="656"/>
      <c r="J35" s="656"/>
      <c r="K35" s="656"/>
      <c r="L35" s="656"/>
      <c r="M35" s="656"/>
      <c r="N35" s="656"/>
      <c r="O35" s="656"/>
      <c r="P35" s="656"/>
      <c r="Q35" s="666"/>
      <c r="R35" s="767"/>
      <c r="S35" s="2161" t="str">
        <f>IF(OR(SUM(S33:U34)=1, SUM(S33:U34)=0), "", "Sum must equal 100%")</f>
        <v/>
      </c>
      <c r="T35" s="2162"/>
      <c r="U35" s="2163"/>
      <c r="V35" s="2164" t="str">
        <f>IF(OR(SUM(V33:X34)=1, SUM(V33:X34)=0), "", "Sum must equal 100%")</f>
        <v/>
      </c>
      <c r="W35" s="2165"/>
      <c r="X35" s="2166"/>
      <c r="Y35" s="656"/>
      <c r="Z35" s="656"/>
    </row>
    <row r="36" spans="1:26" ht="12.75" customHeight="1" x14ac:dyDescent="0.45">
      <c r="A36" s="656"/>
      <c r="B36" s="656"/>
      <c r="C36" s="656"/>
      <c r="D36" s="656"/>
      <c r="E36" s="656"/>
      <c r="F36" s="672" t="s">
        <v>264</v>
      </c>
      <c r="G36" s="656"/>
      <c r="H36" s="656"/>
      <c r="I36" s="656"/>
      <c r="J36" s="656"/>
      <c r="K36" s="656"/>
      <c r="L36" s="656"/>
      <c r="M36" s="656"/>
      <c r="N36" s="656"/>
      <c r="O36" s="656"/>
      <c r="P36" s="656"/>
      <c r="Q36" s="666" t="s">
        <v>14</v>
      </c>
      <c r="R36" s="656"/>
      <c r="S36" s="2253" t="str">
        <f>IF(S126="Y", S127, "NA")</f>
        <v>NA</v>
      </c>
      <c r="T36" s="2254"/>
      <c r="U36" s="2255"/>
      <c r="V36" s="2149">
        <v>0.3</v>
      </c>
      <c r="W36" s="2150"/>
      <c r="X36" s="2151"/>
      <c r="Y36" s="656"/>
      <c r="Z36" s="656"/>
    </row>
    <row r="37" spans="1:26" ht="12.75" customHeight="1" x14ac:dyDescent="0.45">
      <c r="A37" s="656"/>
      <c r="B37" s="656"/>
      <c r="C37" s="656"/>
      <c r="D37" s="656"/>
      <c r="E37" s="656"/>
      <c r="F37" s="672" t="s">
        <v>253</v>
      </c>
      <c r="G37" s="656"/>
      <c r="H37" s="656"/>
      <c r="I37" s="656"/>
      <c r="J37" s="656"/>
      <c r="K37" s="656"/>
      <c r="L37" s="656"/>
      <c r="M37" s="656"/>
      <c r="N37" s="656"/>
      <c r="O37" s="656"/>
      <c r="P37" s="656"/>
      <c r="Q37" s="666" t="s">
        <v>14</v>
      </c>
      <c r="R37" s="656"/>
      <c r="S37" s="2253" t="str">
        <f>IF(S128="Y", S129, "NA")</f>
        <v>NA</v>
      </c>
      <c r="T37" s="2254"/>
      <c r="U37" s="2255"/>
      <c r="V37" s="2149" t="str">
        <f>IF(V128="Y",V129, "NA")</f>
        <v>NA</v>
      </c>
      <c r="W37" s="2150"/>
      <c r="X37" s="2151"/>
      <c r="Y37" s="656"/>
      <c r="Z37" s="656"/>
    </row>
    <row r="38" spans="1:26" ht="12.75" customHeight="1" x14ac:dyDescent="0.45">
      <c r="A38" s="656"/>
      <c r="B38" s="656"/>
      <c r="C38" s="658"/>
      <c r="D38" s="658"/>
      <c r="E38" s="656"/>
      <c r="F38" s="658" t="s">
        <v>254</v>
      </c>
      <c r="G38" s="656"/>
      <c r="H38" s="658"/>
      <c r="I38" s="658"/>
      <c r="J38" s="658"/>
      <c r="K38" s="658"/>
      <c r="L38" s="658"/>
      <c r="M38" s="658"/>
      <c r="N38" s="658"/>
      <c r="O38" s="658"/>
      <c r="P38" s="658"/>
      <c r="Q38" s="659" t="s">
        <v>14</v>
      </c>
      <c r="R38" s="656"/>
      <c r="S38" s="2253">
        <f>IF(S34=0,0,1-(SUM(S36,S37)))</f>
        <v>1</v>
      </c>
      <c r="T38" s="2254"/>
      <c r="U38" s="2255"/>
      <c r="V38" s="2149">
        <f>IF(V34=0,0,1-(SUM(V36,V37)))</f>
        <v>0.7</v>
      </c>
      <c r="W38" s="2150"/>
      <c r="X38" s="2151"/>
      <c r="Y38" s="656"/>
      <c r="Z38" s="656"/>
    </row>
    <row r="39" spans="1:26" ht="12.75" customHeight="1" x14ac:dyDescent="0.45">
      <c r="A39" s="656"/>
      <c r="B39" s="656"/>
      <c r="C39" s="671"/>
      <c r="D39" s="656"/>
      <c r="E39" s="656"/>
      <c r="F39" s="656"/>
      <c r="G39" s="656"/>
      <c r="H39" s="656"/>
      <c r="I39" s="656"/>
      <c r="J39" s="656"/>
      <c r="K39" s="656"/>
      <c r="L39" s="656"/>
      <c r="M39" s="656"/>
      <c r="N39" s="656"/>
      <c r="O39" s="656"/>
      <c r="P39" s="656"/>
      <c r="Q39" s="666"/>
      <c r="R39" s="656"/>
      <c r="S39" s="2046"/>
      <c r="T39" s="2047"/>
      <c r="U39" s="2048"/>
      <c r="V39" s="2037"/>
      <c r="W39" s="2038"/>
      <c r="X39" s="2039"/>
      <c r="Y39" s="656"/>
      <c r="Z39" s="656"/>
    </row>
    <row r="40" spans="1:26" ht="12.75" customHeight="1" x14ac:dyDescent="0.45">
      <c r="A40" s="656"/>
      <c r="B40" s="656"/>
      <c r="C40" s="671" t="s">
        <v>46</v>
      </c>
      <c r="D40" s="656"/>
      <c r="E40" s="656"/>
      <c r="F40" s="656"/>
      <c r="G40" s="656"/>
      <c r="H40" s="656"/>
      <c r="I40" s="656"/>
      <c r="J40" s="656"/>
      <c r="K40" s="656"/>
      <c r="L40" s="656"/>
      <c r="M40" s="656"/>
      <c r="N40" s="656"/>
      <c r="O40" s="656"/>
      <c r="P40" s="656"/>
      <c r="Q40" s="656"/>
      <c r="R40" s="656"/>
      <c r="S40" s="2046"/>
      <c r="T40" s="2047"/>
      <c r="U40" s="2048"/>
      <c r="V40" s="2037"/>
      <c r="W40" s="2038"/>
      <c r="X40" s="2039"/>
      <c r="Y40" s="656"/>
      <c r="Z40" s="656"/>
    </row>
    <row r="41" spans="1:26" ht="12.75" customHeight="1" x14ac:dyDescent="0.45">
      <c r="A41" s="656"/>
      <c r="B41" s="656"/>
      <c r="C41" s="656"/>
      <c r="D41" s="656" t="s">
        <v>4</v>
      </c>
      <c r="E41" s="656"/>
      <c r="F41" s="656"/>
      <c r="G41" s="656"/>
      <c r="H41" s="656"/>
      <c r="I41" s="656"/>
      <c r="J41" s="656"/>
      <c r="K41" s="656"/>
      <c r="L41" s="656"/>
      <c r="M41" s="656"/>
      <c r="N41" s="656"/>
      <c r="O41" s="656"/>
      <c r="P41" s="656"/>
      <c r="Q41" s="666" t="s">
        <v>14</v>
      </c>
      <c r="R41" s="656"/>
      <c r="S41" s="2024">
        <v>0.17</v>
      </c>
      <c r="T41" s="2025"/>
      <c r="U41" s="2026"/>
      <c r="V41" s="2198">
        <f>IF(AND(S41&gt;0, V65="Risk Waterfall"), S41+V146+V162,V72)</f>
        <v>0.12994976297665545</v>
      </c>
      <c r="W41" s="2199"/>
      <c r="X41" s="2200"/>
      <c r="Y41" s="656"/>
      <c r="Z41" s="656"/>
    </row>
    <row r="42" spans="1:26" ht="12.75" customHeight="1" x14ac:dyDescent="0.45">
      <c r="A42" s="656"/>
      <c r="B42" s="656"/>
      <c r="C42" s="656"/>
      <c r="D42" s="656" t="s">
        <v>47</v>
      </c>
      <c r="E42" s="656"/>
      <c r="F42" s="656"/>
      <c r="G42" s="656"/>
      <c r="H42" s="656"/>
      <c r="I42" s="656"/>
      <c r="J42" s="656"/>
      <c r="K42" s="656"/>
      <c r="L42" s="656"/>
      <c r="M42" s="656"/>
      <c r="N42" s="656"/>
      <c r="O42" s="656"/>
      <c r="P42" s="656"/>
      <c r="Q42" s="656"/>
      <c r="R42" s="656"/>
      <c r="S42" s="2046"/>
      <c r="T42" s="2047"/>
      <c r="U42" s="2048"/>
      <c r="V42" s="2143"/>
      <c r="W42" s="2144"/>
      <c r="X42" s="2145"/>
      <c r="Y42" s="656"/>
      <c r="Z42" s="656"/>
    </row>
    <row r="43" spans="1:26" ht="12.75" customHeight="1" x14ac:dyDescent="0.45">
      <c r="A43" s="656"/>
      <c r="B43" s="656"/>
      <c r="C43" s="656"/>
      <c r="D43" s="656"/>
      <c r="E43" s="672" t="s">
        <v>264</v>
      </c>
      <c r="F43" s="656"/>
      <c r="G43" s="656"/>
      <c r="H43" s="656"/>
      <c r="I43" s="656"/>
      <c r="J43" s="656"/>
      <c r="K43" s="656"/>
      <c r="L43" s="656"/>
      <c r="M43" s="656"/>
      <c r="N43" s="656"/>
      <c r="O43" s="656"/>
      <c r="P43" s="656"/>
      <c r="Q43" s="666" t="s">
        <v>14</v>
      </c>
      <c r="R43" s="656"/>
      <c r="S43" s="2167" t="str">
        <f>IF(S126="Y", S215,"NA")</f>
        <v>NA</v>
      </c>
      <c r="T43" s="2168"/>
      <c r="U43" s="2169"/>
      <c r="V43" s="2143">
        <f>IF(OR(V36="NA", V36=0),"NA",IF(V66="Risk Waterfall",W83,V74))</f>
        <v>0.04</v>
      </c>
      <c r="W43" s="2144"/>
      <c r="X43" s="2145"/>
      <c r="Y43" s="656"/>
      <c r="Z43" s="656"/>
    </row>
    <row r="44" spans="1:26" ht="12.75" customHeight="1" x14ac:dyDescent="0.45">
      <c r="A44" s="656"/>
      <c r="B44" s="656"/>
      <c r="C44" s="656"/>
      <c r="D44" s="656"/>
      <c r="E44" s="672" t="s">
        <v>253</v>
      </c>
      <c r="F44" s="656"/>
      <c r="G44" s="656"/>
      <c r="H44" s="656"/>
      <c r="I44" s="656"/>
      <c r="J44" s="656"/>
      <c r="K44" s="656"/>
      <c r="L44" s="656"/>
      <c r="M44" s="656"/>
      <c r="N44" s="656"/>
      <c r="O44" s="656"/>
      <c r="P44" s="656"/>
      <c r="Q44" s="666" t="s">
        <v>14</v>
      </c>
      <c r="R44" s="656"/>
      <c r="S44" s="2167" t="str">
        <f>IF(S128="Y", S219,"NA")</f>
        <v>NA</v>
      </c>
      <c r="T44" s="2168"/>
      <c r="U44" s="2169"/>
      <c r="V44" s="2143" t="str">
        <f>IF(OR(V37="NA", V37=0),"NA",IF(V67="Risk Waterfall",X83,V75))</f>
        <v>NA</v>
      </c>
      <c r="W44" s="2144"/>
      <c r="X44" s="2145"/>
      <c r="Y44" s="656"/>
      <c r="Z44" s="656"/>
    </row>
    <row r="45" spans="1:26" ht="12.75" customHeight="1" x14ac:dyDescent="0.45">
      <c r="A45" s="656"/>
      <c r="B45" s="656"/>
      <c r="C45" s="656"/>
      <c r="D45" s="656"/>
      <c r="E45" s="658" t="s">
        <v>254</v>
      </c>
      <c r="F45" s="656"/>
      <c r="G45" s="656"/>
      <c r="H45" s="656"/>
      <c r="I45" s="656"/>
      <c r="J45" s="656"/>
      <c r="K45" s="656"/>
      <c r="L45" s="656"/>
      <c r="M45" s="656"/>
      <c r="N45" s="656"/>
      <c r="O45" s="656"/>
      <c r="P45" s="656"/>
      <c r="Q45" s="666" t="s">
        <v>14</v>
      </c>
      <c r="R45" s="656"/>
      <c r="S45" s="2024">
        <v>0.08</v>
      </c>
      <c r="T45" s="2025"/>
      <c r="U45" s="2026"/>
      <c r="V45" s="2143">
        <f>IF(OR(V38="NA",V38=0),"NA",IF(V68="Risk Waterfall",Y83,V76))</f>
        <v>5.8339140534262486E-2</v>
      </c>
      <c r="W45" s="2144"/>
      <c r="X45" s="2145"/>
      <c r="Y45" s="656"/>
      <c r="Z45" s="656"/>
    </row>
    <row r="46" spans="1:26" ht="12.75" customHeight="1" x14ac:dyDescent="0.45">
      <c r="A46" s="656"/>
      <c r="B46" s="656"/>
      <c r="C46" s="656"/>
      <c r="D46" s="656"/>
      <c r="E46" s="656"/>
      <c r="F46" s="656"/>
      <c r="G46" s="656"/>
      <c r="H46" s="656"/>
      <c r="I46" s="656"/>
      <c r="J46" s="656"/>
      <c r="K46" s="656"/>
      <c r="L46" s="656"/>
      <c r="M46" s="656"/>
      <c r="N46" s="656"/>
      <c r="O46" s="656"/>
      <c r="P46" s="656"/>
      <c r="Q46" s="656"/>
      <c r="R46" s="767"/>
      <c r="S46" s="2146" t="str">
        <f>IF(S38=0,"","Input commercial rate above")</f>
        <v>Input commercial rate above</v>
      </c>
      <c r="T46" s="2147"/>
      <c r="U46" s="2148"/>
      <c r="V46" s="2250" t="str">
        <f>IF(V38=0,"",IF(V68="Manual Entry","","Input commercial loan rate in pre-derisking"))</f>
        <v>Input commercial loan rate in pre-derisking</v>
      </c>
      <c r="W46" s="2251"/>
      <c r="X46" s="2252"/>
      <c r="Y46" s="656"/>
      <c r="Z46" s="656"/>
    </row>
    <row r="47" spans="1:26" ht="12.75" customHeight="1" x14ac:dyDescent="0.45">
      <c r="A47" s="656"/>
      <c r="B47" s="656"/>
      <c r="C47" s="671" t="s">
        <v>26</v>
      </c>
      <c r="D47" s="656"/>
      <c r="E47" s="656"/>
      <c r="F47" s="656"/>
      <c r="G47" s="656"/>
      <c r="H47" s="656"/>
      <c r="I47" s="656"/>
      <c r="J47" s="656"/>
      <c r="K47" s="656"/>
      <c r="L47" s="656"/>
      <c r="M47" s="656"/>
      <c r="N47" s="656"/>
      <c r="O47" s="656"/>
      <c r="P47" s="656"/>
      <c r="Q47" s="656"/>
      <c r="R47" s="656"/>
      <c r="S47" s="2046"/>
      <c r="T47" s="2047"/>
      <c r="U47" s="2048"/>
      <c r="V47" s="2037"/>
      <c r="W47" s="2038"/>
      <c r="X47" s="2039"/>
      <c r="Y47" s="656"/>
      <c r="Z47" s="656"/>
    </row>
    <row r="48" spans="1:26" ht="12.75" customHeight="1" x14ac:dyDescent="0.45">
      <c r="A48" s="656"/>
      <c r="B48" s="656"/>
      <c r="C48" s="656"/>
      <c r="D48" s="672" t="s">
        <v>264</v>
      </c>
      <c r="E48" s="656"/>
      <c r="F48" s="656"/>
      <c r="G48" s="656"/>
      <c r="H48" s="656"/>
      <c r="I48" s="656"/>
      <c r="J48" s="656"/>
      <c r="K48" s="656"/>
      <c r="L48" s="656"/>
      <c r="M48" s="656"/>
      <c r="N48" s="656"/>
      <c r="O48" s="656"/>
      <c r="P48" s="656"/>
      <c r="Q48" s="666" t="s">
        <v>18</v>
      </c>
      <c r="R48" s="656"/>
      <c r="S48" s="2083" t="str">
        <f>IF(S126="Y", S216, "NA")</f>
        <v>NA</v>
      </c>
      <c r="T48" s="2084"/>
      <c r="U48" s="2085"/>
      <c r="V48" s="2228">
        <f>IF(V126="Y", V216, "NA")</f>
        <v>20</v>
      </c>
      <c r="W48" s="2229"/>
      <c r="X48" s="2230"/>
      <c r="Y48" s="656"/>
      <c r="Z48" s="656"/>
    </row>
    <row r="49" spans="1:26" ht="12.75" customHeight="1" x14ac:dyDescent="0.45">
      <c r="A49" s="656"/>
      <c r="B49" s="656"/>
      <c r="C49" s="656"/>
      <c r="D49" s="672" t="s">
        <v>253</v>
      </c>
      <c r="E49" s="656"/>
      <c r="F49" s="656"/>
      <c r="G49" s="656"/>
      <c r="H49" s="656"/>
      <c r="I49" s="656"/>
      <c r="J49" s="656"/>
      <c r="K49" s="656"/>
      <c r="L49" s="656"/>
      <c r="M49" s="656"/>
      <c r="N49" s="656"/>
      <c r="O49" s="656"/>
      <c r="P49" s="656"/>
      <c r="Q49" s="666" t="s">
        <v>18</v>
      </c>
      <c r="R49" s="656"/>
      <c r="S49" s="2083" t="str">
        <f>IF(S128="Y", S220,"NA")</f>
        <v>NA</v>
      </c>
      <c r="T49" s="2084"/>
      <c r="U49" s="2085"/>
      <c r="V49" s="2228" t="str">
        <f>IF(V128="Y", V220, "NA")</f>
        <v>NA</v>
      </c>
      <c r="W49" s="2229"/>
      <c r="X49" s="2230"/>
      <c r="Y49" s="656"/>
      <c r="Z49" s="656"/>
    </row>
    <row r="50" spans="1:26" ht="12.75" customHeight="1" x14ac:dyDescent="0.45">
      <c r="A50" s="656"/>
      <c r="B50" s="656"/>
      <c r="C50" s="656"/>
      <c r="D50" s="658" t="s">
        <v>254</v>
      </c>
      <c r="E50" s="656"/>
      <c r="F50" s="656"/>
      <c r="G50" s="656"/>
      <c r="H50" s="656"/>
      <c r="I50" s="656"/>
      <c r="J50" s="656"/>
      <c r="K50" s="656"/>
      <c r="L50" s="656"/>
      <c r="M50" s="656"/>
      <c r="N50" s="656"/>
      <c r="O50" s="656"/>
      <c r="P50" s="656"/>
      <c r="Q50" s="666" t="s">
        <v>18</v>
      </c>
      <c r="R50" s="656"/>
      <c r="S50" s="2027">
        <v>11</v>
      </c>
      <c r="T50" s="2028"/>
      <c r="U50" s="2029"/>
      <c r="V50" s="2096">
        <v>12</v>
      </c>
      <c r="W50" s="2097"/>
      <c r="X50" s="2098"/>
      <c r="Y50" s="656"/>
      <c r="Z50" s="656"/>
    </row>
    <row r="51" spans="1:26" ht="12.75" customHeight="1" x14ac:dyDescent="0.45">
      <c r="A51" s="656"/>
      <c r="B51" s="656"/>
      <c r="C51" s="656"/>
      <c r="D51" s="656"/>
      <c r="E51" s="656"/>
      <c r="F51" s="656"/>
      <c r="G51" s="656"/>
      <c r="H51" s="656"/>
      <c r="I51" s="656"/>
      <c r="J51" s="656"/>
      <c r="K51" s="656"/>
      <c r="L51" s="656"/>
      <c r="M51" s="656"/>
      <c r="N51" s="656"/>
      <c r="O51" s="656"/>
      <c r="P51" s="656"/>
      <c r="Q51" s="666"/>
      <c r="R51" s="656"/>
      <c r="S51" s="2046"/>
      <c r="T51" s="2047"/>
      <c r="U51" s="2048"/>
      <c r="V51" s="2234"/>
      <c r="W51" s="2235"/>
      <c r="X51" s="2236"/>
      <c r="Y51" s="656"/>
      <c r="Z51" s="656"/>
    </row>
    <row r="52" spans="1:26" ht="12.75" customHeight="1" x14ac:dyDescent="0.45">
      <c r="A52" s="656"/>
      <c r="B52" s="656"/>
      <c r="C52" s="671" t="s">
        <v>292</v>
      </c>
      <c r="D52" s="656"/>
      <c r="E52" s="656"/>
      <c r="F52" s="656"/>
      <c r="G52" s="656"/>
      <c r="H52" s="656"/>
      <c r="I52" s="656"/>
      <c r="J52" s="656"/>
      <c r="K52" s="656"/>
      <c r="L52" s="656"/>
      <c r="M52" s="656"/>
      <c r="N52" s="656"/>
      <c r="O52" s="656"/>
      <c r="P52" s="656"/>
      <c r="Q52" s="666"/>
      <c r="R52" s="656"/>
      <c r="S52" s="2046"/>
      <c r="T52" s="2047"/>
      <c r="U52" s="2048"/>
      <c r="V52" s="2234"/>
      <c r="W52" s="2235"/>
      <c r="X52" s="2236"/>
      <c r="Y52" s="656"/>
      <c r="Z52" s="656"/>
    </row>
    <row r="53" spans="1:26" ht="12.75" customHeight="1" x14ac:dyDescent="0.45">
      <c r="A53" s="656"/>
      <c r="B53" s="656"/>
      <c r="C53" s="656"/>
      <c r="D53" s="672" t="s">
        <v>264</v>
      </c>
      <c r="E53" s="656"/>
      <c r="F53" s="656"/>
      <c r="G53" s="656"/>
      <c r="H53" s="656"/>
      <c r="I53" s="656"/>
      <c r="J53" s="656"/>
      <c r="K53" s="656"/>
      <c r="L53" s="656"/>
      <c r="M53" s="656"/>
      <c r="N53" s="656"/>
      <c r="O53" s="656"/>
      <c r="P53" s="656"/>
      <c r="Q53" s="666" t="s">
        <v>27</v>
      </c>
      <c r="R53" s="656"/>
      <c r="S53" s="2083" t="str">
        <f>IF(S126="Y", S217,"NA")</f>
        <v>NA</v>
      </c>
      <c r="T53" s="2084"/>
      <c r="U53" s="2085"/>
      <c r="V53" s="2228">
        <f>IF(V126="Y", V217,"NA")</f>
        <v>0</v>
      </c>
      <c r="W53" s="2229"/>
      <c r="X53" s="2230"/>
      <c r="Y53" s="656"/>
      <c r="Z53" s="656"/>
    </row>
    <row r="54" spans="1:26" ht="12.75" customHeight="1" x14ac:dyDescent="0.45">
      <c r="A54" s="656"/>
      <c r="B54" s="656"/>
      <c r="C54" s="656"/>
      <c r="D54" s="672" t="s">
        <v>253</v>
      </c>
      <c r="E54" s="656"/>
      <c r="F54" s="656"/>
      <c r="G54" s="656"/>
      <c r="H54" s="656"/>
      <c r="I54" s="656"/>
      <c r="J54" s="656"/>
      <c r="K54" s="656"/>
      <c r="L54" s="656"/>
      <c r="M54" s="656"/>
      <c r="N54" s="656"/>
      <c r="O54" s="656"/>
      <c r="P54" s="656"/>
      <c r="Q54" s="666" t="s">
        <v>27</v>
      </c>
      <c r="R54" s="656"/>
      <c r="S54" s="2083" t="str">
        <f>IF(S128="Y", S221,"NA")</f>
        <v>NA</v>
      </c>
      <c r="T54" s="2084"/>
      <c r="U54" s="2085"/>
      <c r="V54" s="2228" t="str">
        <f>IF(V128="Y",V221,"NA")</f>
        <v>NA</v>
      </c>
      <c r="W54" s="2229"/>
      <c r="X54" s="2230"/>
      <c r="Y54" s="656"/>
      <c r="Z54" s="656"/>
    </row>
    <row r="55" spans="1:26" ht="12.75" customHeight="1" x14ac:dyDescent="0.45">
      <c r="A55" s="656"/>
      <c r="B55" s="656"/>
      <c r="C55" s="656"/>
      <c r="D55" s="658" t="s">
        <v>254</v>
      </c>
      <c r="E55" s="656"/>
      <c r="F55" s="656"/>
      <c r="G55" s="656"/>
      <c r="H55" s="656"/>
      <c r="I55" s="656"/>
      <c r="J55" s="656"/>
      <c r="K55" s="656"/>
      <c r="L55" s="656"/>
      <c r="M55" s="656"/>
      <c r="N55" s="656"/>
      <c r="O55" s="656"/>
      <c r="P55" s="656"/>
      <c r="Q55" s="666" t="s">
        <v>27</v>
      </c>
      <c r="R55" s="656"/>
      <c r="S55" s="2158">
        <v>0</v>
      </c>
      <c r="T55" s="2159"/>
      <c r="U55" s="2160"/>
      <c r="V55" s="2077">
        <v>0</v>
      </c>
      <c r="W55" s="2078"/>
      <c r="X55" s="2079"/>
      <c r="Y55" s="656"/>
      <c r="Z55" s="656"/>
    </row>
    <row r="56" spans="1:26" ht="12.75" customHeight="1" x14ac:dyDescent="0.45">
      <c r="A56" s="656"/>
      <c r="B56" s="656"/>
      <c r="C56" s="656"/>
      <c r="D56" s="656"/>
      <c r="E56" s="656"/>
      <c r="F56" s="656"/>
      <c r="G56" s="656"/>
      <c r="H56" s="656"/>
      <c r="I56" s="656"/>
      <c r="J56" s="656"/>
      <c r="K56" s="656"/>
      <c r="L56" s="656"/>
      <c r="M56" s="656"/>
      <c r="N56" s="656"/>
      <c r="O56" s="656"/>
      <c r="P56" s="656"/>
      <c r="Q56" s="656"/>
      <c r="R56" s="656"/>
      <c r="S56" s="656"/>
      <c r="T56" s="656"/>
      <c r="U56" s="656"/>
      <c r="V56" s="656"/>
      <c r="W56" s="656"/>
      <c r="X56" s="656"/>
      <c r="Y56" s="656"/>
      <c r="Z56" s="656"/>
    </row>
    <row r="57" spans="1:26" ht="12.75" customHeight="1" x14ac:dyDescent="0.45">
      <c r="A57" s="656"/>
      <c r="B57" s="667" t="s">
        <v>342</v>
      </c>
      <c r="C57" s="667"/>
      <c r="D57" s="667"/>
      <c r="E57" s="667"/>
      <c r="F57" s="667"/>
      <c r="G57" s="667"/>
      <c r="H57" s="667"/>
      <c r="I57" s="667"/>
      <c r="J57" s="667"/>
      <c r="K57" s="667"/>
      <c r="L57" s="667"/>
      <c r="M57" s="667"/>
      <c r="N57" s="667"/>
      <c r="O57" s="667"/>
      <c r="P57" s="667"/>
      <c r="Q57" s="667"/>
      <c r="R57" s="667"/>
      <c r="S57" s="667"/>
      <c r="T57" s="667"/>
      <c r="U57" s="667"/>
      <c r="V57" s="667"/>
      <c r="W57" s="667"/>
      <c r="X57" s="667"/>
      <c r="Y57" s="667"/>
      <c r="Z57" s="656"/>
    </row>
    <row r="58" spans="1:26" ht="12.75" customHeight="1" x14ac:dyDescent="0.45">
      <c r="A58" s="656"/>
      <c r="B58" s="656"/>
      <c r="C58" s="656"/>
      <c r="D58" s="656"/>
      <c r="E58" s="656"/>
      <c r="F58" s="656"/>
      <c r="G58" s="656"/>
      <c r="H58" s="656"/>
      <c r="I58" s="656"/>
      <c r="J58" s="656"/>
      <c r="K58" s="656"/>
      <c r="L58" s="656"/>
      <c r="M58" s="656"/>
      <c r="N58" s="656"/>
      <c r="O58" s="656"/>
      <c r="P58" s="656"/>
      <c r="Q58" s="656"/>
      <c r="R58" s="656"/>
      <c r="S58" s="656"/>
      <c r="T58" s="656"/>
      <c r="U58" s="656"/>
      <c r="V58" s="656"/>
      <c r="W58" s="656"/>
      <c r="X58" s="656"/>
      <c r="Y58" s="656"/>
      <c r="Z58" s="656"/>
    </row>
    <row r="59" spans="1:26" ht="12.75" customHeight="1" x14ac:dyDescent="0.45">
      <c r="A59" s="656"/>
      <c r="B59" s="656"/>
      <c r="C59" s="663" t="s">
        <v>655</v>
      </c>
      <c r="D59" s="656"/>
      <c r="E59" s="656"/>
      <c r="F59" s="656"/>
      <c r="G59" s="656"/>
      <c r="H59" s="656"/>
      <c r="I59" s="656"/>
      <c r="J59" s="656"/>
      <c r="K59" s="656"/>
      <c r="L59" s="656"/>
      <c r="M59" s="656"/>
      <c r="N59" s="656"/>
      <c r="O59" s="656"/>
      <c r="P59" s="656"/>
      <c r="Q59" s="656"/>
      <c r="R59" s="656"/>
      <c r="S59" s="656"/>
      <c r="T59" s="656"/>
      <c r="U59" s="656"/>
      <c r="V59" s="656"/>
      <c r="W59" s="656"/>
      <c r="X59" s="656"/>
      <c r="Y59" s="656"/>
      <c r="Z59" s="656"/>
    </row>
    <row r="60" spans="1:26" ht="12.75" hidden="1" customHeight="1" outlineLevel="1" x14ac:dyDescent="0.45">
      <c r="A60" s="656"/>
      <c r="B60" s="656"/>
      <c r="C60" s="664" t="s">
        <v>406</v>
      </c>
      <c r="D60" s="656"/>
      <c r="E60" s="656"/>
      <c r="F60" s="656"/>
      <c r="G60" s="656"/>
      <c r="H60" s="656"/>
      <c r="I60" s="656"/>
      <c r="J60" s="656"/>
      <c r="K60" s="656"/>
      <c r="L60" s="656"/>
      <c r="M60" s="656"/>
      <c r="N60" s="656"/>
      <c r="O60" s="656"/>
      <c r="P60" s="656"/>
      <c r="Q60" s="656"/>
      <c r="R60" s="656"/>
      <c r="S60" s="656"/>
      <c r="T60" s="656"/>
      <c r="U60" s="656"/>
      <c r="V60" s="656"/>
      <c r="W60" s="656"/>
      <c r="X60" s="656"/>
      <c r="Y60" s="656"/>
      <c r="Z60" s="656"/>
    </row>
    <row r="61" spans="1:26" ht="12.75" hidden="1" customHeight="1" outlineLevel="1" x14ac:dyDescent="0.45">
      <c r="A61" s="656"/>
      <c r="B61" s="656"/>
      <c r="C61" s="664" t="s">
        <v>646</v>
      </c>
      <c r="D61" s="656"/>
      <c r="E61" s="656"/>
      <c r="F61" s="656"/>
      <c r="G61" s="656"/>
      <c r="H61" s="656"/>
      <c r="I61" s="656"/>
      <c r="J61" s="656"/>
      <c r="K61" s="656"/>
      <c r="L61" s="656"/>
      <c r="M61" s="656"/>
      <c r="N61" s="656"/>
      <c r="O61" s="656"/>
      <c r="P61" s="656"/>
      <c r="Q61" s="656"/>
      <c r="R61" s="656"/>
      <c r="S61" s="656"/>
      <c r="T61" s="656"/>
      <c r="U61" s="656"/>
      <c r="V61" s="656"/>
      <c r="W61" s="656"/>
      <c r="X61" s="656"/>
      <c r="Y61" s="656"/>
      <c r="Z61" s="656"/>
    </row>
    <row r="62" spans="1:26" ht="12.75" hidden="1" customHeight="1" outlineLevel="1" x14ac:dyDescent="0.45">
      <c r="A62" s="656"/>
      <c r="B62" s="656"/>
      <c r="C62" s="664" t="s">
        <v>647</v>
      </c>
      <c r="D62" s="656"/>
      <c r="E62" s="656"/>
      <c r="F62" s="656"/>
      <c r="G62" s="656"/>
      <c r="H62" s="656"/>
      <c r="I62" s="656"/>
      <c r="J62" s="656"/>
      <c r="K62" s="656"/>
      <c r="L62" s="656"/>
      <c r="M62" s="656"/>
      <c r="N62" s="656"/>
      <c r="O62" s="656"/>
      <c r="P62" s="656"/>
      <c r="Q62" s="656"/>
      <c r="R62" s="656"/>
      <c r="S62" s="656"/>
      <c r="T62" s="656"/>
      <c r="U62" s="656"/>
      <c r="V62" s="656"/>
      <c r="W62" s="656"/>
      <c r="X62" s="656"/>
      <c r="Y62" s="656"/>
      <c r="Z62" s="656"/>
    </row>
    <row r="63" spans="1:26" s="29" customFormat="1" ht="12.75" customHeight="1" collapsed="1" x14ac:dyDescent="0.45">
      <c r="A63" s="658"/>
      <c r="B63" s="658"/>
      <c r="C63" s="658"/>
      <c r="D63" s="660"/>
      <c r="E63" s="658"/>
      <c r="F63" s="658"/>
      <c r="G63" s="658"/>
      <c r="H63" s="658"/>
      <c r="I63" s="658"/>
      <c r="J63" s="658"/>
      <c r="K63" s="658"/>
      <c r="L63" s="658"/>
      <c r="M63" s="658"/>
      <c r="N63" s="658"/>
      <c r="O63" s="658"/>
      <c r="P63" s="658"/>
      <c r="Q63" s="658"/>
      <c r="R63" s="658"/>
      <c r="S63" s="658"/>
      <c r="T63" s="658"/>
      <c r="U63" s="658"/>
      <c r="V63" s="2049" t="s">
        <v>171</v>
      </c>
      <c r="W63" s="2050"/>
      <c r="X63" s="2051"/>
      <c r="Y63" s="658"/>
      <c r="Z63" s="658"/>
    </row>
    <row r="64" spans="1:26" ht="12.75" customHeight="1" x14ac:dyDescent="0.45">
      <c r="A64" s="656"/>
      <c r="B64" s="656"/>
      <c r="C64" s="656" t="s">
        <v>343</v>
      </c>
      <c r="D64" s="656"/>
      <c r="E64" s="656"/>
      <c r="F64" s="656"/>
      <c r="G64" s="656"/>
      <c r="H64" s="656"/>
      <c r="I64" s="656"/>
      <c r="J64" s="656"/>
      <c r="K64" s="656"/>
      <c r="L64" s="656"/>
      <c r="M64" s="656"/>
      <c r="N64" s="656"/>
      <c r="O64" s="656"/>
      <c r="P64" s="656"/>
      <c r="Q64" s="656"/>
      <c r="R64" s="656"/>
      <c r="S64" s="656"/>
      <c r="T64" s="656"/>
      <c r="U64" s="656"/>
      <c r="V64" s="2231"/>
      <c r="W64" s="2232"/>
      <c r="X64" s="2233"/>
      <c r="Y64" s="656"/>
      <c r="Z64" s="656"/>
    </row>
    <row r="65" spans="1:26" ht="12.75" customHeight="1" x14ac:dyDescent="0.45">
      <c r="A65" s="656"/>
      <c r="B65" s="656"/>
      <c r="C65" s="656"/>
      <c r="D65" s="656" t="s">
        <v>4</v>
      </c>
      <c r="E65" s="656"/>
      <c r="F65" s="656"/>
      <c r="G65" s="656"/>
      <c r="H65" s="656"/>
      <c r="I65" s="656"/>
      <c r="J65" s="656"/>
      <c r="K65" s="656"/>
      <c r="L65" s="656"/>
      <c r="M65" s="656"/>
      <c r="N65" s="656"/>
      <c r="O65" s="656"/>
      <c r="P65" s="656"/>
      <c r="Q65" s="656"/>
      <c r="R65" s="656"/>
      <c r="S65" s="656"/>
      <c r="T65" s="656"/>
      <c r="U65" s="656"/>
      <c r="V65" s="2099" t="s">
        <v>217</v>
      </c>
      <c r="W65" s="2100"/>
      <c r="X65" s="2101"/>
      <c r="Y65" s="656"/>
      <c r="Z65" s="656"/>
    </row>
    <row r="66" spans="1:26" ht="12.75" customHeight="1" x14ac:dyDescent="0.45">
      <c r="A66" s="656"/>
      <c r="B66" s="656"/>
      <c r="C66" s="656"/>
      <c r="D66" s="656" t="s">
        <v>327</v>
      </c>
      <c r="E66" s="656"/>
      <c r="F66" s="656"/>
      <c r="G66" s="656"/>
      <c r="H66" s="656"/>
      <c r="I66" s="656"/>
      <c r="J66" s="656"/>
      <c r="K66" s="656"/>
      <c r="L66" s="656"/>
      <c r="M66" s="656"/>
      <c r="N66" s="656"/>
      <c r="O66" s="656"/>
      <c r="P66" s="656"/>
      <c r="Q66" s="656"/>
      <c r="R66" s="656"/>
      <c r="S66" s="656"/>
      <c r="T66" s="656"/>
      <c r="U66" s="656"/>
      <c r="V66" s="2037" t="s">
        <v>654</v>
      </c>
      <c r="W66" s="2038"/>
      <c r="X66" s="2039"/>
      <c r="Y66" s="656"/>
      <c r="Z66" s="656"/>
    </row>
    <row r="67" spans="1:26" ht="12.75" customHeight="1" x14ac:dyDescent="0.45">
      <c r="A67" s="656"/>
      <c r="B67" s="656"/>
      <c r="C67" s="656"/>
      <c r="D67" s="656" t="s">
        <v>328</v>
      </c>
      <c r="E67" s="656"/>
      <c r="F67" s="656"/>
      <c r="G67" s="656"/>
      <c r="H67" s="656"/>
      <c r="I67" s="656"/>
      <c r="J67" s="656"/>
      <c r="K67" s="656"/>
      <c r="L67" s="656"/>
      <c r="M67" s="656"/>
      <c r="N67" s="656"/>
      <c r="O67" s="656"/>
      <c r="P67" s="656"/>
      <c r="Q67" s="656"/>
      <c r="R67" s="656"/>
      <c r="S67" s="656"/>
      <c r="T67" s="656"/>
      <c r="U67" s="656"/>
      <c r="V67" s="2099" t="s">
        <v>217</v>
      </c>
      <c r="W67" s="2100"/>
      <c r="X67" s="2101"/>
      <c r="Y67" s="656"/>
      <c r="Z67" s="656"/>
    </row>
    <row r="68" spans="1:26" ht="12.75" customHeight="1" x14ac:dyDescent="0.45">
      <c r="A68" s="656"/>
      <c r="B68" s="656"/>
      <c r="C68" s="656"/>
      <c r="D68" s="656" t="s">
        <v>329</v>
      </c>
      <c r="E68" s="656"/>
      <c r="F68" s="656"/>
      <c r="G68" s="656"/>
      <c r="H68" s="656"/>
      <c r="I68" s="656"/>
      <c r="J68" s="656"/>
      <c r="K68" s="656"/>
      <c r="L68" s="656"/>
      <c r="M68" s="656"/>
      <c r="N68" s="656"/>
      <c r="O68" s="656"/>
      <c r="P68" s="656"/>
      <c r="Q68" s="656"/>
      <c r="R68" s="656"/>
      <c r="S68" s="656"/>
      <c r="T68" s="656"/>
      <c r="U68" s="656"/>
      <c r="V68" s="2099" t="s">
        <v>217</v>
      </c>
      <c r="W68" s="2100"/>
      <c r="X68" s="2101"/>
      <c r="Y68" s="656"/>
      <c r="Z68" s="656"/>
    </row>
    <row r="69" spans="1:26" ht="12.75" customHeight="1" x14ac:dyDescent="0.45">
      <c r="A69" s="656"/>
      <c r="B69" s="656"/>
      <c r="C69" s="656"/>
      <c r="D69" s="656"/>
      <c r="E69" s="656"/>
      <c r="F69" s="656"/>
      <c r="G69" s="656"/>
      <c r="H69" s="656"/>
      <c r="I69" s="656"/>
      <c r="J69" s="656"/>
      <c r="K69" s="656"/>
      <c r="L69" s="656"/>
      <c r="M69" s="656"/>
      <c r="N69" s="656"/>
      <c r="O69" s="656"/>
      <c r="P69" s="656"/>
      <c r="Q69" s="656"/>
      <c r="R69" s="656"/>
      <c r="S69" s="656"/>
      <c r="T69" s="656"/>
      <c r="U69" s="656"/>
      <c r="V69" s="2037"/>
      <c r="W69" s="2038"/>
      <c r="X69" s="2039"/>
      <c r="Y69" s="656"/>
      <c r="Z69" s="656"/>
    </row>
    <row r="70" spans="1:26" ht="12.75" customHeight="1" x14ac:dyDescent="0.45">
      <c r="A70" s="656"/>
      <c r="B70" s="656"/>
      <c r="C70" s="656" t="s">
        <v>218</v>
      </c>
      <c r="D70" s="656"/>
      <c r="E70" s="656"/>
      <c r="F70" s="656"/>
      <c r="G70" s="656"/>
      <c r="H70" s="656"/>
      <c r="I70" s="656"/>
      <c r="J70" s="656"/>
      <c r="K70" s="656"/>
      <c r="L70" s="656"/>
      <c r="M70" s="656"/>
      <c r="N70" s="656"/>
      <c r="O70" s="656"/>
      <c r="P70" s="656"/>
      <c r="Q70" s="656"/>
      <c r="R70" s="656"/>
      <c r="S70" s="656"/>
      <c r="T70" s="656"/>
      <c r="U70" s="656"/>
      <c r="V70" s="2037"/>
      <c r="W70" s="2038"/>
      <c r="X70" s="2039"/>
      <c r="Y70" s="656"/>
      <c r="Z70" s="656"/>
    </row>
    <row r="71" spans="1:26" ht="12.75" customHeight="1" x14ac:dyDescent="0.45">
      <c r="A71" s="656"/>
      <c r="B71" s="656"/>
      <c r="C71" s="656"/>
      <c r="D71" s="671" t="s">
        <v>46</v>
      </c>
      <c r="E71" s="656"/>
      <c r="F71" s="656"/>
      <c r="G71" s="656"/>
      <c r="H71" s="656"/>
      <c r="I71" s="656"/>
      <c r="J71" s="656"/>
      <c r="K71" s="656"/>
      <c r="L71" s="656"/>
      <c r="M71" s="656"/>
      <c r="N71" s="656"/>
      <c r="O71" s="656"/>
      <c r="P71" s="656"/>
      <c r="Q71" s="656"/>
      <c r="R71" s="656"/>
      <c r="S71" s="656"/>
      <c r="T71" s="656"/>
      <c r="U71" s="656"/>
      <c r="V71" s="2173"/>
      <c r="W71" s="2174"/>
      <c r="X71" s="2175"/>
      <c r="Y71" s="656"/>
      <c r="Z71" s="656"/>
    </row>
    <row r="72" spans="1:26" ht="12.75" customHeight="1" x14ac:dyDescent="0.45">
      <c r="A72" s="656"/>
      <c r="B72" s="656"/>
      <c r="C72" s="656"/>
      <c r="D72" s="656"/>
      <c r="E72" s="656" t="s">
        <v>4</v>
      </c>
      <c r="F72" s="656"/>
      <c r="G72" s="656"/>
      <c r="H72" s="656"/>
      <c r="I72" s="656"/>
      <c r="J72" s="656"/>
      <c r="K72" s="656"/>
      <c r="L72" s="656"/>
      <c r="M72" s="656"/>
      <c r="N72" s="656"/>
      <c r="O72" s="656"/>
      <c r="P72" s="656"/>
      <c r="Q72" s="666" t="s">
        <v>14</v>
      </c>
      <c r="R72" s="656"/>
      <c r="S72" s="656"/>
      <c r="T72" s="656"/>
      <c r="U72" s="656"/>
      <c r="V72" s="2176">
        <v>0</v>
      </c>
      <c r="W72" s="2177"/>
      <c r="X72" s="2178"/>
      <c r="Y72" s="656"/>
      <c r="Z72" s="656"/>
    </row>
    <row r="73" spans="1:26" ht="12.75" customHeight="1" x14ac:dyDescent="0.45">
      <c r="A73" s="656"/>
      <c r="B73" s="656"/>
      <c r="C73" s="656"/>
      <c r="D73" s="656"/>
      <c r="E73" s="656" t="s">
        <v>47</v>
      </c>
      <c r="F73" s="656"/>
      <c r="G73" s="656"/>
      <c r="H73" s="656"/>
      <c r="I73" s="656"/>
      <c r="J73" s="656"/>
      <c r="K73" s="656"/>
      <c r="L73" s="656"/>
      <c r="M73" s="656"/>
      <c r="N73" s="656"/>
      <c r="O73" s="656"/>
      <c r="P73" s="656"/>
      <c r="Q73" s="656"/>
      <c r="R73" s="656"/>
      <c r="S73" s="656"/>
      <c r="T73" s="656"/>
      <c r="U73" s="656"/>
      <c r="V73" s="2173"/>
      <c r="W73" s="2174"/>
      <c r="X73" s="2175"/>
      <c r="Y73" s="656"/>
      <c r="Z73" s="656"/>
    </row>
    <row r="74" spans="1:26" ht="12.75" customHeight="1" x14ac:dyDescent="0.45">
      <c r="A74" s="656"/>
      <c r="B74" s="656"/>
      <c r="C74" s="656"/>
      <c r="D74" s="656"/>
      <c r="E74" s="656"/>
      <c r="F74" s="672" t="s">
        <v>190</v>
      </c>
      <c r="G74" s="656"/>
      <c r="H74" s="656"/>
      <c r="I74" s="672"/>
      <c r="J74" s="672"/>
      <c r="K74" s="656"/>
      <c r="L74" s="656"/>
      <c r="M74" s="656"/>
      <c r="N74" s="656"/>
      <c r="O74" s="656"/>
      <c r="P74" s="656"/>
      <c r="Q74" s="666" t="s">
        <v>14</v>
      </c>
      <c r="R74" s="656"/>
      <c r="S74" s="656"/>
      <c r="T74" s="656"/>
      <c r="U74" s="656"/>
      <c r="V74" s="2176">
        <v>0.04</v>
      </c>
      <c r="W74" s="2177"/>
      <c r="X74" s="2178"/>
      <c r="Y74" s="656"/>
      <c r="Z74" s="656"/>
    </row>
    <row r="75" spans="1:26" ht="12.75" customHeight="1" x14ac:dyDescent="0.45">
      <c r="A75" s="656"/>
      <c r="B75" s="656"/>
      <c r="C75" s="656"/>
      <c r="D75" s="656"/>
      <c r="E75" s="656"/>
      <c r="F75" s="672" t="s">
        <v>289</v>
      </c>
      <c r="G75" s="656"/>
      <c r="H75" s="656"/>
      <c r="I75" s="672"/>
      <c r="J75" s="672"/>
      <c r="K75" s="656"/>
      <c r="L75" s="656"/>
      <c r="M75" s="656"/>
      <c r="N75" s="656"/>
      <c r="O75" s="656"/>
      <c r="P75" s="656"/>
      <c r="Q75" s="666" t="s">
        <v>14</v>
      </c>
      <c r="R75" s="656"/>
      <c r="S75" s="656"/>
      <c r="T75" s="656"/>
      <c r="U75" s="656"/>
      <c r="V75" s="2176">
        <v>0</v>
      </c>
      <c r="W75" s="2177"/>
      <c r="X75" s="2178"/>
      <c r="Y75" s="656"/>
      <c r="Z75" s="656"/>
    </row>
    <row r="76" spans="1:26" ht="12.75" customHeight="1" x14ac:dyDescent="0.45">
      <c r="A76" s="656"/>
      <c r="B76" s="656"/>
      <c r="C76" s="656"/>
      <c r="D76" s="656"/>
      <c r="E76" s="656"/>
      <c r="F76" s="658" t="s">
        <v>290</v>
      </c>
      <c r="G76" s="656"/>
      <c r="H76" s="656"/>
      <c r="I76" s="658"/>
      <c r="J76" s="658"/>
      <c r="K76" s="656"/>
      <c r="L76" s="656"/>
      <c r="M76" s="656"/>
      <c r="N76" s="656"/>
      <c r="O76" s="656"/>
      <c r="P76" s="656"/>
      <c r="Q76" s="666" t="s">
        <v>14</v>
      </c>
      <c r="R76" s="656"/>
      <c r="S76" s="656"/>
      <c r="T76" s="656"/>
      <c r="U76" s="656"/>
      <c r="V76" s="2222">
        <v>0</v>
      </c>
      <c r="W76" s="2223"/>
      <c r="X76" s="2224"/>
      <c r="Y76" s="656"/>
      <c r="Z76" s="656"/>
    </row>
    <row r="77" spans="1:26" ht="12.75" customHeight="1" x14ac:dyDescent="0.45">
      <c r="A77" s="656"/>
      <c r="B77" s="656"/>
      <c r="C77" s="656"/>
      <c r="D77" s="656"/>
      <c r="E77" s="656"/>
      <c r="F77" s="656"/>
      <c r="G77" s="656"/>
      <c r="H77" s="656"/>
      <c r="I77" s="656"/>
      <c r="J77" s="656"/>
      <c r="K77" s="656"/>
      <c r="L77" s="656"/>
      <c r="M77" s="656"/>
      <c r="N77" s="656"/>
      <c r="O77" s="656"/>
      <c r="P77" s="656"/>
      <c r="Q77" s="656"/>
      <c r="R77" s="656"/>
      <c r="S77" s="656"/>
      <c r="T77" s="656"/>
      <c r="U77" s="656"/>
      <c r="V77" s="656"/>
      <c r="W77" s="656"/>
      <c r="X77" s="656"/>
      <c r="Y77" s="656"/>
      <c r="Z77" s="656"/>
    </row>
    <row r="78" spans="1:26" ht="12.75" customHeight="1" x14ac:dyDescent="0.45">
      <c r="A78" s="656"/>
      <c r="B78" s="667" t="s">
        <v>210</v>
      </c>
      <c r="C78" s="667"/>
      <c r="D78" s="667"/>
      <c r="E78" s="667"/>
      <c r="F78" s="667"/>
      <c r="G78" s="667"/>
      <c r="H78" s="667"/>
      <c r="I78" s="667"/>
      <c r="J78" s="667"/>
      <c r="K78" s="667"/>
      <c r="L78" s="667"/>
      <c r="M78" s="667"/>
      <c r="N78" s="667"/>
      <c r="O78" s="667"/>
      <c r="P78" s="667"/>
      <c r="Q78" s="667"/>
      <c r="R78" s="667"/>
      <c r="S78" s="667"/>
      <c r="T78" s="667"/>
      <c r="U78" s="667"/>
      <c r="V78" s="667"/>
      <c r="W78" s="667"/>
      <c r="X78" s="667"/>
      <c r="Y78" s="667"/>
      <c r="Z78" s="656"/>
    </row>
    <row r="79" spans="1:26" ht="12.75" customHeight="1" x14ac:dyDescent="0.45">
      <c r="A79" s="656"/>
      <c r="B79" s="656"/>
      <c r="C79" s="656"/>
      <c r="D79" s="656"/>
      <c r="E79" s="656"/>
      <c r="F79" s="656"/>
      <c r="G79" s="656"/>
      <c r="H79" s="656"/>
      <c r="I79" s="656"/>
      <c r="J79" s="656"/>
      <c r="K79" s="656"/>
      <c r="L79" s="656"/>
      <c r="M79" s="656"/>
      <c r="N79" s="656"/>
      <c r="O79" s="656"/>
      <c r="P79" s="656"/>
      <c r="Q79" s="656"/>
      <c r="R79" s="656"/>
      <c r="S79" s="656"/>
      <c r="T79" s="656"/>
      <c r="U79" s="656"/>
      <c r="V79" s="656"/>
      <c r="W79" s="656"/>
      <c r="X79" s="656"/>
      <c r="Y79" s="656"/>
      <c r="Z79" s="656"/>
    </row>
    <row r="80" spans="1:26" ht="12.75" customHeight="1" x14ac:dyDescent="0.45">
      <c r="A80" s="656"/>
      <c r="B80" s="656"/>
      <c r="C80" s="656"/>
      <c r="D80" s="656"/>
      <c r="E80" s="656"/>
      <c r="F80" s="656"/>
      <c r="G80" s="656"/>
      <c r="H80" s="656"/>
      <c r="I80" s="656"/>
      <c r="J80" s="656"/>
      <c r="K80" s="656"/>
      <c r="L80" s="656"/>
      <c r="M80" s="656"/>
      <c r="N80" s="656"/>
      <c r="O80" s="656"/>
      <c r="P80" s="656"/>
      <c r="Q80" s="656"/>
      <c r="R80" s="2240" t="s">
        <v>170</v>
      </c>
      <c r="S80" s="2241"/>
      <c r="T80" s="2241"/>
      <c r="U80" s="2242"/>
      <c r="V80" s="2237" t="s">
        <v>171</v>
      </c>
      <c r="W80" s="2238"/>
      <c r="X80" s="2238"/>
      <c r="Y80" s="2239"/>
      <c r="Z80" s="656"/>
    </row>
    <row r="81" spans="1:26" ht="12.75" customHeight="1" x14ac:dyDescent="0.45">
      <c r="A81" s="656"/>
      <c r="B81" s="656"/>
      <c r="C81" s="656"/>
      <c r="D81" s="656"/>
      <c r="E81" s="656"/>
      <c r="F81" s="656"/>
      <c r="G81" s="656"/>
      <c r="H81" s="656"/>
      <c r="I81" s="656"/>
      <c r="J81" s="656"/>
      <c r="K81" s="656"/>
      <c r="L81" s="656"/>
      <c r="M81" s="656"/>
      <c r="N81" s="656"/>
      <c r="O81" s="656"/>
      <c r="P81" s="656"/>
      <c r="Q81" s="656"/>
      <c r="R81" s="2179" t="s">
        <v>198</v>
      </c>
      <c r="S81" s="2180"/>
      <c r="T81" s="2180"/>
      <c r="U81" s="2181"/>
      <c r="V81" s="2136" t="s">
        <v>198</v>
      </c>
      <c r="W81" s="2137"/>
      <c r="X81" s="2137"/>
      <c r="Y81" s="2138"/>
      <c r="Z81" s="656"/>
    </row>
    <row r="82" spans="1:26" s="26" customFormat="1" ht="39.4" x14ac:dyDescent="0.45">
      <c r="A82" s="666"/>
      <c r="B82" s="666"/>
      <c r="C82" s="666"/>
      <c r="D82" s="772" t="s">
        <v>71</v>
      </c>
      <c r="E82" s="773"/>
      <c r="F82" s="773"/>
      <c r="G82" s="773"/>
      <c r="H82" s="773"/>
      <c r="I82" s="773"/>
      <c r="J82" s="773"/>
      <c r="K82" s="773"/>
      <c r="L82" s="773"/>
      <c r="M82" s="773"/>
      <c r="N82" s="773"/>
      <c r="O82" s="773"/>
      <c r="P82" s="773"/>
      <c r="Q82" s="774"/>
      <c r="R82" s="412" t="s">
        <v>196</v>
      </c>
      <c r="S82" s="412" t="s">
        <v>187</v>
      </c>
      <c r="T82" s="413" t="s">
        <v>195</v>
      </c>
      <c r="U82" s="414" t="s">
        <v>194</v>
      </c>
      <c r="V82" s="409" t="s">
        <v>196</v>
      </c>
      <c r="W82" s="409" t="s">
        <v>187</v>
      </c>
      <c r="X82" s="410" t="s">
        <v>195</v>
      </c>
      <c r="Y82" s="411" t="s">
        <v>194</v>
      </c>
      <c r="Z82" s="666"/>
    </row>
    <row r="83" spans="1:26" x14ac:dyDescent="0.45">
      <c r="A83" s="656"/>
      <c r="B83" s="656"/>
      <c r="C83" s="656"/>
      <c r="D83" s="775" t="s">
        <v>136</v>
      </c>
      <c r="E83" s="656"/>
      <c r="F83" s="658"/>
      <c r="G83" s="656"/>
      <c r="H83" s="656"/>
      <c r="I83" s="656"/>
      <c r="J83" s="656"/>
      <c r="K83" s="656"/>
      <c r="L83" s="656"/>
      <c r="M83" s="656"/>
      <c r="N83" s="656"/>
      <c r="O83" s="656"/>
      <c r="P83" s="656"/>
      <c r="Q83" s="666" t="s">
        <v>14</v>
      </c>
      <c r="R83" s="716">
        <f>S41</f>
        <v>0.17</v>
      </c>
      <c r="S83" s="717" t="str">
        <f>IF(S215=0, "NA", S215)</f>
        <v>NA</v>
      </c>
      <c r="T83" s="718" t="str">
        <f>IF(S219=0,"NA",S219)</f>
        <v>NA</v>
      </c>
      <c r="U83" s="719">
        <f>IF(S45=0, "NA", S45)</f>
        <v>0.08</v>
      </c>
      <c r="V83" s="720">
        <f>R83-(R102-V102)</f>
        <v>0.12994976297665545</v>
      </c>
      <c r="W83" s="720" t="str">
        <f>IF(S83="NA","NA",SUM(S83)-(S102-W102))</f>
        <v>NA</v>
      </c>
      <c r="X83" s="721" t="str">
        <f>IF(T83="NA","NA",SUM(T83)-(T102-X102))</f>
        <v>NA</v>
      </c>
      <c r="Y83" s="722">
        <f>IF(U83="NA","NA",SUM(U83)-(U102-Y102))</f>
        <v>5.8339140534262486E-2</v>
      </c>
      <c r="Z83" s="656"/>
    </row>
    <row r="84" spans="1:26" x14ac:dyDescent="0.45">
      <c r="A84" s="656"/>
      <c r="B84" s="656"/>
      <c r="C84" s="656"/>
      <c r="D84" s="776" t="s">
        <v>207</v>
      </c>
      <c r="E84" s="777"/>
      <c r="F84" s="777"/>
      <c r="G84" s="777"/>
      <c r="H84" s="777"/>
      <c r="I84" s="777"/>
      <c r="J84" s="777"/>
      <c r="K84" s="777"/>
      <c r="L84" s="777"/>
      <c r="M84" s="777"/>
      <c r="N84" s="777"/>
      <c r="O84" s="777"/>
      <c r="P84" s="777"/>
      <c r="Q84" s="778" t="s">
        <v>14</v>
      </c>
      <c r="R84" s="723">
        <v>7.0000000000000007E-2</v>
      </c>
      <c r="S84" s="723">
        <v>0</v>
      </c>
      <c r="T84" s="724">
        <v>0</v>
      </c>
      <c r="U84" s="725">
        <v>0.03</v>
      </c>
      <c r="V84" s="726">
        <f>$R$84</f>
        <v>7.0000000000000007E-2</v>
      </c>
      <c r="W84" s="726">
        <f>$S$84</f>
        <v>0</v>
      </c>
      <c r="X84" s="727">
        <f>$T$84</f>
        <v>0</v>
      </c>
      <c r="Y84" s="728">
        <f>$U$84</f>
        <v>0.03</v>
      </c>
      <c r="Z84" s="656"/>
    </row>
    <row r="85" spans="1:26" ht="13.15" x14ac:dyDescent="0.45">
      <c r="A85" s="656"/>
      <c r="B85" s="656"/>
      <c r="C85" s="656"/>
      <c r="D85" s="671" t="s">
        <v>73</v>
      </c>
      <c r="E85" s="671"/>
      <c r="F85" s="671"/>
      <c r="G85" s="656"/>
      <c r="H85" s="656"/>
      <c r="I85" s="656"/>
      <c r="J85" s="656"/>
      <c r="K85" s="656"/>
      <c r="L85" s="656"/>
      <c r="M85" s="656"/>
      <c r="N85" s="656"/>
      <c r="O85" s="656"/>
      <c r="P85" s="656"/>
      <c r="Q85" s="666" t="s">
        <v>14</v>
      </c>
      <c r="R85" s="729">
        <f t="shared" ref="R85:Y85" si="0">IF(R83="NA", "NA", SUM(R83)-R84)</f>
        <v>0.1</v>
      </c>
      <c r="S85" s="729" t="str">
        <f t="shared" si="0"/>
        <v>NA</v>
      </c>
      <c r="T85" s="730" t="str">
        <f t="shared" si="0"/>
        <v>NA</v>
      </c>
      <c r="U85" s="730">
        <f t="shared" si="0"/>
        <v>0.05</v>
      </c>
      <c r="V85" s="731">
        <f t="shared" si="0"/>
        <v>5.9949762976655441E-2</v>
      </c>
      <c r="W85" s="731" t="str">
        <f t="shared" si="0"/>
        <v>NA</v>
      </c>
      <c r="X85" s="732" t="str">
        <f t="shared" si="0"/>
        <v>NA</v>
      </c>
      <c r="Y85" s="733">
        <f t="shared" si="0"/>
        <v>2.8339140534262487E-2</v>
      </c>
      <c r="Z85" s="656"/>
    </row>
    <row r="86" spans="1:26" x14ac:dyDescent="0.45">
      <c r="A86" s="656"/>
      <c r="B86" s="656"/>
      <c r="C86" s="656"/>
      <c r="D86" s="656"/>
      <c r="E86" s="656"/>
      <c r="F86" s="656"/>
      <c r="G86" s="656"/>
      <c r="H86" s="656"/>
      <c r="I86" s="656"/>
      <c r="J86" s="656"/>
      <c r="K86" s="656"/>
      <c r="L86" s="656"/>
      <c r="M86" s="656"/>
      <c r="N86" s="656"/>
      <c r="O86" s="656"/>
      <c r="P86" s="656"/>
      <c r="Q86" s="656"/>
      <c r="R86" s="656"/>
      <c r="S86" s="656"/>
      <c r="T86" s="656"/>
      <c r="U86" s="656"/>
      <c r="V86" s="656"/>
      <c r="W86" s="656"/>
      <c r="X86" s="656"/>
      <c r="Y86" s="656"/>
      <c r="Z86" s="656"/>
    </row>
    <row r="87" spans="1:26" x14ac:dyDescent="0.45">
      <c r="A87" s="656"/>
      <c r="B87" s="656"/>
      <c r="C87" s="663" t="s">
        <v>655</v>
      </c>
      <c r="D87" s="656"/>
      <c r="E87" s="656"/>
      <c r="F87" s="656"/>
      <c r="G87" s="656"/>
      <c r="H87" s="656"/>
      <c r="I87" s="656"/>
      <c r="J87" s="656"/>
      <c r="K87" s="656"/>
      <c r="L87" s="656"/>
      <c r="M87" s="656"/>
      <c r="N87" s="656"/>
      <c r="O87" s="656"/>
      <c r="P87" s="656"/>
      <c r="Q87" s="656"/>
      <c r="R87" s="656"/>
      <c r="S87" s="656"/>
      <c r="T87" s="656"/>
      <c r="U87" s="656"/>
      <c r="V87" s="656"/>
      <c r="W87" s="656"/>
      <c r="X87" s="656"/>
      <c r="Y87" s="656"/>
      <c r="Z87" s="656"/>
    </row>
    <row r="88" spans="1:26" hidden="1" outlineLevel="1" x14ac:dyDescent="0.45">
      <c r="A88" s="656"/>
      <c r="B88" s="656"/>
      <c r="C88" s="664" t="s">
        <v>674</v>
      </c>
      <c r="D88" s="656"/>
      <c r="E88" s="656"/>
      <c r="F88" s="656"/>
      <c r="G88" s="656"/>
      <c r="H88" s="656"/>
      <c r="I88" s="656"/>
      <c r="J88" s="656"/>
      <c r="K88" s="656"/>
      <c r="L88" s="656"/>
      <c r="M88" s="656"/>
      <c r="N88" s="656"/>
      <c r="O88" s="656"/>
      <c r="P88" s="656"/>
      <c r="Q88" s="656"/>
      <c r="R88" s="656"/>
      <c r="S88" s="656"/>
      <c r="T88" s="656"/>
      <c r="U88" s="656"/>
      <c r="V88" s="656"/>
      <c r="W88" s="656"/>
      <c r="X88" s="656"/>
      <c r="Y88" s="656"/>
      <c r="Z88" s="656"/>
    </row>
    <row r="89" spans="1:26" hidden="1" outlineLevel="1" x14ac:dyDescent="0.45">
      <c r="A89" s="656"/>
      <c r="B89" s="656"/>
      <c r="C89" s="664" t="s">
        <v>675</v>
      </c>
      <c r="D89" s="656"/>
      <c r="E89" s="656"/>
      <c r="F89" s="656"/>
      <c r="G89" s="656"/>
      <c r="H89" s="656"/>
      <c r="I89" s="656"/>
      <c r="J89" s="656"/>
      <c r="K89" s="656"/>
      <c r="L89" s="656"/>
      <c r="M89" s="656"/>
      <c r="N89" s="656"/>
      <c r="O89" s="656"/>
      <c r="P89" s="656"/>
      <c r="Q89" s="656"/>
      <c r="R89" s="656"/>
      <c r="S89" s="656"/>
      <c r="T89" s="656"/>
      <c r="U89" s="656"/>
      <c r="V89" s="656"/>
      <c r="W89" s="656"/>
      <c r="X89" s="656"/>
      <c r="Y89" s="656"/>
      <c r="Z89" s="656"/>
    </row>
    <row r="90" spans="1:26" ht="13.15" collapsed="1" x14ac:dyDescent="0.45">
      <c r="A90" s="656"/>
      <c r="B90" s="656"/>
      <c r="C90" s="656"/>
      <c r="D90" s="656"/>
      <c r="E90" s="656"/>
      <c r="F90" s="656"/>
      <c r="G90" s="656"/>
      <c r="H90" s="656"/>
      <c r="I90" s="656"/>
      <c r="J90" s="656"/>
      <c r="K90" s="656"/>
      <c r="L90" s="656"/>
      <c r="M90" s="656"/>
      <c r="N90" s="656"/>
      <c r="O90" s="656"/>
      <c r="P90" s="656"/>
      <c r="Q90" s="656"/>
      <c r="R90" s="2240" t="s">
        <v>170</v>
      </c>
      <c r="S90" s="2241"/>
      <c r="T90" s="2241"/>
      <c r="U90" s="2242"/>
      <c r="V90" s="2237" t="s">
        <v>171</v>
      </c>
      <c r="W90" s="2238"/>
      <c r="X90" s="2238"/>
      <c r="Y90" s="2239"/>
      <c r="Z90" s="656"/>
    </row>
    <row r="91" spans="1:26" ht="13.15" x14ac:dyDescent="0.45">
      <c r="A91" s="656"/>
      <c r="B91" s="656"/>
      <c r="C91" s="656"/>
      <c r="D91" s="656"/>
      <c r="E91" s="656"/>
      <c r="F91" s="656"/>
      <c r="G91" s="656"/>
      <c r="H91" s="656"/>
      <c r="I91" s="656"/>
      <c r="J91" s="656"/>
      <c r="K91" s="656"/>
      <c r="L91" s="656"/>
      <c r="M91" s="656"/>
      <c r="N91" s="656"/>
      <c r="O91" s="656"/>
      <c r="P91" s="656"/>
      <c r="Q91" s="656"/>
      <c r="R91" s="2179" t="s">
        <v>198</v>
      </c>
      <c r="S91" s="2180"/>
      <c r="T91" s="2180"/>
      <c r="U91" s="2181"/>
      <c r="V91" s="2136" t="s">
        <v>198</v>
      </c>
      <c r="W91" s="2137"/>
      <c r="X91" s="2137"/>
      <c r="Y91" s="2138"/>
      <c r="Z91" s="656"/>
    </row>
    <row r="92" spans="1:26" ht="48" customHeight="1" x14ac:dyDescent="0.45">
      <c r="A92" s="656"/>
      <c r="B92" s="656"/>
      <c r="C92" s="656"/>
      <c r="D92" s="779" t="s">
        <v>199</v>
      </c>
      <c r="E92" s="668"/>
      <c r="F92" s="667"/>
      <c r="G92" s="668"/>
      <c r="H92" s="668"/>
      <c r="I92" s="668"/>
      <c r="J92" s="668"/>
      <c r="K92" s="668"/>
      <c r="L92" s="668"/>
      <c r="M92" s="668"/>
      <c r="N92" s="668"/>
      <c r="O92" s="668"/>
      <c r="P92" s="668"/>
      <c r="Q92" s="780"/>
      <c r="R92" s="412" t="s">
        <v>196</v>
      </c>
      <c r="S92" s="412" t="s">
        <v>187</v>
      </c>
      <c r="T92" s="413" t="s">
        <v>195</v>
      </c>
      <c r="U92" s="414" t="s">
        <v>194</v>
      </c>
      <c r="V92" s="409" t="str">
        <f>$V$82</f>
        <v>Equity</v>
      </c>
      <c r="W92" s="300" t="str">
        <f>W82</f>
        <v>Public Loan</v>
      </c>
      <c r="X92" s="301" t="str">
        <f>$X$82</f>
        <v>Commercial Loan with Guarantees</v>
      </c>
      <c r="Y92" s="302" t="str">
        <f>$Y$82</f>
        <v>Commercial Loan w/out Guarantees</v>
      </c>
      <c r="Z92" s="656"/>
    </row>
    <row r="93" spans="1:26" x14ac:dyDescent="0.45">
      <c r="A93" s="656"/>
      <c r="B93" s="656"/>
      <c r="C93" s="656"/>
      <c r="D93" s="781" t="s">
        <v>42</v>
      </c>
      <c r="E93" s="656"/>
      <c r="F93" s="656"/>
      <c r="G93" s="656"/>
      <c r="H93" s="656"/>
      <c r="I93" s="656"/>
      <c r="J93" s="656"/>
      <c r="K93" s="656"/>
      <c r="L93" s="656"/>
      <c r="M93" s="656"/>
      <c r="N93" s="656"/>
      <c r="O93" s="656"/>
      <c r="P93" s="656"/>
      <c r="Q93" s="666" t="s">
        <v>14</v>
      </c>
      <c r="R93" s="734">
        <v>2.0169344980769804E-2</v>
      </c>
      <c r="S93" s="734">
        <v>0</v>
      </c>
      <c r="T93" s="735">
        <v>0</v>
      </c>
      <c r="U93" s="736">
        <v>1.2276785714285714E-2</v>
      </c>
      <c r="V93" s="737">
        <f>IF(R93="NA", "NA", (R93+V139))</f>
        <v>1.2605840612981128E-2</v>
      </c>
      <c r="W93" s="738">
        <f t="shared" ref="W93:Y93" si="1">IF(S93="NA", "NA", (S93+W139))</f>
        <v>0</v>
      </c>
      <c r="X93" s="739">
        <f t="shared" si="1"/>
        <v>0</v>
      </c>
      <c r="Y93" s="740">
        <f t="shared" si="1"/>
        <v>7.6729910714285711E-3</v>
      </c>
      <c r="Z93" s="656"/>
    </row>
    <row r="94" spans="1:26" x14ac:dyDescent="0.45">
      <c r="A94" s="656"/>
      <c r="B94" s="656"/>
      <c r="C94" s="656"/>
      <c r="D94" s="781" t="s">
        <v>163</v>
      </c>
      <c r="E94" s="656"/>
      <c r="F94" s="656"/>
      <c r="G94" s="656"/>
      <c r="H94" s="656"/>
      <c r="I94" s="656"/>
      <c r="J94" s="656"/>
      <c r="K94" s="656"/>
      <c r="L94" s="656"/>
      <c r="M94" s="656"/>
      <c r="N94" s="656"/>
      <c r="O94" s="656"/>
      <c r="P94" s="656"/>
      <c r="Q94" s="666" t="s">
        <v>14</v>
      </c>
      <c r="R94" s="734">
        <v>7.5176649473778362E-3</v>
      </c>
      <c r="S94" s="734" t="s">
        <v>200</v>
      </c>
      <c r="T94" s="741" t="s">
        <v>200</v>
      </c>
      <c r="U94" s="736" t="s">
        <v>200</v>
      </c>
      <c r="V94" s="737">
        <f>IF(R94="NA", "NA", (R94+V140))</f>
        <v>5.6382487105333771E-3</v>
      </c>
      <c r="W94" s="737" t="str">
        <f t="shared" ref="W94:Y94" si="2">IF(S94="NA", "NA", (S94+W140))</f>
        <v>NA</v>
      </c>
      <c r="X94" s="742" t="str">
        <f t="shared" si="2"/>
        <v>NA</v>
      </c>
      <c r="Y94" s="743" t="str">
        <f t="shared" si="2"/>
        <v>NA</v>
      </c>
      <c r="Z94" s="656"/>
    </row>
    <row r="95" spans="1:26" x14ac:dyDescent="0.45">
      <c r="A95" s="656"/>
      <c r="B95" s="656"/>
      <c r="C95" s="656"/>
      <c r="D95" s="781" t="s">
        <v>0</v>
      </c>
      <c r="E95" s="656"/>
      <c r="F95" s="656"/>
      <c r="G95" s="656"/>
      <c r="H95" s="656"/>
      <c r="I95" s="656"/>
      <c r="J95" s="656"/>
      <c r="K95" s="656"/>
      <c r="L95" s="656"/>
      <c r="M95" s="656"/>
      <c r="N95" s="656"/>
      <c r="O95" s="656"/>
      <c r="P95" s="656"/>
      <c r="Q95" s="666" t="s">
        <v>14</v>
      </c>
      <c r="R95" s="734">
        <v>6.4458424018365591E-3</v>
      </c>
      <c r="S95" s="734">
        <v>0</v>
      </c>
      <c r="T95" s="741">
        <v>0</v>
      </c>
      <c r="U95" s="736">
        <v>3.9234901277584201E-3</v>
      </c>
      <c r="V95" s="737">
        <f>IF(R95="NA", "NA", (R95+V141))</f>
        <v>4.8343818013774197E-3</v>
      </c>
      <c r="W95" s="737">
        <f t="shared" ref="W95:Y95" si="3">IF(S95="NA", "NA", (S95+W141))</f>
        <v>0</v>
      </c>
      <c r="X95" s="742">
        <f t="shared" si="3"/>
        <v>0</v>
      </c>
      <c r="Y95" s="743">
        <f t="shared" si="3"/>
        <v>2.9426175958188151E-3</v>
      </c>
      <c r="Z95" s="656"/>
    </row>
    <row r="96" spans="1:26" x14ac:dyDescent="0.45">
      <c r="A96" s="656"/>
      <c r="B96" s="656"/>
      <c r="C96" s="656"/>
      <c r="D96" s="781" t="s">
        <v>462</v>
      </c>
      <c r="E96" s="656"/>
      <c r="F96" s="656"/>
      <c r="G96" s="656"/>
      <c r="H96" s="656"/>
      <c r="I96" s="656"/>
      <c r="J96" s="656"/>
      <c r="K96" s="656"/>
      <c r="L96" s="656"/>
      <c r="M96" s="656"/>
      <c r="N96" s="656"/>
      <c r="O96" s="656"/>
      <c r="P96" s="656"/>
      <c r="Q96" s="666" t="s">
        <v>14</v>
      </c>
      <c r="R96" s="734">
        <v>0</v>
      </c>
      <c r="S96" s="734">
        <v>0</v>
      </c>
      <c r="T96" s="741">
        <v>0</v>
      </c>
      <c r="U96" s="736">
        <v>0</v>
      </c>
      <c r="V96" s="737">
        <f>IF(R96="NA", "NA", (R96+V142))</f>
        <v>0</v>
      </c>
      <c r="W96" s="737">
        <f t="shared" ref="W96:Y96" si="4">IF(S96="NA", "NA", (S96+W142))</f>
        <v>0</v>
      </c>
      <c r="X96" s="742">
        <f t="shared" si="4"/>
        <v>0</v>
      </c>
      <c r="Y96" s="743">
        <f t="shared" si="4"/>
        <v>0</v>
      </c>
      <c r="Z96" s="656"/>
    </row>
    <row r="97" spans="1:26" x14ac:dyDescent="0.45">
      <c r="A97" s="656"/>
      <c r="B97" s="656"/>
      <c r="C97" s="656"/>
      <c r="D97" s="781" t="s">
        <v>348</v>
      </c>
      <c r="E97" s="656"/>
      <c r="F97" s="656"/>
      <c r="G97" s="656"/>
      <c r="H97" s="656"/>
      <c r="I97" s="656"/>
      <c r="J97" s="656"/>
      <c r="K97" s="656"/>
      <c r="L97" s="656"/>
      <c r="M97" s="656"/>
      <c r="N97" s="656"/>
      <c r="O97" s="656"/>
      <c r="P97" s="656"/>
      <c r="Q97" s="666" t="s">
        <v>14</v>
      </c>
      <c r="R97" s="734">
        <v>1.1976387108315197E-2</v>
      </c>
      <c r="S97" s="734">
        <v>0</v>
      </c>
      <c r="T97" s="741">
        <v>0</v>
      </c>
      <c r="U97" s="736">
        <v>7.2898519163763073E-3</v>
      </c>
      <c r="V97" s="737">
        <f>IF(R97="NA", "NA", (R97+V143+V154))</f>
        <v>1.4970483885393994E-3</v>
      </c>
      <c r="W97" s="737">
        <f>IF(S97="NA", "NA", (S97+W143+W154))</f>
        <v>0</v>
      </c>
      <c r="X97" s="742">
        <f>IF(T97="NA", "NA", (T97+X143+X154))</f>
        <v>0</v>
      </c>
      <c r="Y97" s="743">
        <f>IF(U97="NA", "NA", (U97+Y143+Y154))</f>
        <v>9.1123148954703852E-4</v>
      </c>
      <c r="Z97" s="656"/>
    </row>
    <row r="98" spans="1:26" x14ac:dyDescent="0.45">
      <c r="A98" s="656"/>
      <c r="B98" s="656"/>
      <c r="C98" s="656"/>
      <c r="D98" s="781" t="s">
        <v>1</v>
      </c>
      <c r="E98" s="656"/>
      <c r="F98" s="656"/>
      <c r="G98" s="656"/>
      <c r="H98" s="656"/>
      <c r="I98" s="656"/>
      <c r="J98" s="656"/>
      <c r="K98" s="656"/>
      <c r="L98" s="656"/>
      <c r="M98" s="656"/>
      <c r="N98" s="656"/>
      <c r="O98" s="656"/>
      <c r="P98" s="656"/>
      <c r="Q98" s="666" t="s">
        <v>14</v>
      </c>
      <c r="R98" s="734">
        <v>1.5017441340449003E-2</v>
      </c>
      <c r="S98" s="734">
        <v>0</v>
      </c>
      <c r="T98" s="741">
        <v>0</v>
      </c>
      <c r="U98" s="736">
        <v>9.1408972125435542E-3</v>
      </c>
      <c r="V98" s="737">
        <f>IF(R98="NA", "NA", (R98+V144+V155+V156+V157))</f>
        <v>3.7543603351122517E-3</v>
      </c>
      <c r="W98" s="737">
        <f>IF(S98="NA", "NA", (S98+W144+W155+W156+W157))</f>
        <v>0</v>
      </c>
      <c r="X98" s="742">
        <f>IF(T98="NA", "NA", (T98+X144+X155+X156+X157))</f>
        <v>0</v>
      </c>
      <c r="Y98" s="743">
        <f>IF(U98="NA", "NA", (U98+Y144+Y155+Y156+Y157))</f>
        <v>2.2852243031358885E-3</v>
      </c>
      <c r="Z98" s="656"/>
    </row>
    <row r="99" spans="1:26" x14ac:dyDescent="0.45">
      <c r="A99" s="656"/>
      <c r="B99" s="656"/>
      <c r="C99" s="656"/>
      <c r="D99" s="781" t="s">
        <v>724</v>
      </c>
      <c r="E99" s="656"/>
      <c r="F99" s="656"/>
      <c r="G99" s="656"/>
      <c r="H99" s="656"/>
      <c r="I99" s="656"/>
      <c r="J99" s="656"/>
      <c r="K99" s="656"/>
      <c r="L99" s="656"/>
      <c r="M99" s="656"/>
      <c r="N99" s="656"/>
      <c r="O99" s="656"/>
      <c r="P99" s="656"/>
      <c r="Q99" s="666" t="s">
        <v>14</v>
      </c>
      <c r="R99" s="734">
        <v>1.0338093676396053E-2</v>
      </c>
      <c r="S99" s="734" t="s">
        <v>200</v>
      </c>
      <c r="T99" s="741" t="s">
        <v>200</v>
      </c>
      <c r="U99" s="736" t="s">
        <v>200</v>
      </c>
      <c r="V99" s="737">
        <f>IF(R99="NA", "NA", (R99+V145+V158+V159))</f>
        <v>7.75357025729704E-3</v>
      </c>
      <c r="W99" s="737" t="str">
        <f>IF(S99="NA", "NA", (S99+W145+W158+W159))</f>
        <v>NA</v>
      </c>
      <c r="X99" s="742" t="str">
        <f>IF(T99="NA", "NA", (T99+X145+X158+X159))</f>
        <v>NA</v>
      </c>
      <c r="Y99" s="743" t="str">
        <f>IF(U99="NA", "NA", (U99+Y145+Y158+Y159))</f>
        <v>NA</v>
      </c>
      <c r="Z99" s="656"/>
    </row>
    <row r="100" spans="1:26" x14ac:dyDescent="0.45">
      <c r="A100" s="656"/>
      <c r="B100" s="656"/>
      <c r="C100" s="656"/>
      <c r="D100" s="781" t="s">
        <v>3</v>
      </c>
      <c r="E100" s="656"/>
      <c r="F100" s="656"/>
      <c r="G100" s="656"/>
      <c r="H100" s="656"/>
      <c r="I100" s="656"/>
      <c r="J100" s="656"/>
      <c r="K100" s="656"/>
      <c r="L100" s="656"/>
      <c r="M100" s="656"/>
      <c r="N100" s="656"/>
      <c r="O100" s="656"/>
      <c r="P100" s="656"/>
      <c r="Q100" s="666" t="s">
        <v>14</v>
      </c>
      <c r="R100" s="734">
        <v>1.91974001967741E-2</v>
      </c>
      <c r="S100" s="734">
        <v>0</v>
      </c>
      <c r="T100" s="741">
        <v>0</v>
      </c>
      <c r="U100" s="736">
        <v>1.168517711962834E-2</v>
      </c>
      <c r="V100" s="737">
        <f t="shared" ref="V100:Y101" si="5">IF(R100="NA", "NA", (R100+V160))</f>
        <v>1.91974001967741E-2</v>
      </c>
      <c r="W100" s="737">
        <f t="shared" si="5"/>
        <v>0</v>
      </c>
      <c r="X100" s="742">
        <f t="shared" si="5"/>
        <v>0</v>
      </c>
      <c r="Y100" s="743">
        <f t="shared" si="5"/>
        <v>1.168517711962834E-2</v>
      </c>
      <c r="Z100" s="656"/>
    </row>
    <row r="101" spans="1:26" x14ac:dyDescent="0.45">
      <c r="A101" s="656"/>
      <c r="B101" s="656"/>
      <c r="C101" s="656"/>
      <c r="D101" s="782" t="s">
        <v>345</v>
      </c>
      <c r="E101" s="777"/>
      <c r="F101" s="777"/>
      <c r="G101" s="777"/>
      <c r="H101" s="777"/>
      <c r="I101" s="777"/>
      <c r="J101" s="777"/>
      <c r="K101" s="777"/>
      <c r="L101" s="777"/>
      <c r="M101" s="777"/>
      <c r="N101" s="777"/>
      <c r="O101" s="777"/>
      <c r="P101" s="777"/>
      <c r="Q101" s="778" t="s">
        <v>14</v>
      </c>
      <c r="R101" s="723">
        <v>9.3378253480814518E-3</v>
      </c>
      <c r="S101" s="734">
        <v>0</v>
      </c>
      <c r="T101" s="741">
        <v>0</v>
      </c>
      <c r="U101" s="744">
        <v>5.6837979094076655E-3</v>
      </c>
      <c r="V101" s="726">
        <f t="shared" si="5"/>
        <v>4.6689126740407259E-3</v>
      </c>
      <c r="W101" s="726">
        <f t="shared" si="5"/>
        <v>0</v>
      </c>
      <c r="X101" s="727">
        <f t="shared" si="5"/>
        <v>0</v>
      </c>
      <c r="Y101" s="728">
        <f t="shared" si="5"/>
        <v>2.8418989547038327E-3</v>
      </c>
      <c r="Z101" s="656"/>
    </row>
    <row r="102" spans="1:26" ht="13.15" x14ac:dyDescent="0.45">
      <c r="A102" s="656"/>
      <c r="B102" s="656"/>
      <c r="C102" s="656"/>
      <c r="D102" s="671" t="s">
        <v>74</v>
      </c>
      <c r="E102" s="677"/>
      <c r="F102" s="671"/>
      <c r="G102" s="656"/>
      <c r="H102" s="656"/>
      <c r="I102" s="656"/>
      <c r="J102" s="656"/>
      <c r="K102" s="656"/>
      <c r="L102" s="656"/>
      <c r="M102" s="656"/>
      <c r="N102" s="656"/>
      <c r="O102" s="656"/>
      <c r="P102" s="656"/>
      <c r="Q102" s="656"/>
      <c r="R102" s="745">
        <f>IF(R85="NA","NA",SUM(R93:R101))</f>
        <v>9.9999999999999992E-2</v>
      </c>
      <c r="S102" s="746" t="str">
        <f>IF(S85="NA","NA",SUM(S93:S101))</f>
        <v>NA</v>
      </c>
      <c r="T102" s="747" t="str">
        <f>IF(T85="NA","NA",SUM(T93:T101))</f>
        <v>NA</v>
      </c>
      <c r="U102" s="748">
        <f>IF(U85="NA","NA",SUM(U93:U101))</f>
        <v>0.05</v>
      </c>
      <c r="V102" s="749">
        <f>SUM(V93:V101)</f>
        <v>5.9949762976655441E-2</v>
      </c>
      <c r="W102" s="749">
        <f>SUM(W93:W101)</f>
        <v>0</v>
      </c>
      <c r="X102" s="750">
        <f>SUM(X93:X101)</f>
        <v>0</v>
      </c>
      <c r="Y102" s="751">
        <f>SUM(Y93:Y101)</f>
        <v>2.8339140534262487E-2</v>
      </c>
      <c r="Z102" s="656"/>
    </row>
    <row r="103" spans="1:26" ht="26.25" customHeight="1" x14ac:dyDescent="0.45">
      <c r="A103" s="656"/>
      <c r="B103" s="656"/>
      <c r="C103" s="656"/>
      <c r="D103" s="656"/>
      <c r="E103" s="656"/>
      <c r="F103" s="656"/>
      <c r="G103" s="656"/>
      <c r="H103" s="656"/>
      <c r="I103" s="656"/>
      <c r="J103" s="656"/>
      <c r="K103" s="656"/>
      <c r="L103" s="656"/>
      <c r="M103" s="656"/>
      <c r="N103" s="656"/>
      <c r="O103" s="656"/>
      <c r="P103" s="656"/>
      <c r="Q103" s="783" t="s">
        <v>321</v>
      </c>
      <c r="R103" s="769" t="str">
        <f>IF(AND(V65="Risk Waterfall", R102&lt;&gt;R85), "Incorrect apportioning", "")</f>
        <v/>
      </c>
      <c r="S103" s="769" t="str">
        <f>IF(AND(V66="Risk Waterfall", S102&lt;&gt;S85), "Incorrect apportioning", "")</f>
        <v/>
      </c>
      <c r="T103" s="769" t="str">
        <f>IF(AND(V67="Risk Waterfall", T102&lt;&gt;T85), "Incorrect apportioning", "")</f>
        <v/>
      </c>
      <c r="U103" s="769" t="str">
        <f>IF(AND(V68="Risk Waterfall", U102&lt;&gt;U85), "Incorrect apportioning", "")</f>
        <v/>
      </c>
      <c r="V103" s="770"/>
      <c r="W103" s="656"/>
      <c r="X103" s="656"/>
      <c r="Y103" s="768"/>
      <c r="Z103" s="656"/>
    </row>
    <row r="104" spans="1:26" x14ac:dyDescent="0.45">
      <c r="A104" s="656"/>
      <c r="B104" s="656"/>
      <c r="C104" s="656"/>
      <c r="D104" s="656"/>
      <c r="E104" s="656"/>
      <c r="F104" s="656"/>
      <c r="G104" s="656"/>
      <c r="H104" s="656"/>
      <c r="I104" s="656"/>
      <c r="J104" s="656"/>
      <c r="K104" s="656"/>
      <c r="L104" s="656"/>
      <c r="M104" s="656"/>
      <c r="N104" s="656"/>
      <c r="O104" s="656"/>
      <c r="P104" s="656"/>
      <c r="Q104" s="656"/>
      <c r="R104" s="656"/>
      <c r="S104" s="656"/>
      <c r="T104" s="771"/>
      <c r="U104" s="656"/>
      <c r="V104" s="656"/>
      <c r="W104" s="656"/>
      <c r="X104" s="656"/>
      <c r="Y104" s="656"/>
      <c r="Z104" s="656"/>
    </row>
    <row r="105" spans="1:26" s="156" customFormat="1" ht="12.75" customHeight="1" x14ac:dyDescent="0.45">
      <c r="A105" s="491" t="s">
        <v>177</v>
      </c>
      <c r="B105" s="491"/>
      <c r="C105" s="491"/>
      <c r="D105" s="491"/>
      <c r="E105" s="491"/>
      <c r="F105" s="491"/>
      <c r="G105" s="491"/>
      <c r="H105" s="491"/>
      <c r="I105" s="491"/>
      <c r="J105" s="491"/>
      <c r="K105" s="491"/>
      <c r="L105" s="491"/>
      <c r="M105" s="517"/>
      <c r="N105" s="492"/>
      <c r="O105" s="492"/>
      <c r="P105" s="492"/>
      <c r="Q105" s="492"/>
      <c r="R105" s="492"/>
      <c r="S105" s="492"/>
      <c r="T105" s="492"/>
      <c r="U105" s="492"/>
      <c r="V105" s="492"/>
      <c r="W105" s="492"/>
      <c r="X105" s="492"/>
      <c r="Y105" s="492"/>
    </row>
    <row r="106" spans="1:26" x14ac:dyDescent="0.45">
      <c r="A106" s="656"/>
      <c r="B106" s="656"/>
      <c r="C106" s="656"/>
      <c r="D106" s="656"/>
      <c r="E106" s="656"/>
      <c r="F106" s="656"/>
      <c r="G106" s="656"/>
      <c r="H106" s="656"/>
      <c r="I106" s="656"/>
      <c r="J106" s="656"/>
      <c r="K106" s="656"/>
      <c r="L106" s="656"/>
      <c r="M106" s="656"/>
      <c r="N106" s="656"/>
      <c r="O106" s="656"/>
      <c r="P106" s="656"/>
      <c r="Q106" s="656"/>
      <c r="R106" s="656"/>
      <c r="S106" s="656"/>
      <c r="T106" s="656"/>
      <c r="U106" s="656"/>
      <c r="V106" s="656"/>
      <c r="W106" s="656"/>
      <c r="X106" s="656"/>
      <c r="Y106" s="656"/>
      <c r="Z106" s="656"/>
    </row>
    <row r="107" spans="1:26" ht="12.75" customHeight="1" x14ac:dyDescent="0.45">
      <c r="A107" s="656"/>
      <c r="B107" s="667" t="s">
        <v>191</v>
      </c>
      <c r="C107" s="667"/>
      <c r="D107" s="668"/>
      <c r="E107" s="668"/>
      <c r="F107" s="668"/>
      <c r="G107" s="668"/>
      <c r="H107" s="668"/>
      <c r="I107" s="668"/>
      <c r="J107" s="668"/>
      <c r="K107" s="668"/>
      <c r="L107" s="668"/>
      <c r="M107" s="667"/>
      <c r="N107" s="667"/>
      <c r="O107" s="667"/>
      <c r="P107" s="669"/>
      <c r="Q107" s="669"/>
      <c r="R107" s="669"/>
      <c r="S107" s="669"/>
      <c r="T107" s="669"/>
      <c r="U107" s="669"/>
      <c r="V107" s="669"/>
      <c r="W107" s="669"/>
      <c r="X107" s="669"/>
      <c r="Y107" s="669"/>
      <c r="Z107" s="656"/>
    </row>
    <row r="108" spans="1:26" ht="12.75" customHeight="1" x14ac:dyDescent="0.45">
      <c r="A108" s="656"/>
      <c r="B108" s="656"/>
      <c r="C108" s="656"/>
      <c r="D108" s="656"/>
      <c r="E108" s="656"/>
      <c r="F108" s="656"/>
      <c r="G108" s="656"/>
      <c r="H108" s="656"/>
      <c r="I108" s="656"/>
      <c r="J108" s="656"/>
      <c r="K108" s="656"/>
      <c r="L108" s="656"/>
      <c r="M108" s="656"/>
      <c r="N108" s="656"/>
      <c r="O108" s="656"/>
      <c r="P108" s="656"/>
      <c r="Q108" s="656"/>
      <c r="R108" s="656"/>
      <c r="S108" s="656"/>
      <c r="T108" s="656"/>
      <c r="U108" s="656"/>
      <c r="V108" s="784"/>
      <c r="W108" s="784"/>
      <c r="X108" s="656"/>
      <c r="Y108" s="656"/>
      <c r="Z108" s="656"/>
    </row>
    <row r="109" spans="1:26" ht="12.75" customHeight="1" x14ac:dyDescent="0.45">
      <c r="A109" s="656"/>
      <c r="B109" s="656"/>
      <c r="C109" s="671" t="s">
        <v>213</v>
      </c>
      <c r="D109" s="656"/>
      <c r="E109" s="656"/>
      <c r="F109" s="656"/>
      <c r="G109" s="656"/>
      <c r="H109" s="656"/>
      <c r="I109" s="656"/>
      <c r="J109" s="656"/>
      <c r="K109" s="656"/>
      <c r="L109" s="656"/>
      <c r="M109" s="656"/>
      <c r="N109" s="656"/>
      <c r="O109" s="656"/>
      <c r="P109" s="656"/>
      <c r="Q109" s="656"/>
      <c r="R109" s="656"/>
      <c r="S109" s="656"/>
      <c r="T109" s="656"/>
      <c r="U109" s="656"/>
      <c r="V109" s="784"/>
      <c r="W109" s="784"/>
      <c r="X109" s="656"/>
      <c r="Y109" s="656"/>
      <c r="Z109" s="656"/>
    </row>
    <row r="110" spans="1:26" ht="12.75" customHeight="1" x14ac:dyDescent="0.45">
      <c r="A110" s="656"/>
      <c r="B110" s="656"/>
      <c r="C110" s="656"/>
      <c r="D110" s="656"/>
      <c r="E110" s="656"/>
      <c r="F110" s="656"/>
      <c r="G110" s="656"/>
      <c r="H110" s="656"/>
      <c r="I110" s="656"/>
      <c r="J110" s="656"/>
      <c r="K110" s="656"/>
      <c r="L110" s="656"/>
      <c r="M110" s="656"/>
      <c r="N110" s="656"/>
      <c r="O110" s="656"/>
      <c r="P110" s="656"/>
      <c r="Q110" s="656"/>
      <c r="R110" s="656"/>
      <c r="S110" s="2001" t="s">
        <v>211</v>
      </c>
      <c r="T110" s="2002"/>
      <c r="U110" s="2002"/>
      <c r="V110" s="2002"/>
      <c r="W110" s="2002"/>
      <c r="X110" s="2003"/>
      <c r="Y110" s="671"/>
      <c r="Z110" s="656"/>
    </row>
    <row r="111" spans="1:26" ht="13.15" x14ac:dyDescent="0.45">
      <c r="A111" s="656"/>
      <c r="B111" s="656"/>
      <c r="C111" s="656"/>
      <c r="D111" s="2108" t="s">
        <v>80</v>
      </c>
      <c r="E111" s="2070"/>
      <c r="F111" s="2070"/>
      <c r="G111" s="2070"/>
      <c r="H111" s="2070"/>
      <c r="I111" s="2070"/>
      <c r="J111" s="2070"/>
      <c r="K111" s="2070"/>
      <c r="L111" s="2070"/>
      <c r="M111" s="2070" t="s">
        <v>275</v>
      </c>
      <c r="N111" s="2018"/>
      <c r="O111" s="2018"/>
      <c r="P111" s="2018"/>
      <c r="Q111" s="2018"/>
      <c r="R111" s="780"/>
      <c r="S111" s="2040" t="s">
        <v>170</v>
      </c>
      <c r="T111" s="2041"/>
      <c r="U111" s="2041"/>
      <c r="V111" s="2049" t="s">
        <v>171</v>
      </c>
      <c r="W111" s="2050"/>
      <c r="X111" s="2051"/>
      <c r="Y111" s="798"/>
      <c r="Z111" s="656"/>
    </row>
    <row r="112" spans="1:26" ht="26.1" customHeight="1" x14ac:dyDescent="0.45">
      <c r="A112" s="656"/>
      <c r="B112" s="656"/>
      <c r="C112" s="656"/>
      <c r="D112" s="2017" t="str">
        <f>$D$93</f>
        <v>Power Market Risk</v>
      </c>
      <c r="E112" s="2018"/>
      <c r="F112" s="2018"/>
      <c r="G112" s="2018"/>
      <c r="H112" s="2018"/>
      <c r="I112" s="2018"/>
      <c r="J112" s="2018"/>
      <c r="K112" s="2018"/>
      <c r="L112" s="2018"/>
      <c r="M112" s="2197" t="s">
        <v>753</v>
      </c>
      <c r="N112" s="2197"/>
      <c r="O112" s="2197"/>
      <c r="P112" s="2197"/>
      <c r="Q112" s="2197"/>
      <c r="R112" s="785"/>
      <c r="S112" s="2060" t="s">
        <v>5</v>
      </c>
      <c r="T112" s="2061"/>
      <c r="U112" s="2062"/>
      <c r="V112" s="2170" t="s">
        <v>5</v>
      </c>
      <c r="W112" s="2171"/>
      <c r="X112" s="2172"/>
      <c r="Y112" s="656"/>
      <c r="Z112" s="656"/>
    </row>
    <row r="113" spans="1:26" ht="26.1" customHeight="1" x14ac:dyDescent="0.45">
      <c r="A113" s="656"/>
      <c r="B113" s="656"/>
      <c r="C113" s="656"/>
      <c r="D113" s="2017" t="str">
        <f>$D$94</f>
        <v>Permits Risk</v>
      </c>
      <c r="E113" s="2018"/>
      <c r="F113" s="2018"/>
      <c r="G113" s="2018"/>
      <c r="H113" s="2018"/>
      <c r="I113" s="2018"/>
      <c r="J113" s="2018"/>
      <c r="K113" s="2018"/>
      <c r="L113" s="2018"/>
      <c r="M113" s="2197" t="s">
        <v>754</v>
      </c>
      <c r="N113" s="2197"/>
      <c r="O113" s="2197"/>
      <c r="P113" s="2197"/>
      <c r="Q113" s="2197"/>
      <c r="R113" s="785"/>
      <c r="S113" s="2060" t="s">
        <v>5</v>
      </c>
      <c r="T113" s="2061"/>
      <c r="U113" s="2062"/>
      <c r="V113" s="2170" t="s">
        <v>5</v>
      </c>
      <c r="W113" s="2171"/>
      <c r="X113" s="2172"/>
      <c r="Y113" s="799"/>
      <c r="Z113" s="656"/>
    </row>
    <row r="114" spans="1:26" ht="26.1" customHeight="1" x14ac:dyDescent="0.45">
      <c r="A114" s="656"/>
      <c r="B114" s="656"/>
      <c r="C114" s="656"/>
      <c r="D114" s="2017" t="str">
        <f>$D$95</f>
        <v>Social Acceptance Risk</v>
      </c>
      <c r="E114" s="2018"/>
      <c r="F114" s="2018"/>
      <c r="G114" s="2018"/>
      <c r="H114" s="2018"/>
      <c r="I114" s="2018"/>
      <c r="J114" s="2018"/>
      <c r="K114" s="2018"/>
      <c r="L114" s="2018"/>
      <c r="M114" s="2197" t="s">
        <v>755</v>
      </c>
      <c r="N114" s="2197"/>
      <c r="O114" s="2197"/>
      <c r="P114" s="2197"/>
      <c r="Q114" s="2197"/>
      <c r="R114" s="785"/>
      <c r="S114" s="2060" t="s">
        <v>6</v>
      </c>
      <c r="T114" s="2061"/>
      <c r="U114" s="2062"/>
      <c r="V114" s="2170" t="s">
        <v>5</v>
      </c>
      <c r="W114" s="2171"/>
      <c r="X114" s="2172"/>
      <c r="Y114" s="799"/>
      <c r="Z114" s="656"/>
    </row>
    <row r="115" spans="1:26" ht="26.1" customHeight="1" x14ac:dyDescent="0.45">
      <c r="A115" s="656"/>
      <c r="B115" s="656"/>
      <c r="C115" s="656"/>
      <c r="D115" s="2142" t="str">
        <f>$D$96</f>
        <v>Developer Risk</v>
      </c>
      <c r="E115" s="2019"/>
      <c r="F115" s="2019"/>
      <c r="G115" s="2019"/>
      <c r="H115" s="2019"/>
      <c r="I115" s="2019"/>
      <c r="J115" s="2019"/>
      <c r="K115" s="2019"/>
      <c r="L115" s="2019"/>
      <c r="M115" s="2197" t="s">
        <v>756</v>
      </c>
      <c r="N115" s="2197"/>
      <c r="O115" s="2197"/>
      <c r="P115" s="2197"/>
      <c r="Q115" s="2197"/>
      <c r="R115" s="785"/>
      <c r="S115" s="2060" t="s">
        <v>6</v>
      </c>
      <c r="T115" s="2061"/>
      <c r="U115" s="2062"/>
      <c r="V115" s="2170" t="s">
        <v>5</v>
      </c>
      <c r="W115" s="2171"/>
      <c r="X115" s="2172"/>
      <c r="Y115" s="799"/>
      <c r="Z115" s="656"/>
    </row>
    <row r="116" spans="1:26" ht="26.1" customHeight="1" x14ac:dyDescent="0.45">
      <c r="A116" s="656"/>
      <c r="B116" s="656"/>
      <c r="C116" s="656"/>
      <c r="D116" s="2017" t="str">
        <f>$D$97</f>
        <v>Grid/Transmission Risk</v>
      </c>
      <c r="E116" s="2018"/>
      <c r="F116" s="2018"/>
      <c r="G116" s="2018"/>
      <c r="H116" s="2018"/>
      <c r="I116" s="2018"/>
      <c r="J116" s="2018"/>
      <c r="K116" s="2018"/>
      <c r="L116" s="2018"/>
      <c r="M116" s="2197" t="s">
        <v>757</v>
      </c>
      <c r="N116" s="2197"/>
      <c r="O116" s="2197"/>
      <c r="P116" s="2197"/>
      <c r="Q116" s="2197"/>
      <c r="R116" s="785"/>
      <c r="S116" s="2060" t="s">
        <v>6</v>
      </c>
      <c r="T116" s="2061"/>
      <c r="U116" s="2062"/>
      <c r="V116" s="2170" t="s">
        <v>5</v>
      </c>
      <c r="W116" s="2171"/>
      <c r="X116" s="2172"/>
      <c r="Y116" s="799"/>
      <c r="Z116" s="656"/>
    </row>
    <row r="117" spans="1:26" ht="26.1" customHeight="1" x14ac:dyDescent="0.45">
      <c r="A117" s="656"/>
      <c r="B117" s="656"/>
      <c r="C117" s="656"/>
      <c r="D117" s="2017" t="str">
        <f>$D$98</f>
        <v>Counterparty Risk</v>
      </c>
      <c r="E117" s="2018"/>
      <c r="F117" s="2018"/>
      <c r="G117" s="2018"/>
      <c r="H117" s="2018"/>
      <c r="I117" s="2018"/>
      <c r="J117" s="2018"/>
      <c r="K117" s="2018"/>
      <c r="L117" s="2018"/>
      <c r="M117" s="2197" t="s">
        <v>758</v>
      </c>
      <c r="N117" s="2197"/>
      <c r="O117" s="2197"/>
      <c r="P117" s="2197"/>
      <c r="Q117" s="2197"/>
      <c r="R117" s="785"/>
      <c r="S117" s="2060" t="s">
        <v>6</v>
      </c>
      <c r="T117" s="2061"/>
      <c r="U117" s="2062"/>
      <c r="V117" s="2170" t="s">
        <v>5</v>
      </c>
      <c r="W117" s="2171"/>
      <c r="X117" s="2172"/>
      <c r="Y117" s="656"/>
      <c r="Z117" s="656"/>
    </row>
    <row r="118" spans="1:26" ht="26.1" customHeight="1" x14ac:dyDescent="0.45">
      <c r="A118" s="656"/>
      <c r="B118" s="656"/>
      <c r="C118" s="656"/>
      <c r="D118" s="2017" t="str">
        <f>$D$99</f>
        <v>Financing Risk</v>
      </c>
      <c r="E118" s="2018"/>
      <c r="F118" s="2018"/>
      <c r="G118" s="2018"/>
      <c r="H118" s="2018"/>
      <c r="I118" s="2018"/>
      <c r="J118" s="2018"/>
      <c r="K118" s="2018"/>
      <c r="L118" s="2018"/>
      <c r="M118" s="2197" t="s">
        <v>759</v>
      </c>
      <c r="N118" s="2197"/>
      <c r="O118" s="2197"/>
      <c r="P118" s="2197"/>
      <c r="Q118" s="2197"/>
      <c r="R118" s="785"/>
      <c r="S118" s="2060" t="s">
        <v>6</v>
      </c>
      <c r="T118" s="2061"/>
      <c r="U118" s="2062"/>
      <c r="V118" s="2170" t="s">
        <v>5</v>
      </c>
      <c r="W118" s="2171"/>
      <c r="X118" s="2172"/>
      <c r="Y118" s="656"/>
      <c r="Z118" s="656"/>
    </row>
    <row r="119" spans="1:26" ht="12.75" customHeight="1" x14ac:dyDescent="0.45">
      <c r="A119" s="656"/>
      <c r="B119" s="656"/>
      <c r="C119" s="656"/>
      <c r="D119" s="656"/>
      <c r="E119" s="656"/>
      <c r="F119" s="656"/>
      <c r="G119" s="656"/>
      <c r="H119" s="656"/>
      <c r="I119" s="656"/>
      <c r="J119" s="656"/>
      <c r="K119" s="656"/>
      <c r="L119" s="656"/>
      <c r="M119" s="656"/>
      <c r="N119" s="656"/>
      <c r="O119" s="656"/>
      <c r="P119" s="656"/>
      <c r="Q119" s="656"/>
      <c r="R119" s="656"/>
      <c r="S119" s="656"/>
      <c r="T119" s="656"/>
      <c r="U119" s="656"/>
      <c r="V119" s="656"/>
      <c r="W119" s="656"/>
      <c r="X119" s="656"/>
      <c r="Y119" s="656"/>
      <c r="Z119" s="656"/>
    </row>
    <row r="120" spans="1:26" ht="12.75" customHeight="1" x14ac:dyDescent="0.45">
      <c r="A120" s="656"/>
      <c r="B120" s="656"/>
      <c r="C120" s="656"/>
      <c r="D120" s="656"/>
      <c r="E120" s="656"/>
      <c r="F120" s="656"/>
      <c r="G120" s="656"/>
      <c r="H120" s="656"/>
      <c r="I120" s="656"/>
      <c r="J120" s="656"/>
      <c r="K120" s="656"/>
      <c r="L120" s="656"/>
      <c r="M120" s="656"/>
      <c r="N120" s="656"/>
      <c r="O120" s="656"/>
      <c r="P120" s="656"/>
      <c r="Q120" s="656"/>
      <c r="R120" s="656"/>
      <c r="S120" s="656"/>
      <c r="T120" s="656"/>
      <c r="U120" s="656"/>
      <c r="V120" s="656"/>
      <c r="W120" s="656"/>
      <c r="X120" s="656"/>
      <c r="Y120" s="656"/>
      <c r="Z120" s="656"/>
    </row>
    <row r="121" spans="1:26" ht="12.75" customHeight="1" x14ac:dyDescent="0.45">
      <c r="A121" s="656"/>
      <c r="B121" s="656"/>
      <c r="C121" s="671" t="s">
        <v>271</v>
      </c>
      <c r="D121" s="656"/>
      <c r="E121" s="656"/>
      <c r="F121" s="656"/>
      <c r="G121" s="656"/>
      <c r="H121" s="656"/>
      <c r="I121" s="656"/>
      <c r="J121" s="656"/>
      <c r="K121" s="656"/>
      <c r="L121" s="656"/>
      <c r="M121" s="656"/>
      <c r="N121" s="656"/>
      <c r="O121" s="656"/>
      <c r="P121" s="656"/>
      <c r="Q121" s="656"/>
      <c r="R121" s="656"/>
      <c r="S121" s="656"/>
      <c r="T121" s="656"/>
      <c r="U121" s="656"/>
      <c r="V121" s="656"/>
      <c r="W121" s="656"/>
      <c r="X121" s="656"/>
      <c r="Y121" s="656"/>
      <c r="Z121" s="656"/>
    </row>
    <row r="122" spans="1:26" ht="12.75" customHeight="1" x14ac:dyDescent="0.45">
      <c r="A122" s="656"/>
      <c r="B122" s="656"/>
      <c r="C122" s="656"/>
      <c r="D122" s="656"/>
      <c r="E122" s="656"/>
      <c r="F122" s="656"/>
      <c r="G122" s="656"/>
      <c r="H122" s="656"/>
      <c r="I122" s="656"/>
      <c r="J122" s="656"/>
      <c r="K122" s="656"/>
      <c r="L122" s="656"/>
      <c r="M122" s="656"/>
      <c r="N122" s="656"/>
      <c r="O122" s="656"/>
      <c r="P122" s="658"/>
      <c r="Q122" s="658"/>
      <c r="R122" s="658"/>
      <c r="S122" s="2001" t="s">
        <v>11</v>
      </c>
      <c r="T122" s="2002"/>
      <c r="U122" s="2002"/>
      <c r="V122" s="2002"/>
      <c r="W122" s="2002"/>
      <c r="X122" s="2003"/>
      <c r="Y122" s="656"/>
      <c r="Z122" s="656"/>
    </row>
    <row r="123" spans="1:26" ht="13.15" x14ac:dyDescent="0.45">
      <c r="A123" s="656"/>
      <c r="B123" s="656"/>
      <c r="C123" s="656"/>
      <c r="D123" s="2108" t="s">
        <v>80</v>
      </c>
      <c r="E123" s="2070"/>
      <c r="F123" s="2070"/>
      <c r="G123" s="2070"/>
      <c r="H123" s="2070"/>
      <c r="I123" s="2070"/>
      <c r="J123" s="2070"/>
      <c r="K123" s="2070"/>
      <c r="L123" s="2070"/>
      <c r="M123" s="667" t="s">
        <v>275</v>
      </c>
      <c r="N123" s="667"/>
      <c r="O123" s="667"/>
      <c r="P123" s="667"/>
      <c r="Q123" s="667"/>
      <c r="R123" s="688"/>
      <c r="S123" s="2040" t="s">
        <v>170</v>
      </c>
      <c r="T123" s="2041"/>
      <c r="U123" s="2042"/>
      <c r="V123" s="2049" t="s">
        <v>171</v>
      </c>
      <c r="W123" s="2050"/>
      <c r="X123" s="2051"/>
      <c r="Y123" s="797"/>
      <c r="Z123" s="656"/>
    </row>
    <row r="124" spans="1:26" ht="26.85" customHeight="1" x14ac:dyDescent="0.45">
      <c r="A124" s="656"/>
      <c r="B124" s="656"/>
      <c r="C124" s="656"/>
      <c r="D124" s="786" t="str">
        <f>D97</f>
        <v>Grid/Transmission Risk</v>
      </c>
      <c r="E124" s="787"/>
      <c r="F124" s="787"/>
      <c r="G124" s="787"/>
      <c r="H124" s="787"/>
      <c r="I124" s="787"/>
      <c r="J124" s="787"/>
      <c r="K124" s="787"/>
      <c r="L124" s="787"/>
      <c r="M124" s="2019" t="s">
        <v>349</v>
      </c>
      <c r="N124" s="2019"/>
      <c r="O124" s="2019"/>
      <c r="P124" s="2019"/>
      <c r="Q124" s="2019"/>
      <c r="R124" s="788"/>
      <c r="S124" s="2060" t="s">
        <v>6</v>
      </c>
      <c r="T124" s="2061"/>
      <c r="U124" s="2062"/>
      <c r="V124" s="2170" t="s">
        <v>5</v>
      </c>
      <c r="W124" s="2171"/>
      <c r="X124" s="2172"/>
      <c r="Y124" s="797"/>
      <c r="Z124" s="656"/>
    </row>
    <row r="125" spans="1:26" ht="26.85" customHeight="1" x14ac:dyDescent="0.45">
      <c r="A125" s="656"/>
      <c r="B125" s="656"/>
      <c r="C125" s="656"/>
      <c r="D125" s="786" t="str">
        <f>D98</f>
        <v>Counterparty Risk</v>
      </c>
      <c r="E125" s="787"/>
      <c r="F125" s="787"/>
      <c r="G125" s="787"/>
      <c r="H125" s="787"/>
      <c r="I125" s="787"/>
      <c r="J125" s="787"/>
      <c r="K125" s="787"/>
      <c r="L125" s="787"/>
      <c r="M125" s="2019" t="s">
        <v>350</v>
      </c>
      <c r="N125" s="2019"/>
      <c r="O125" s="2019"/>
      <c r="P125" s="2019"/>
      <c r="Q125" s="2019"/>
      <c r="R125" s="788"/>
      <c r="S125" s="2060" t="s">
        <v>6</v>
      </c>
      <c r="T125" s="2061"/>
      <c r="U125" s="2062"/>
      <c r="V125" s="2170" t="s">
        <v>5</v>
      </c>
      <c r="W125" s="2171"/>
      <c r="X125" s="2172"/>
      <c r="Y125" s="797"/>
      <c r="Z125" s="656"/>
    </row>
    <row r="126" spans="1:26" ht="13.15" x14ac:dyDescent="0.45">
      <c r="A126" s="656"/>
      <c r="B126" s="656"/>
      <c r="C126" s="656"/>
      <c r="D126" s="2066" t="str">
        <f>D99&amp;" / "&amp;D98</f>
        <v>Financing Risk / Counterparty Risk</v>
      </c>
      <c r="E126" s="2067"/>
      <c r="F126" s="2067"/>
      <c r="G126" s="2067"/>
      <c r="H126" s="2067"/>
      <c r="I126" s="2067"/>
      <c r="J126" s="2067"/>
      <c r="K126" s="2067"/>
      <c r="L126" s="2067"/>
      <c r="M126" s="2067" t="s">
        <v>186</v>
      </c>
      <c r="N126" s="2067"/>
      <c r="O126" s="2067"/>
      <c r="P126" s="2067"/>
      <c r="Q126" s="2067"/>
      <c r="R126" s="789"/>
      <c r="S126" s="2213" t="s">
        <v>6</v>
      </c>
      <c r="T126" s="2214"/>
      <c r="U126" s="2215"/>
      <c r="V126" s="2204" t="s">
        <v>5</v>
      </c>
      <c r="W126" s="2205"/>
      <c r="X126" s="2206"/>
      <c r="Y126" s="797"/>
      <c r="Z126" s="656"/>
    </row>
    <row r="127" spans="1:26" ht="15.75" customHeight="1" x14ac:dyDescent="0.45">
      <c r="A127" s="656"/>
      <c r="B127" s="656"/>
      <c r="C127" s="656"/>
      <c r="D127" s="2068"/>
      <c r="E127" s="2069"/>
      <c r="F127" s="2069"/>
      <c r="G127" s="2069"/>
      <c r="H127" s="2069"/>
      <c r="I127" s="2069"/>
      <c r="J127" s="2069"/>
      <c r="K127" s="2069"/>
      <c r="L127" s="2069"/>
      <c r="M127" s="777"/>
      <c r="N127" s="2071" t="s">
        <v>354</v>
      </c>
      <c r="O127" s="2071"/>
      <c r="P127" s="2071"/>
      <c r="Q127" s="2071"/>
      <c r="R127" s="777"/>
      <c r="S127" s="2210">
        <v>0</v>
      </c>
      <c r="T127" s="2211"/>
      <c r="U127" s="2212"/>
      <c r="V127" s="2201">
        <v>0.3</v>
      </c>
      <c r="W127" s="2202"/>
      <c r="X127" s="2203"/>
      <c r="Y127" s="797"/>
      <c r="Z127" s="656"/>
    </row>
    <row r="128" spans="1:26" ht="13.15" x14ac:dyDescent="0.45">
      <c r="A128" s="656"/>
      <c r="B128" s="656"/>
      <c r="C128" s="656"/>
      <c r="D128" s="2066" t="str">
        <f>D99&amp;" / "&amp;D98</f>
        <v>Financing Risk / Counterparty Risk</v>
      </c>
      <c r="E128" s="2067"/>
      <c r="F128" s="2067"/>
      <c r="G128" s="2067"/>
      <c r="H128" s="2067"/>
      <c r="I128" s="2067"/>
      <c r="J128" s="2067"/>
      <c r="K128" s="2067"/>
      <c r="L128" s="2067"/>
      <c r="M128" s="2067" t="s">
        <v>274</v>
      </c>
      <c r="N128" s="2067"/>
      <c r="O128" s="2067"/>
      <c r="P128" s="2067"/>
      <c r="Q128" s="2067"/>
      <c r="R128" s="789"/>
      <c r="S128" s="2213" t="s">
        <v>6</v>
      </c>
      <c r="T128" s="2214"/>
      <c r="U128" s="2215"/>
      <c r="V128" s="2204" t="s">
        <v>6</v>
      </c>
      <c r="W128" s="2205"/>
      <c r="X128" s="2206"/>
      <c r="Y128" s="797"/>
      <c r="Z128" s="656"/>
    </row>
    <row r="129" spans="1:26" ht="13.15" x14ac:dyDescent="0.45">
      <c r="A129" s="656"/>
      <c r="B129" s="656"/>
      <c r="C129" s="656"/>
      <c r="D129" s="2068"/>
      <c r="E129" s="2069"/>
      <c r="F129" s="2069"/>
      <c r="G129" s="2069"/>
      <c r="H129" s="2069"/>
      <c r="I129" s="2069"/>
      <c r="J129" s="2069"/>
      <c r="K129" s="2069"/>
      <c r="L129" s="2069"/>
      <c r="M129" s="777"/>
      <c r="N129" s="2071" t="s">
        <v>355</v>
      </c>
      <c r="O129" s="2071"/>
      <c r="P129" s="2071"/>
      <c r="Q129" s="2071"/>
      <c r="R129" s="777"/>
      <c r="S129" s="2210">
        <v>0</v>
      </c>
      <c r="T129" s="2211"/>
      <c r="U129" s="2212"/>
      <c r="V129" s="2201">
        <v>0</v>
      </c>
      <c r="W129" s="2202"/>
      <c r="X129" s="2203"/>
      <c r="Y129" s="797"/>
      <c r="Z129" s="656"/>
    </row>
    <row r="130" spans="1:26" ht="27" customHeight="1" x14ac:dyDescent="0.45">
      <c r="A130" s="656"/>
      <c r="B130" s="656"/>
      <c r="C130" s="656"/>
      <c r="D130" s="2017" t="str">
        <f>$D$100</f>
        <v>Political Risk</v>
      </c>
      <c r="E130" s="2018"/>
      <c r="F130" s="2018"/>
      <c r="G130" s="2018"/>
      <c r="H130" s="2018"/>
      <c r="I130" s="2018"/>
      <c r="J130" s="2018"/>
      <c r="K130" s="2018"/>
      <c r="L130" s="2018"/>
      <c r="M130" s="2019" t="s">
        <v>81</v>
      </c>
      <c r="N130" s="2019"/>
      <c r="O130" s="2019"/>
      <c r="P130" s="2019"/>
      <c r="Q130" s="2019"/>
      <c r="R130" s="668"/>
      <c r="S130" s="2060" t="s">
        <v>6</v>
      </c>
      <c r="T130" s="2061"/>
      <c r="U130" s="2062"/>
      <c r="V130" s="2170" t="s">
        <v>6</v>
      </c>
      <c r="W130" s="2171"/>
      <c r="X130" s="2172"/>
      <c r="Y130" s="797"/>
      <c r="Z130" s="656"/>
    </row>
    <row r="131" spans="1:26" ht="27" customHeight="1" x14ac:dyDescent="0.45">
      <c r="A131" s="656"/>
      <c r="B131" s="656"/>
      <c r="C131" s="656"/>
      <c r="D131" s="2142" t="str">
        <f>D101</f>
        <v>Currency/Macro Risk</v>
      </c>
      <c r="E131" s="2019"/>
      <c r="F131" s="2019"/>
      <c r="G131" s="2019"/>
      <c r="H131" s="2019"/>
      <c r="I131" s="2019"/>
      <c r="J131" s="2019"/>
      <c r="K131" s="2019"/>
      <c r="L131" s="2019"/>
      <c r="M131" s="2019" t="s">
        <v>351</v>
      </c>
      <c r="N131" s="2019"/>
      <c r="O131" s="2019"/>
      <c r="P131" s="2019"/>
      <c r="Q131" s="2019"/>
      <c r="R131" s="785"/>
      <c r="S131" s="2060" t="s">
        <v>6</v>
      </c>
      <c r="T131" s="2061"/>
      <c r="U131" s="2062"/>
      <c r="V131" s="2170" t="s">
        <v>5</v>
      </c>
      <c r="W131" s="2171"/>
      <c r="X131" s="2172"/>
      <c r="Y131" s="797"/>
      <c r="Z131" s="656"/>
    </row>
    <row r="132" spans="1:26" x14ac:dyDescent="0.45">
      <c r="A132" s="656"/>
      <c r="B132" s="656"/>
      <c r="C132" s="656"/>
      <c r="D132" s="656"/>
      <c r="E132" s="656"/>
      <c r="F132" s="656"/>
      <c r="G132" s="656"/>
      <c r="H132" s="656"/>
      <c r="I132" s="656"/>
      <c r="J132" s="656"/>
      <c r="K132" s="656"/>
      <c r="L132" s="656"/>
      <c r="M132" s="656"/>
      <c r="N132" s="656"/>
      <c r="O132" s="656"/>
      <c r="P132" s="656"/>
      <c r="Q132" s="656"/>
      <c r="R132" s="656"/>
      <c r="S132" s="656"/>
      <c r="T132" s="656"/>
      <c r="U132" s="656"/>
      <c r="V132" s="656"/>
      <c r="W132" s="656"/>
      <c r="X132" s="656"/>
      <c r="Y132" s="656"/>
      <c r="Z132" s="656"/>
    </row>
    <row r="133" spans="1:26" x14ac:dyDescent="0.45">
      <c r="A133" s="656"/>
      <c r="B133" s="656"/>
      <c r="C133" s="656"/>
      <c r="D133" s="656"/>
      <c r="E133" s="656"/>
      <c r="F133" s="656"/>
      <c r="G133" s="656"/>
      <c r="H133" s="656"/>
      <c r="I133" s="656"/>
      <c r="J133" s="656"/>
      <c r="K133" s="656"/>
      <c r="L133" s="656"/>
      <c r="M133" s="656"/>
      <c r="N133" s="656"/>
      <c r="O133" s="656"/>
      <c r="P133" s="656"/>
      <c r="Q133" s="656"/>
      <c r="R133" s="656"/>
      <c r="S133" s="656"/>
      <c r="T133" s="656"/>
      <c r="U133" s="656"/>
      <c r="V133" s="656"/>
      <c r="W133" s="656"/>
      <c r="X133" s="656"/>
      <c r="Y133" s="656"/>
      <c r="Z133" s="656"/>
    </row>
    <row r="134" spans="1:26" ht="18" customHeight="1" x14ac:dyDescent="0.45">
      <c r="A134" s="656"/>
      <c r="B134" s="667" t="s">
        <v>208</v>
      </c>
      <c r="C134" s="667"/>
      <c r="D134" s="668"/>
      <c r="E134" s="668"/>
      <c r="F134" s="668"/>
      <c r="G134" s="668"/>
      <c r="H134" s="668"/>
      <c r="I134" s="668"/>
      <c r="J134" s="668"/>
      <c r="K134" s="668"/>
      <c r="L134" s="668"/>
      <c r="M134" s="667"/>
      <c r="N134" s="667"/>
      <c r="O134" s="667"/>
      <c r="P134" s="669"/>
      <c r="Q134" s="669"/>
      <c r="R134" s="669"/>
      <c r="S134" s="669"/>
      <c r="T134" s="669"/>
      <c r="U134" s="669"/>
      <c r="V134" s="669"/>
      <c r="W134" s="669"/>
      <c r="X134" s="669"/>
      <c r="Y134" s="669"/>
      <c r="Z134" s="656"/>
    </row>
    <row r="135" spans="1:26" x14ac:dyDescent="0.45">
      <c r="A135" s="656"/>
      <c r="B135" s="656"/>
      <c r="C135" s="656"/>
      <c r="D135" s="656"/>
      <c r="E135" s="656"/>
      <c r="F135" s="656"/>
      <c r="G135" s="656"/>
      <c r="H135" s="656"/>
      <c r="I135" s="656"/>
      <c r="J135" s="656"/>
      <c r="K135" s="656"/>
      <c r="L135" s="656"/>
      <c r="M135" s="656"/>
      <c r="N135" s="656"/>
      <c r="O135" s="656"/>
      <c r="P135" s="680"/>
      <c r="Q135" s="656"/>
      <c r="R135" s="656"/>
      <c r="S135" s="656"/>
      <c r="T135" s="656"/>
      <c r="U135" s="656"/>
      <c r="V135" s="656"/>
      <c r="W135" s="656"/>
      <c r="X135" s="793"/>
      <c r="Y135" s="793"/>
      <c r="Z135" s="656"/>
    </row>
    <row r="136" spans="1:26" ht="13.15" x14ac:dyDescent="0.45">
      <c r="A136" s="656"/>
      <c r="B136" s="656"/>
      <c r="C136" s="671" t="s">
        <v>213</v>
      </c>
      <c r="D136" s="656"/>
      <c r="E136" s="656"/>
      <c r="F136" s="656"/>
      <c r="G136" s="656"/>
      <c r="H136" s="656"/>
      <c r="I136" s="656"/>
      <c r="J136" s="656"/>
      <c r="K136" s="656"/>
      <c r="L136" s="656"/>
      <c r="M136" s="656"/>
      <c r="N136" s="656"/>
      <c r="O136" s="656"/>
      <c r="P136" s="680"/>
      <c r="Q136" s="656"/>
      <c r="R136" s="656"/>
      <c r="S136" s="656"/>
      <c r="T136" s="656"/>
      <c r="U136" s="656"/>
      <c r="V136" s="656"/>
      <c r="W136" s="656"/>
      <c r="X136" s="793"/>
      <c r="Y136" s="793"/>
      <c r="Z136" s="656"/>
    </row>
    <row r="137" spans="1:26" ht="26.25" customHeight="1" x14ac:dyDescent="0.45">
      <c r="A137" s="656"/>
      <c r="B137" s="656"/>
      <c r="C137" s="656"/>
      <c r="D137" s="656"/>
      <c r="E137" s="656"/>
      <c r="F137" s="656"/>
      <c r="G137" s="656"/>
      <c r="H137" s="656"/>
      <c r="I137" s="656"/>
      <c r="J137" s="656"/>
      <c r="K137" s="656"/>
      <c r="L137" s="656"/>
      <c r="M137" s="656"/>
      <c r="N137" s="656"/>
      <c r="O137" s="656"/>
      <c r="P137" s="656"/>
      <c r="Q137" s="656"/>
      <c r="R137" s="656"/>
      <c r="S137" s="2139" t="s">
        <v>75</v>
      </c>
      <c r="T137" s="2140"/>
      <c r="U137" s="2141"/>
      <c r="V137" s="2216" t="s">
        <v>206</v>
      </c>
      <c r="W137" s="2217"/>
      <c r="X137" s="2217"/>
      <c r="Y137" s="2218"/>
      <c r="Z137" s="656"/>
    </row>
    <row r="138" spans="1:26" ht="39.4" x14ac:dyDescent="0.45">
      <c r="A138" s="656"/>
      <c r="B138" s="656"/>
      <c r="C138" s="656"/>
      <c r="D138" s="2108" t="s">
        <v>80</v>
      </c>
      <c r="E138" s="2018"/>
      <c r="F138" s="2018"/>
      <c r="G138" s="2018"/>
      <c r="H138" s="2018"/>
      <c r="I138" s="2018"/>
      <c r="J138" s="2018"/>
      <c r="K138" s="2018"/>
      <c r="L138" s="2018"/>
      <c r="M138" s="2070" t="s">
        <v>276</v>
      </c>
      <c r="N138" s="2070"/>
      <c r="O138" s="2070"/>
      <c r="P138" s="2070"/>
      <c r="Q138" s="2070"/>
      <c r="R138" s="780"/>
      <c r="S138" s="145" t="s">
        <v>277</v>
      </c>
      <c r="T138" s="145" t="s">
        <v>278</v>
      </c>
      <c r="U138" s="145" t="s">
        <v>183</v>
      </c>
      <c r="V138" s="145" t="str">
        <f>$V$82</f>
        <v>Equity</v>
      </c>
      <c r="W138" s="146" t="str">
        <f>$W$82</f>
        <v>Public Loan</v>
      </c>
      <c r="X138" s="147" t="str">
        <f>$X$82</f>
        <v>Commercial Loan with Guarantees</v>
      </c>
      <c r="Y138" s="148" t="str">
        <f>$Y$82</f>
        <v>Commercial Loan w/out Guarantees</v>
      </c>
      <c r="Z138" s="656"/>
    </row>
    <row r="139" spans="1:26" ht="26.1" customHeight="1" x14ac:dyDescent="0.45">
      <c r="A139" s="656"/>
      <c r="B139" s="656"/>
      <c r="C139" s="656"/>
      <c r="D139" s="2017" t="str">
        <f>$D$93</f>
        <v>Power Market Risk</v>
      </c>
      <c r="E139" s="2018"/>
      <c r="F139" s="2018"/>
      <c r="G139" s="2018"/>
      <c r="H139" s="2018"/>
      <c r="I139" s="2018"/>
      <c r="J139" s="2018"/>
      <c r="K139" s="2018"/>
      <c r="L139" s="2018"/>
      <c r="M139" s="2019" t="str">
        <f>$M$112</f>
        <v>Long term targets; regulatory framework; standardised PPA; independent regulator</v>
      </c>
      <c r="N139" s="2019"/>
      <c r="O139" s="2019"/>
      <c r="P139" s="2019"/>
      <c r="Q139" s="2019"/>
      <c r="R139" s="780"/>
      <c r="S139" s="190">
        <v>0.75</v>
      </c>
      <c r="T139" s="190">
        <v>0.75</v>
      </c>
      <c r="U139" s="191">
        <v>0.5</v>
      </c>
      <c r="V139" s="149">
        <f t="shared" ref="V139:V145" si="6">IF(V112="Y", -(SUM(R93)*S139*(1-U139)),0)</f>
        <v>-7.5635043677886767E-3</v>
      </c>
      <c r="W139" s="162">
        <f>IF($V$112="Y", -(SUM(S93)*$T$139*(1-$U$139)),0)</f>
        <v>0</v>
      </c>
      <c r="X139" s="163">
        <f>IF($V$112="Y", -(SUM(T93)*$T$139*(1-$U$139)),0)</f>
        <v>0</v>
      </c>
      <c r="Y139" s="161">
        <f>IF($V$112="Y", -(SUM(U93)*$T$139*(1-$U$139)),0)</f>
        <v>-4.603794642857143E-3</v>
      </c>
      <c r="Z139" s="656"/>
    </row>
    <row r="140" spans="1:26" ht="26.1" customHeight="1" x14ac:dyDescent="0.45">
      <c r="A140" s="656"/>
      <c r="B140" s="656"/>
      <c r="C140" s="656"/>
      <c r="D140" s="2017" t="str">
        <f>$D$94</f>
        <v>Permits Risk</v>
      </c>
      <c r="E140" s="2018"/>
      <c r="F140" s="2018"/>
      <c r="G140" s="2018"/>
      <c r="H140" s="2018"/>
      <c r="I140" s="2018"/>
      <c r="J140" s="2018"/>
      <c r="K140" s="2018"/>
      <c r="L140" s="2018"/>
      <c r="M140" s="2019" t="str">
        <f>$M$113</f>
        <v>Streamlined process for permits; Establish a dedicated one-stop shop for RE permits; contract enforcement and recourse mechanisms</v>
      </c>
      <c r="N140" s="2019"/>
      <c r="O140" s="2019"/>
      <c r="P140" s="2019"/>
      <c r="Q140" s="2019"/>
      <c r="R140" s="780"/>
      <c r="S140" s="190">
        <v>0.5</v>
      </c>
      <c r="T140" s="190">
        <v>0</v>
      </c>
      <c r="U140" s="191">
        <v>0.5</v>
      </c>
      <c r="V140" s="149">
        <f t="shared" si="6"/>
        <v>-1.879416236844459E-3</v>
      </c>
      <c r="W140" s="162">
        <f>IF($V$113="Y", -(SUM(S94)*$T$140*(1-$U$140)),0)</f>
        <v>0</v>
      </c>
      <c r="X140" s="163">
        <f>IF($V$113="Y", -(SUM(T94)*$T$140*(1-$U$140)),0)</f>
        <v>0</v>
      </c>
      <c r="Y140" s="161">
        <f>IF($V$113="Y", -(SUM(U94)*$T$140*(1-$U$140)),0)</f>
        <v>0</v>
      </c>
      <c r="Z140" s="656"/>
    </row>
    <row r="141" spans="1:26" ht="26.1" customHeight="1" x14ac:dyDescent="0.45">
      <c r="A141" s="656"/>
      <c r="B141" s="656"/>
      <c r="C141" s="656"/>
      <c r="D141" s="2017" t="str">
        <f>$D$95</f>
        <v>Social Acceptance Risk</v>
      </c>
      <c r="E141" s="2018"/>
      <c r="F141" s="2018"/>
      <c r="G141" s="2018"/>
      <c r="H141" s="2018"/>
      <c r="I141" s="2018"/>
      <c r="J141" s="2018"/>
      <c r="K141" s="2018"/>
      <c r="L141" s="2018"/>
      <c r="M141" s="2019" t="str">
        <f>$M$114</f>
        <v>Awareness-raising campaigns targeting communities and end-users; pilot models for community involvement at project sites</v>
      </c>
      <c r="N141" s="2019"/>
      <c r="O141" s="2019"/>
      <c r="P141" s="2019"/>
      <c r="Q141" s="2019"/>
      <c r="R141" s="780"/>
      <c r="S141" s="190">
        <v>0.5</v>
      </c>
      <c r="T141" s="190">
        <v>0.5</v>
      </c>
      <c r="U141" s="191">
        <v>0.5</v>
      </c>
      <c r="V141" s="149">
        <f t="shared" si="6"/>
        <v>-1.6114606004591398E-3</v>
      </c>
      <c r="W141" s="162">
        <f>IF($V$114="Y", -(SUM(S95)*$T$141*(1-$U$141)),0)</f>
        <v>0</v>
      </c>
      <c r="X141" s="163">
        <f>IF($V$114="Y", -(SUM(T95)*$T$141*(1-$U$141)),0)</f>
        <v>0</v>
      </c>
      <c r="Y141" s="161">
        <f>IF($V$114="Y", -(SUM(U95)*$T$141*(1-$U$141)),0)</f>
        <v>-9.8087253193960503E-4</v>
      </c>
      <c r="Z141" s="656"/>
    </row>
    <row r="142" spans="1:26" ht="26.1" customHeight="1" x14ac:dyDescent="0.45">
      <c r="A142" s="656"/>
      <c r="B142" s="656"/>
      <c r="C142" s="656"/>
      <c r="D142" s="2017" t="str">
        <f>$D$96</f>
        <v>Developer Risk</v>
      </c>
      <c r="E142" s="2018"/>
      <c r="F142" s="2018"/>
      <c r="G142" s="2018"/>
      <c r="H142" s="2018"/>
      <c r="I142" s="2018"/>
      <c r="J142" s="2018"/>
      <c r="K142" s="2018"/>
      <c r="L142" s="2018"/>
      <c r="M142" s="2019" t="str">
        <f>$M$115</f>
        <v>Resource assessment; Technology and O&amp;M assistance</v>
      </c>
      <c r="N142" s="2019"/>
      <c r="O142" s="2019"/>
      <c r="P142" s="2019"/>
      <c r="Q142" s="2019"/>
      <c r="R142" s="780"/>
      <c r="S142" s="192">
        <v>0.5</v>
      </c>
      <c r="T142" s="192">
        <v>0.5</v>
      </c>
      <c r="U142" s="191">
        <v>0.5</v>
      </c>
      <c r="V142" s="149">
        <f t="shared" si="6"/>
        <v>0</v>
      </c>
      <c r="W142" s="162">
        <f>IF($V$115="Y", -(SUM(S96)*$T$142*(1-$U$142)),0)</f>
        <v>0</v>
      </c>
      <c r="X142" s="163">
        <f>IF($V$115="Y", -(SUM(T96)*$T$142*(1-$U$142)),0)</f>
        <v>0</v>
      </c>
      <c r="Y142" s="161">
        <f>IF($V$115="Y", -(SUM(U96)*$T$142*(1-$U$142)),0)</f>
        <v>0</v>
      </c>
      <c r="Z142" s="656"/>
    </row>
    <row r="143" spans="1:26" ht="26.1" customHeight="1" x14ac:dyDescent="0.45">
      <c r="A143" s="656"/>
      <c r="B143" s="656"/>
      <c r="C143" s="656"/>
      <c r="D143" s="2017" t="str">
        <f>$D$97</f>
        <v>Grid/Transmission Risk</v>
      </c>
      <c r="E143" s="2018"/>
      <c r="F143" s="2018"/>
      <c r="G143" s="2018"/>
      <c r="H143" s="2018"/>
      <c r="I143" s="2018"/>
      <c r="J143" s="2018"/>
      <c r="K143" s="2018"/>
      <c r="L143" s="2018"/>
      <c r="M143" s="2019" t="str">
        <f>$M$116</f>
        <v>Grid code; grid management studies</v>
      </c>
      <c r="N143" s="2019"/>
      <c r="O143" s="2019"/>
      <c r="P143" s="2019"/>
      <c r="Q143" s="2019"/>
      <c r="R143" s="780"/>
      <c r="S143" s="190">
        <v>0.25</v>
      </c>
      <c r="T143" s="190">
        <v>0.25</v>
      </c>
      <c r="U143" s="191">
        <v>0.5</v>
      </c>
      <c r="V143" s="149">
        <f t="shared" si="6"/>
        <v>-1.4970483885393996E-3</v>
      </c>
      <c r="W143" s="162">
        <f>IF($V$116="Y", -(SUM(S97)*$T$143*(1-$U$143)),0)</f>
        <v>0</v>
      </c>
      <c r="X143" s="163">
        <f>IF($V$116="Y", -(SUM(T97)*$T$143*(1-$U$143)),0)</f>
        <v>0</v>
      </c>
      <c r="Y143" s="161">
        <f>IF($V$116="Y", -(SUM(U97)*$T$143*(1-$U$143)),0)</f>
        <v>-9.1123148954703841E-4</v>
      </c>
      <c r="Z143" s="656"/>
    </row>
    <row r="144" spans="1:26" ht="26.1" customHeight="1" x14ac:dyDescent="0.45">
      <c r="A144" s="656"/>
      <c r="B144" s="656"/>
      <c r="C144" s="656"/>
      <c r="D144" s="2017" t="str">
        <f>$D$98</f>
        <v>Counterparty Risk</v>
      </c>
      <c r="E144" s="2018"/>
      <c r="F144" s="2018"/>
      <c r="G144" s="2018"/>
      <c r="H144" s="2018"/>
      <c r="I144" s="2018"/>
      <c r="J144" s="2018"/>
      <c r="K144" s="2018"/>
      <c r="L144" s="2018"/>
      <c r="M144" s="2019" t="str">
        <f>$M$117</f>
        <v>Strengthening utility's management &amp; operational performance for existing operations</v>
      </c>
      <c r="N144" s="2019"/>
      <c r="O144" s="2019"/>
      <c r="P144" s="2019"/>
      <c r="Q144" s="2019"/>
      <c r="R144" s="780"/>
      <c r="S144" s="190">
        <v>0.5</v>
      </c>
      <c r="T144" s="190">
        <v>0.5</v>
      </c>
      <c r="U144" s="191">
        <v>0.5</v>
      </c>
      <c r="V144" s="149">
        <f t="shared" si="6"/>
        <v>-3.7543603351122509E-3</v>
      </c>
      <c r="W144" s="162">
        <f>IF($V$117="Y", -(SUM(S98)*$T$144*(1-$U$144)),0)</f>
        <v>0</v>
      </c>
      <c r="X144" s="163">
        <f>IF($V$117="Y", -(SUM(T98)*$T$144*(1-$U$144)),0)</f>
        <v>0</v>
      </c>
      <c r="Y144" s="161">
        <f>IF($V$117="Y", -(SUM(U98)*$T$144*(1-$U$144)),0)</f>
        <v>-2.2852243031358885E-3</v>
      </c>
      <c r="Z144" s="656"/>
    </row>
    <row r="145" spans="1:26" ht="26.1" customHeight="1" x14ac:dyDescent="0.45">
      <c r="A145" s="656"/>
      <c r="B145" s="656"/>
      <c r="C145" s="656"/>
      <c r="D145" s="2017" t="str">
        <f>$D$99</f>
        <v>Financing Risk</v>
      </c>
      <c r="E145" s="2018"/>
      <c r="F145" s="2018"/>
      <c r="G145" s="2018"/>
      <c r="H145" s="2018"/>
      <c r="I145" s="2018"/>
      <c r="J145" s="2018"/>
      <c r="K145" s="2018"/>
      <c r="L145" s="2018"/>
      <c r="M145" s="2019" t="str">
        <f>$M$118</f>
        <v>Financial sector reform; strengthening investors' familiarity and assessment capacity for renewable energy</v>
      </c>
      <c r="N145" s="2019"/>
      <c r="O145" s="2019"/>
      <c r="P145" s="2019"/>
      <c r="Q145" s="2019"/>
      <c r="R145" s="780"/>
      <c r="S145" s="190">
        <v>0.5</v>
      </c>
      <c r="T145" s="190">
        <v>0.5</v>
      </c>
      <c r="U145" s="191">
        <v>0.5</v>
      </c>
      <c r="V145" s="149">
        <f t="shared" si="6"/>
        <v>-2.5845234190990133E-3</v>
      </c>
      <c r="W145" s="162">
        <f>IF($V$118="Y", -(SUM(S99)*$T$145*(1-$U$145)),0)</f>
        <v>0</v>
      </c>
      <c r="X145" s="163">
        <f>IF($V$118="Y", -(SUM(T99)*$T$145*(1-$U$145)),0)</f>
        <v>0</v>
      </c>
      <c r="Y145" s="161">
        <f>IF($V$118="Y", -(SUM(U99)*$T$145*(1-$U$145)),0)</f>
        <v>0</v>
      </c>
      <c r="Z145" s="656"/>
    </row>
    <row r="146" spans="1:26" ht="27" customHeight="1" x14ac:dyDescent="0.45">
      <c r="A146" s="656"/>
      <c r="B146" s="656"/>
      <c r="C146" s="656"/>
      <c r="D146" s="2108" t="s">
        <v>212</v>
      </c>
      <c r="E146" s="2070"/>
      <c r="F146" s="2070"/>
      <c r="G146" s="2070"/>
      <c r="H146" s="2070"/>
      <c r="I146" s="2070"/>
      <c r="J146" s="2070"/>
      <c r="K146" s="2070"/>
      <c r="L146" s="2070"/>
      <c r="M146" s="668"/>
      <c r="N146" s="668"/>
      <c r="O146" s="668"/>
      <c r="P146" s="668"/>
      <c r="Q146" s="668"/>
      <c r="R146" s="668"/>
      <c r="S146" s="668"/>
      <c r="T146" s="668"/>
      <c r="U146" s="668"/>
      <c r="V146" s="150">
        <f>SUM(V139:V145)</f>
        <v>-1.8890313347842941E-2</v>
      </c>
      <c r="W146" s="164">
        <f>SUM(W139:W145)</f>
        <v>0</v>
      </c>
      <c r="X146" s="165">
        <f>SUM(X139:X145)</f>
        <v>0</v>
      </c>
      <c r="Y146" s="160">
        <f>SUM(Y139:Y145)</f>
        <v>-8.7811229674796751E-3</v>
      </c>
      <c r="Z146" s="656"/>
    </row>
    <row r="147" spans="1:26" ht="12.95" customHeight="1" x14ac:dyDescent="0.45">
      <c r="A147" s="656"/>
      <c r="B147" s="656"/>
      <c r="C147" s="656"/>
      <c r="D147" s="656"/>
      <c r="E147" s="656"/>
      <c r="F147" s="656"/>
      <c r="G147" s="656"/>
      <c r="H147" s="656"/>
      <c r="I147" s="656"/>
      <c r="J147" s="656"/>
      <c r="K147" s="656"/>
      <c r="L147" s="656"/>
      <c r="M147" s="656"/>
      <c r="N147" s="656"/>
      <c r="O147" s="656"/>
      <c r="P147" s="680"/>
      <c r="Q147" s="656"/>
      <c r="R147" s="656"/>
      <c r="S147" s="656"/>
      <c r="T147" s="656"/>
      <c r="U147" s="656"/>
      <c r="V147" s="792"/>
      <c r="W147" s="792"/>
      <c r="X147" s="793"/>
      <c r="Y147" s="793"/>
      <c r="Z147" s="656"/>
    </row>
    <row r="148" spans="1:26" ht="12.95" customHeight="1" x14ac:dyDescent="0.45">
      <c r="A148" s="656"/>
      <c r="B148" s="656"/>
      <c r="C148" s="671" t="s">
        <v>271</v>
      </c>
      <c r="D148" s="656"/>
      <c r="E148" s="656"/>
      <c r="F148" s="656"/>
      <c r="G148" s="656"/>
      <c r="H148" s="656"/>
      <c r="I148" s="656"/>
      <c r="J148" s="656"/>
      <c r="K148" s="656"/>
      <c r="L148" s="656"/>
      <c r="M148" s="656"/>
      <c r="N148" s="656"/>
      <c r="O148" s="656"/>
      <c r="P148" s="680"/>
      <c r="Q148" s="656"/>
      <c r="R148" s="656"/>
      <c r="S148" s="656"/>
      <c r="T148" s="656"/>
      <c r="U148" s="656"/>
      <c r="V148" s="792"/>
      <c r="W148" s="792"/>
      <c r="X148" s="793"/>
      <c r="Y148" s="793"/>
      <c r="Z148" s="656"/>
    </row>
    <row r="149" spans="1:26" ht="12.95" customHeight="1" x14ac:dyDescent="0.45">
      <c r="A149" s="656"/>
      <c r="B149" s="656"/>
      <c r="C149" s="671"/>
      <c r="D149" s="656"/>
      <c r="E149" s="656"/>
      <c r="F149" s="656"/>
      <c r="G149" s="656"/>
      <c r="H149" s="656"/>
      <c r="I149" s="656"/>
      <c r="J149" s="656"/>
      <c r="K149" s="656"/>
      <c r="L149" s="656"/>
      <c r="M149" s="656"/>
      <c r="N149" s="656"/>
      <c r="O149" s="656"/>
      <c r="P149" s="680"/>
      <c r="Q149" s="656"/>
      <c r="R149" s="656"/>
      <c r="S149" s="656"/>
      <c r="T149" s="656"/>
      <c r="U149" s="656"/>
      <c r="V149" s="792"/>
      <c r="W149" s="792"/>
      <c r="X149" s="793"/>
      <c r="Y149" s="793"/>
      <c r="Z149" s="656"/>
    </row>
    <row r="150" spans="1:26" ht="12.95" customHeight="1" x14ac:dyDescent="0.45">
      <c r="A150" s="656"/>
      <c r="B150" s="656"/>
      <c r="C150" s="663" t="s">
        <v>655</v>
      </c>
      <c r="D150" s="656"/>
      <c r="E150" s="656"/>
      <c r="F150" s="656"/>
      <c r="G150" s="656"/>
      <c r="H150" s="656"/>
      <c r="I150" s="656"/>
      <c r="J150" s="656"/>
      <c r="K150" s="656"/>
      <c r="L150" s="656"/>
      <c r="M150" s="656"/>
      <c r="N150" s="656"/>
      <c r="O150" s="656"/>
      <c r="P150" s="680"/>
      <c r="Q150" s="656"/>
      <c r="R150" s="656"/>
      <c r="S150" s="656"/>
      <c r="T150" s="656"/>
      <c r="U150" s="656"/>
      <c r="V150" s="792"/>
      <c r="W150" s="792"/>
      <c r="X150" s="793"/>
      <c r="Y150" s="793"/>
      <c r="Z150" s="656"/>
    </row>
    <row r="151" spans="1:26" ht="12.95" hidden="1" customHeight="1" outlineLevel="1" x14ac:dyDescent="0.45">
      <c r="A151" s="656"/>
      <c r="B151" s="656"/>
      <c r="C151" s="663" t="s">
        <v>678</v>
      </c>
      <c r="D151" s="656"/>
      <c r="E151" s="656"/>
      <c r="F151" s="656"/>
      <c r="G151" s="656"/>
      <c r="H151" s="656"/>
      <c r="I151" s="656"/>
      <c r="J151" s="656"/>
      <c r="K151" s="656"/>
      <c r="L151" s="656"/>
      <c r="M151" s="656"/>
      <c r="N151" s="656"/>
      <c r="O151" s="656"/>
      <c r="P151" s="680"/>
      <c r="Q151" s="656"/>
      <c r="R151" s="656"/>
      <c r="S151" s="656"/>
      <c r="T151" s="656"/>
      <c r="U151" s="656"/>
      <c r="V151" s="792"/>
      <c r="W151" s="792"/>
      <c r="X151" s="793"/>
      <c r="Y151" s="793"/>
      <c r="Z151" s="656"/>
    </row>
    <row r="152" spans="1:26" ht="26.25" customHeight="1" collapsed="1" x14ac:dyDescent="0.45">
      <c r="A152" s="656"/>
      <c r="B152" s="656"/>
      <c r="C152" s="656"/>
      <c r="D152" s="656"/>
      <c r="E152" s="656"/>
      <c r="F152" s="656"/>
      <c r="G152" s="656"/>
      <c r="H152" s="656"/>
      <c r="I152" s="656"/>
      <c r="J152" s="656"/>
      <c r="K152" s="656"/>
      <c r="L152" s="656"/>
      <c r="M152" s="656"/>
      <c r="N152" s="656"/>
      <c r="O152" s="656"/>
      <c r="P152" s="680"/>
      <c r="Q152" s="656"/>
      <c r="R152" s="656"/>
      <c r="S152" s="2001" t="s">
        <v>75</v>
      </c>
      <c r="T152" s="2002"/>
      <c r="U152" s="2003"/>
      <c r="V152" s="2207" t="s">
        <v>206</v>
      </c>
      <c r="W152" s="2208"/>
      <c r="X152" s="2208"/>
      <c r="Y152" s="2209"/>
      <c r="Z152" s="656"/>
    </row>
    <row r="153" spans="1:26" ht="39.4" x14ac:dyDescent="0.45">
      <c r="A153" s="656"/>
      <c r="B153" s="656"/>
      <c r="C153" s="656"/>
      <c r="D153" s="2108" t="s">
        <v>80</v>
      </c>
      <c r="E153" s="2018"/>
      <c r="F153" s="2018"/>
      <c r="G153" s="2018"/>
      <c r="H153" s="2018"/>
      <c r="I153" s="2018"/>
      <c r="J153" s="2018"/>
      <c r="K153" s="2018"/>
      <c r="L153" s="2018"/>
      <c r="M153" s="667" t="s">
        <v>276</v>
      </c>
      <c r="N153" s="668"/>
      <c r="O153" s="668"/>
      <c r="P153" s="668"/>
      <c r="Q153" s="668"/>
      <c r="R153" s="780"/>
      <c r="S153" s="791" t="s">
        <v>277</v>
      </c>
      <c r="T153" s="791" t="s">
        <v>278</v>
      </c>
      <c r="U153" s="791" t="s">
        <v>183</v>
      </c>
      <c r="V153" s="791" t="str">
        <f>$V$82</f>
        <v>Equity</v>
      </c>
      <c r="W153" s="794" t="str">
        <f>$W$82</f>
        <v>Public Loan</v>
      </c>
      <c r="X153" s="795" t="str">
        <f>$X$82</f>
        <v>Commercial Loan with Guarantees</v>
      </c>
      <c r="Y153" s="796" t="str">
        <f>$Y$82</f>
        <v>Commercial Loan w/out Guarantees</v>
      </c>
      <c r="Z153" s="656"/>
    </row>
    <row r="154" spans="1:26" ht="26.85" customHeight="1" x14ac:dyDescent="0.45">
      <c r="A154" s="656"/>
      <c r="B154" s="656"/>
      <c r="C154" s="656"/>
      <c r="D154" s="2017" t="str">
        <f>D124</f>
        <v>Grid/Transmission Risk</v>
      </c>
      <c r="E154" s="2018"/>
      <c r="F154" s="2018"/>
      <c r="G154" s="2018"/>
      <c r="H154" s="2018"/>
      <c r="I154" s="2018"/>
      <c r="J154" s="2018"/>
      <c r="K154" s="2018"/>
      <c r="L154" s="2018"/>
      <c r="M154" s="2019" t="str">
        <f>M124</f>
        <v>Take or Pay Clause in PPA</v>
      </c>
      <c r="N154" s="2019"/>
      <c r="O154" s="2019"/>
      <c r="P154" s="2019"/>
      <c r="Q154" s="668"/>
      <c r="R154" s="780"/>
      <c r="S154" s="190">
        <v>0.75</v>
      </c>
      <c r="T154" s="190">
        <v>0.75</v>
      </c>
      <c r="U154" s="191">
        <v>0</v>
      </c>
      <c r="V154" s="149">
        <f>IF($V$124="Y",-SUM($R$97)*$S$154*(1-$U$154),0)</f>
        <v>-8.9822903312363981E-3</v>
      </c>
      <c r="W154" s="162">
        <f>IF($V$124="Y",-SUM($S$97)*$T$154*(1-$U$154),0)</f>
        <v>0</v>
      </c>
      <c r="X154" s="163">
        <f>IF($V$124="Y",-SUM($T$97)*$T$154*(1-$U$154),0)</f>
        <v>0</v>
      </c>
      <c r="Y154" s="161">
        <f>IF($V$124="Y",-SUM($U$97)*$T$154*(1-$U$154),0)</f>
        <v>-5.4673889372822302E-3</v>
      </c>
      <c r="Z154" s="656"/>
    </row>
    <row r="155" spans="1:26" ht="26.85" customHeight="1" x14ac:dyDescent="0.45">
      <c r="A155" s="656"/>
      <c r="B155" s="656"/>
      <c r="C155" s="656"/>
      <c r="D155" s="2017" t="str">
        <f>D125</f>
        <v>Counterparty Risk</v>
      </c>
      <c r="E155" s="2018"/>
      <c r="F155" s="2018"/>
      <c r="G155" s="2018"/>
      <c r="H155" s="2018"/>
      <c r="I155" s="2018"/>
      <c r="J155" s="2018"/>
      <c r="K155" s="2018"/>
      <c r="L155" s="2018"/>
      <c r="M155" s="2019" t="str">
        <f>M125</f>
        <v>Government Guarantee for PPA</v>
      </c>
      <c r="N155" s="2019"/>
      <c r="O155" s="2019"/>
      <c r="P155" s="2019"/>
      <c r="Q155" s="668"/>
      <c r="R155" s="780"/>
      <c r="S155" s="190">
        <v>0.25</v>
      </c>
      <c r="T155" s="190">
        <v>0.25</v>
      </c>
      <c r="U155" s="191">
        <v>0</v>
      </c>
      <c r="V155" s="149">
        <f>IF($V$125="Y",-SUM($R$98)*$S$155*(1-$U$155),0)</f>
        <v>-3.7543603351122509E-3</v>
      </c>
      <c r="W155" s="162">
        <f>IF($V$125="Y",-SUM($S$98)*$T$155*(1-$U$155),0)</f>
        <v>0</v>
      </c>
      <c r="X155" s="163">
        <f>IF($V$125="Y",-SUM($T$98)*$T$155*(1-$U$155),0)</f>
        <v>0</v>
      </c>
      <c r="Y155" s="161">
        <f>IF($V$125="Y",-SUM($U$98)*$T$155*(1-$U$155),0)</f>
        <v>-2.2852243031358885E-3</v>
      </c>
      <c r="Z155" s="656"/>
    </row>
    <row r="156" spans="1:26" ht="26.85" customHeight="1" x14ac:dyDescent="0.45">
      <c r="A156" s="656"/>
      <c r="B156" s="656"/>
      <c r="C156" s="656"/>
      <c r="D156" s="2017" t="s">
        <v>1</v>
      </c>
      <c r="E156" s="2018"/>
      <c r="F156" s="2018"/>
      <c r="G156" s="2018"/>
      <c r="H156" s="2018"/>
      <c r="I156" s="2018"/>
      <c r="J156" s="2018"/>
      <c r="K156" s="2018"/>
      <c r="L156" s="2018"/>
      <c r="M156" s="2019" t="str">
        <f>M126</f>
        <v>Public Loans</v>
      </c>
      <c r="N156" s="2019"/>
      <c r="O156" s="2019"/>
      <c r="P156" s="2019"/>
      <c r="Q156" s="668"/>
      <c r="R156" s="780"/>
      <c r="S156" s="190">
        <v>0.25</v>
      </c>
      <c r="T156" s="190">
        <v>0.25</v>
      </c>
      <c r="U156" s="191">
        <v>0</v>
      </c>
      <c r="V156" s="149">
        <f>IF($V$126="Y",-SUM($R$98)*$S$156*(1-$U$156),0)</f>
        <v>-3.7543603351122509E-3</v>
      </c>
      <c r="W156" s="162">
        <f>IF($V$126="Y",-SUM($S$98)*$T$156*(1-$U$156),0)</f>
        <v>0</v>
      </c>
      <c r="X156" s="163">
        <f>IF($V$126="Y",-SUM($T$98)*$T$156*(1-$U$156),0)</f>
        <v>0</v>
      </c>
      <c r="Y156" s="161">
        <f>IF($V$126="Y",-SUM($U$98)*$T$156*(1-$U$156),0)</f>
        <v>-2.2852243031358885E-3</v>
      </c>
      <c r="Z156" s="656"/>
    </row>
    <row r="157" spans="1:26" ht="26.85" customHeight="1" x14ac:dyDescent="0.45">
      <c r="A157" s="656"/>
      <c r="B157" s="656"/>
      <c r="C157" s="656"/>
      <c r="D157" s="2017" t="s">
        <v>1</v>
      </c>
      <c r="E157" s="2018"/>
      <c r="F157" s="2018"/>
      <c r="G157" s="2018"/>
      <c r="H157" s="2018"/>
      <c r="I157" s="2018"/>
      <c r="J157" s="2018"/>
      <c r="K157" s="2018"/>
      <c r="L157" s="2018"/>
      <c r="M157" s="2019" t="str">
        <f>M128</f>
        <v>Public Guarantees to Commercial Loans</v>
      </c>
      <c r="N157" s="2019"/>
      <c r="O157" s="2019"/>
      <c r="P157" s="2019"/>
      <c r="Q157" s="668"/>
      <c r="R157" s="780"/>
      <c r="S157" s="193">
        <v>0</v>
      </c>
      <c r="T157" s="193">
        <v>0</v>
      </c>
      <c r="U157" s="191">
        <v>0</v>
      </c>
      <c r="V157" s="149">
        <f>IF($V$128="Y",-SUM($R$98)*$S$157*(1-$U$157),0)</f>
        <v>0</v>
      </c>
      <c r="W157" s="162">
        <f>IF($V$128="Y",-SUM($S$98)*$T$157*(1-$U$157),0)</f>
        <v>0</v>
      </c>
      <c r="X157" s="163">
        <f>IF($V$128="Y",-SUM($T$98)*$T$157*(1-$U$157),0)</f>
        <v>0</v>
      </c>
      <c r="Y157" s="161">
        <f>IF($V$128="Y",-SUM($U$98)*$T$157*(1-$U$157),0)</f>
        <v>0</v>
      </c>
      <c r="Z157" s="656"/>
    </row>
    <row r="158" spans="1:26" ht="27" customHeight="1" x14ac:dyDescent="0.45">
      <c r="A158" s="656"/>
      <c r="B158" s="656"/>
      <c r="C158" s="656"/>
      <c r="D158" s="2017" t="str">
        <f>$D$99</f>
        <v>Financing Risk</v>
      </c>
      <c r="E158" s="2018"/>
      <c r="F158" s="2018"/>
      <c r="G158" s="2018"/>
      <c r="H158" s="2018"/>
      <c r="I158" s="2018"/>
      <c r="J158" s="2018"/>
      <c r="K158" s="2018"/>
      <c r="L158" s="2018"/>
      <c r="M158" s="2019" t="str">
        <f>M126</f>
        <v>Public Loans</v>
      </c>
      <c r="N158" s="2019"/>
      <c r="O158" s="2019"/>
      <c r="P158" s="2019"/>
      <c r="Q158" s="668"/>
      <c r="R158" s="780"/>
      <c r="S158" s="190">
        <v>0</v>
      </c>
      <c r="T158" s="190">
        <v>0</v>
      </c>
      <c r="U158" s="191">
        <v>0</v>
      </c>
      <c r="V158" s="149">
        <f>IF(AND($V$126="Y", $S$36="NA"),-SUM($R$99)*$S$158*(1-$U$158),0)</f>
        <v>0</v>
      </c>
      <c r="W158" s="162">
        <f>IF(AND($V$126="Y", $S$36&gt;0),-SUM(S$99)*SUM($T$158)*(1-SUM($U$158)),0)</f>
        <v>0</v>
      </c>
      <c r="X158" s="163">
        <f>IF(AND($V$126="Y", $S$36&gt;0),-SUM(T$99)*SUM($T$158)*(1-SUM($U$158)),0)</f>
        <v>0</v>
      </c>
      <c r="Y158" s="161">
        <f>IF(AND($V$126="Y", $S$36&gt;0),-SUM(U$99)*SUM($T$158)*(1-SUM($U$158)),0)</f>
        <v>0</v>
      </c>
      <c r="Z158" s="656"/>
    </row>
    <row r="159" spans="1:26" ht="27" customHeight="1" x14ac:dyDescent="0.45">
      <c r="A159" s="656"/>
      <c r="B159" s="656"/>
      <c r="C159" s="656"/>
      <c r="D159" s="2017" t="str">
        <f>$D$99</f>
        <v>Financing Risk</v>
      </c>
      <c r="E159" s="2018"/>
      <c r="F159" s="2018"/>
      <c r="G159" s="2018"/>
      <c r="H159" s="2018"/>
      <c r="I159" s="2018"/>
      <c r="J159" s="2018"/>
      <c r="K159" s="2018"/>
      <c r="L159" s="2018"/>
      <c r="M159" s="2019" t="str">
        <f>M128</f>
        <v>Public Guarantees to Commercial Loans</v>
      </c>
      <c r="N159" s="2019"/>
      <c r="O159" s="2019"/>
      <c r="P159" s="2019"/>
      <c r="Q159" s="668"/>
      <c r="R159" s="780"/>
      <c r="S159" s="193">
        <v>0</v>
      </c>
      <c r="T159" s="193">
        <v>0</v>
      </c>
      <c r="U159" s="191">
        <v>0</v>
      </c>
      <c r="V159" s="149">
        <f xml:space="preserve"> IF(AND($V$128="Y",$S$37=0),-SUM($R$99)*$S$159*(1-$U$159),0)</f>
        <v>0</v>
      </c>
      <c r="W159" s="162">
        <f>IF(AND($V$128="Y",$S$37&gt;0),-SUM(S99)*$T$159*(1-$U$159),0)</f>
        <v>0</v>
      </c>
      <c r="X159" s="163">
        <f>IF(AND($V$128="Y",$S$37&gt;0),-SUM(T99)*$T$159*(1-$U$159),0)</f>
        <v>0</v>
      </c>
      <c r="Y159" s="161">
        <f>IF(AND($V$128="Y",$S$37&gt;0),-SUM(U99)*$T$159*(1-$U$159),0)</f>
        <v>0</v>
      </c>
      <c r="Z159" s="656"/>
    </row>
    <row r="160" spans="1:26" ht="27" customHeight="1" x14ac:dyDescent="0.45">
      <c r="A160" s="656"/>
      <c r="B160" s="656"/>
      <c r="C160" s="656"/>
      <c r="D160" s="2017" t="str">
        <f>$D$100</f>
        <v>Political Risk</v>
      </c>
      <c r="E160" s="2018"/>
      <c r="F160" s="2018"/>
      <c r="G160" s="2018"/>
      <c r="H160" s="2018"/>
      <c r="I160" s="2018"/>
      <c r="J160" s="2018"/>
      <c r="K160" s="2018"/>
      <c r="L160" s="2018"/>
      <c r="M160" s="2019" t="str">
        <f>M130</f>
        <v>Political Risk Insurance for Equity Investment</v>
      </c>
      <c r="N160" s="2019"/>
      <c r="O160" s="2019"/>
      <c r="P160" s="2019"/>
      <c r="Q160" s="668"/>
      <c r="R160" s="780"/>
      <c r="S160" s="193">
        <v>0</v>
      </c>
      <c r="T160" s="193">
        <v>0</v>
      </c>
      <c r="U160" s="191">
        <v>0</v>
      </c>
      <c r="V160" s="149">
        <f>IF($V$130="Y",-SUM($R$100)*$S$160*(1-$U$160),0)</f>
        <v>0</v>
      </c>
      <c r="W160" s="162">
        <f>IF($V$130="Y",-SUM(S100)*$T$160*(1-$U$160),0)</f>
        <v>0</v>
      </c>
      <c r="X160" s="163">
        <f>IF($V$130="Y",-SUM(T100)*$T$160*(1-$U$160),0)</f>
        <v>0</v>
      </c>
      <c r="Y160" s="161">
        <f>IF($V$130="Y",-SUM(U100)*$T$160*(1-$U$160),0)</f>
        <v>0</v>
      </c>
      <c r="Z160" s="656"/>
    </row>
    <row r="161" spans="1:26" ht="27" customHeight="1" x14ac:dyDescent="0.45">
      <c r="A161" s="656"/>
      <c r="B161" s="656"/>
      <c r="C161" s="656"/>
      <c r="D161" s="2017" t="str">
        <f>D131</f>
        <v>Currency/Macro Risk</v>
      </c>
      <c r="E161" s="2018"/>
      <c r="F161" s="2018"/>
      <c r="G161" s="2018"/>
      <c r="H161" s="2018"/>
      <c r="I161" s="2018"/>
      <c r="J161" s="2018"/>
      <c r="K161" s="2018"/>
      <c r="L161" s="2018"/>
      <c r="M161" s="2019" t="str">
        <f>M131</f>
        <v>Partial Indexing</v>
      </c>
      <c r="N161" s="2019"/>
      <c r="O161" s="2019"/>
      <c r="P161" s="2019"/>
      <c r="Q161" s="668"/>
      <c r="R161" s="668"/>
      <c r="S161" s="190">
        <v>0.5</v>
      </c>
      <c r="T161" s="190">
        <v>0.5</v>
      </c>
      <c r="U161" s="191">
        <v>0</v>
      </c>
      <c r="V161" s="149">
        <f>IF($V$131="Y",-SUM($R$101)*$S$161*(1-$U$161),0)</f>
        <v>-4.6689126740407259E-3</v>
      </c>
      <c r="W161" s="162">
        <f>IF($V$131="Y",-SUM($S$101)*$T$161*(1-$U$161),0)</f>
        <v>0</v>
      </c>
      <c r="X161" s="163">
        <f>IF($V$131="Y",-SUM($T$101)*$T$161*(1-$U$161),0)</f>
        <v>0</v>
      </c>
      <c r="Y161" s="161">
        <f>IF($V$131="Y",-SUM($U$101)*$T$161*(1-$U$161),0)</f>
        <v>-2.8418989547038327E-3</v>
      </c>
      <c r="Z161" s="656"/>
    </row>
    <row r="162" spans="1:26" ht="26.25" customHeight="1" x14ac:dyDescent="0.45">
      <c r="A162" s="656"/>
      <c r="B162" s="656"/>
      <c r="C162" s="656"/>
      <c r="D162" s="2108" t="s">
        <v>212</v>
      </c>
      <c r="E162" s="2070"/>
      <c r="F162" s="2070"/>
      <c r="G162" s="2070"/>
      <c r="H162" s="2070"/>
      <c r="I162" s="2070"/>
      <c r="J162" s="2070"/>
      <c r="K162" s="2070"/>
      <c r="L162" s="2070"/>
      <c r="M162" s="667"/>
      <c r="N162" s="667"/>
      <c r="O162" s="667"/>
      <c r="P162" s="790"/>
      <c r="Q162" s="667"/>
      <c r="R162" s="667"/>
      <c r="S162" s="667"/>
      <c r="T162" s="667"/>
      <c r="U162" s="688"/>
      <c r="V162" s="150">
        <f>SUM(V154:V161)</f>
        <v>-2.1159923675501627E-2</v>
      </c>
      <c r="W162" s="164">
        <f>SUM(W154:W161)</f>
        <v>0</v>
      </c>
      <c r="X162" s="165">
        <f>SUM(X154:X161)</f>
        <v>0</v>
      </c>
      <c r="Y162" s="160">
        <f>SUM(Y154:Y161)</f>
        <v>-1.2879736498257841E-2</v>
      </c>
      <c r="Z162" s="656"/>
    </row>
    <row r="163" spans="1:26" ht="13.5" customHeight="1" x14ac:dyDescent="0.45">
      <c r="A163" s="656"/>
      <c r="B163" s="656"/>
      <c r="C163" s="656"/>
      <c r="D163" s="681"/>
      <c r="E163" s="656"/>
      <c r="F163" s="656"/>
      <c r="G163" s="656"/>
      <c r="H163" s="656"/>
      <c r="I163" s="656"/>
      <c r="J163" s="656"/>
      <c r="K163" s="656"/>
      <c r="L163" s="656"/>
      <c r="M163" s="656"/>
      <c r="N163" s="656"/>
      <c r="O163" s="656"/>
      <c r="P163" s="656"/>
      <c r="Q163" s="656"/>
      <c r="R163" s="767" t="s">
        <v>326</v>
      </c>
      <c r="S163" s="769" t="str">
        <f>IF(SUM(S154,S143)&gt;1,"Incorrect entry, see note",IF(SUM(S144,S155:S157)&gt;1,"Incorrect entry, see note",IF(SUM(S145,S158,S159)&gt;1,"Incorrect entry, see note","")))</f>
        <v/>
      </c>
      <c r="T163" s="769" t="str">
        <f>IF(SUM(T154,T143)&gt;1,"Incorrect entry, see note",IF(SUM(T144,T155:T157)&gt;1,"Incorrect entry, see note",IF(SUM(T145,T158,T159)&gt;1,"Incorrect entry, see note","")))</f>
        <v/>
      </c>
      <c r="U163" s="769"/>
      <c r="V163" s="656"/>
      <c r="W163" s="656"/>
      <c r="X163" s="656"/>
      <c r="Y163" s="768"/>
      <c r="Z163" s="656"/>
    </row>
    <row r="164" spans="1:26" x14ac:dyDescent="0.45">
      <c r="A164" s="656"/>
      <c r="B164" s="656"/>
      <c r="C164" s="656"/>
      <c r="D164" s="656"/>
      <c r="E164" s="656"/>
      <c r="F164" s="656"/>
      <c r="G164" s="656"/>
      <c r="H164" s="656"/>
      <c r="I164" s="656"/>
      <c r="J164" s="656"/>
      <c r="K164" s="656"/>
      <c r="L164" s="656"/>
      <c r="M164" s="656"/>
      <c r="N164" s="656"/>
      <c r="O164" s="656"/>
      <c r="P164" s="656"/>
      <c r="Q164" s="656"/>
      <c r="R164" s="656"/>
      <c r="S164" s="656"/>
      <c r="T164" s="656"/>
      <c r="U164" s="656"/>
      <c r="V164" s="656"/>
      <c r="W164" s="656"/>
      <c r="X164" s="656"/>
      <c r="Y164" s="656"/>
      <c r="Z164" s="656"/>
    </row>
    <row r="165" spans="1:26" ht="13.15" x14ac:dyDescent="0.45">
      <c r="A165" s="656"/>
      <c r="B165" s="667" t="s">
        <v>209</v>
      </c>
      <c r="C165" s="667"/>
      <c r="D165" s="668"/>
      <c r="E165" s="668"/>
      <c r="F165" s="668"/>
      <c r="G165" s="668"/>
      <c r="H165" s="668"/>
      <c r="I165" s="668"/>
      <c r="J165" s="668"/>
      <c r="K165" s="668"/>
      <c r="L165" s="668"/>
      <c r="M165" s="667"/>
      <c r="N165" s="667"/>
      <c r="O165" s="667"/>
      <c r="P165" s="669"/>
      <c r="Q165" s="669"/>
      <c r="R165" s="669"/>
      <c r="S165" s="669"/>
      <c r="T165" s="669"/>
      <c r="U165" s="669"/>
      <c r="V165" s="669"/>
      <c r="W165" s="669"/>
      <c r="X165" s="669"/>
      <c r="Y165" s="669"/>
      <c r="Z165" s="656"/>
    </row>
    <row r="166" spans="1:26" x14ac:dyDescent="0.45">
      <c r="A166" s="656"/>
      <c r="B166" s="656"/>
      <c r="C166" s="656"/>
      <c r="D166" s="656"/>
      <c r="E166" s="656"/>
      <c r="F166" s="656"/>
      <c r="G166" s="656"/>
      <c r="H166" s="656"/>
      <c r="I166" s="656"/>
      <c r="J166" s="656"/>
      <c r="K166" s="656"/>
      <c r="L166" s="656"/>
      <c r="M166" s="656"/>
      <c r="N166" s="656"/>
      <c r="O166" s="656"/>
      <c r="P166" s="656"/>
      <c r="Q166" s="656"/>
      <c r="R166" s="656"/>
      <c r="S166" s="656"/>
      <c r="T166" s="656"/>
      <c r="U166" s="656"/>
      <c r="V166" s="656"/>
      <c r="W166" s="656"/>
      <c r="X166" s="656"/>
      <c r="Y166" s="656"/>
      <c r="Z166" s="656"/>
    </row>
    <row r="167" spans="1:26" ht="13.15" x14ac:dyDescent="0.45">
      <c r="A167" s="656"/>
      <c r="B167" s="656"/>
      <c r="C167" s="671" t="s">
        <v>273</v>
      </c>
      <c r="D167" s="656"/>
      <c r="E167" s="656"/>
      <c r="F167" s="656"/>
      <c r="G167" s="656"/>
      <c r="H167" s="656"/>
      <c r="I167" s="656"/>
      <c r="J167" s="656"/>
      <c r="K167" s="656"/>
      <c r="L167" s="656"/>
      <c r="M167" s="656"/>
      <c r="N167" s="656"/>
      <c r="O167" s="656"/>
      <c r="P167" s="656"/>
      <c r="Q167" s="656"/>
      <c r="R167" s="656"/>
      <c r="S167" s="656"/>
      <c r="T167" s="656"/>
      <c r="U167" s="656"/>
      <c r="V167" s="656"/>
      <c r="W167" s="656"/>
      <c r="X167" s="656"/>
      <c r="Y167" s="656"/>
      <c r="Z167" s="656"/>
    </row>
    <row r="168" spans="1:26" ht="13.15" x14ac:dyDescent="0.45">
      <c r="A168" s="656"/>
      <c r="B168" s="656"/>
      <c r="C168" s="671"/>
      <c r="D168" s="656"/>
      <c r="E168" s="656"/>
      <c r="F168" s="656"/>
      <c r="G168" s="656"/>
      <c r="H168" s="656"/>
      <c r="I168" s="656"/>
      <c r="J168" s="656"/>
      <c r="K168" s="656"/>
      <c r="L168" s="656"/>
      <c r="M168" s="656"/>
      <c r="N168" s="656"/>
      <c r="O168" s="656"/>
      <c r="P168" s="656"/>
      <c r="Q168" s="656"/>
      <c r="R168" s="656"/>
      <c r="S168" s="656"/>
      <c r="T168" s="656"/>
      <c r="U168" s="656"/>
      <c r="V168" s="656"/>
      <c r="W168" s="656"/>
      <c r="X168" s="656"/>
      <c r="Y168" s="656"/>
      <c r="Z168" s="656"/>
    </row>
    <row r="169" spans="1:26" x14ac:dyDescent="0.45">
      <c r="A169" s="656"/>
      <c r="B169" s="656"/>
      <c r="C169" s="663" t="s">
        <v>655</v>
      </c>
      <c r="D169" s="656"/>
      <c r="E169" s="656"/>
      <c r="F169" s="656"/>
      <c r="G169" s="656"/>
      <c r="H169" s="656"/>
      <c r="I169" s="656"/>
      <c r="J169" s="656"/>
      <c r="K169" s="656"/>
      <c r="L169" s="656"/>
      <c r="M169" s="656"/>
      <c r="N169" s="656"/>
      <c r="O169" s="656"/>
      <c r="P169" s="656"/>
      <c r="Q169" s="656"/>
      <c r="R169" s="656"/>
      <c r="S169" s="656"/>
      <c r="T169" s="656"/>
      <c r="U169" s="656"/>
      <c r="V169" s="656"/>
      <c r="W169" s="656"/>
      <c r="X169" s="656"/>
      <c r="Y169" s="656"/>
      <c r="Z169" s="656"/>
    </row>
    <row r="170" spans="1:26" hidden="1" outlineLevel="1" x14ac:dyDescent="0.45">
      <c r="A170" s="656"/>
      <c r="B170" s="656"/>
      <c r="C170" s="663" t="s">
        <v>341</v>
      </c>
      <c r="D170" s="656"/>
      <c r="E170" s="656"/>
      <c r="F170" s="656"/>
      <c r="G170" s="656"/>
      <c r="H170" s="656"/>
      <c r="I170" s="656"/>
      <c r="J170" s="656"/>
      <c r="K170" s="656"/>
      <c r="L170" s="656"/>
      <c r="M170" s="656"/>
      <c r="N170" s="656"/>
      <c r="O170" s="656"/>
      <c r="P170" s="656"/>
      <c r="Q170" s="656"/>
      <c r="R170" s="656"/>
      <c r="S170" s="656"/>
      <c r="T170" s="656"/>
      <c r="U170" s="656"/>
      <c r="V170" s="656"/>
      <c r="W170" s="656"/>
      <c r="X170" s="656"/>
      <c r="Y170" s="656"/>
      <c r="Z170" s="656"/>
    </row>
    <row r="171" spans="1:26" hidden="1" outlineLevel="1" x14ac:dyDescent="0.45">
      <c r="A171" s="656"/>
      <c r="B171" s="656"/>
      <c r="C171" s="663" t="s">
        <v>648</v>
      </c>
      <c r="D171" s="656"/>
      <c r="E171" s="656"/>
      <c r="F171" s="656"/>
      <c r="G171" s="656"/>
      <c r="H171" s="656"/>
      <c r="I171" s="656"/>
      <c r="J171" s="656"/>
      <c r="K171" s="656"/>
      <c r="L171" s="656"/>
      <c r="M171" s="656"/>
      <c r="N171" s="656"/>
      <c r="O171" s="656"/>
      <c r="P171" s="656"/>
      <c r="Q171" s="656"/>
      <c r="R171" s="656"/>
      <c r="S171" s="656"/>
      <c r="T171" s="656"/>
      <c r="U171" s="656"/>
      <c r="V171" s="656"/>
      <c r="W171" s="656"/>
      <c r="X171" s="656"/>
      <c r="Y171" s="656"/>
      <c r="Z171" s="656"/>
    </row>
    <row r="172" spans="1:26" hidden="1" outlineLevel="1" x14ac:dyDescent="0.45">
      <c r="A172" s="656"/>
      <c r="B172" s="656"/>
      <c r="C172" s="663" t="s">
        <v>679</v>
      </c>
      <c r="D172" s="656"/>
      <c r="E172" s="656"/>
      <c r="F172" s="656"/>
      <c r="G172" s="656"/>
      <c r="H172" s="656"/>
      <c r="I172" s="656"/>
      <c r="J172" s="656"/>
      <c r="K172" s="656"/>
      <c r="L172" s="656"/>
      <c r="M172" s="656"/>
      <c r="N172" s="656"/>
      <c r="O172" s="656"/>
      <c r="P172" s="656"/>
      <c r="Q172" s="656"/>
      <c r="R172" s="656"/>
      <c r="S172" s="656"/>
      <c r="T172" s="656"/>
      <c r="U172" s="656"/>
      <c r="V172" s="656"/>
      <c r="W172" s="656"/>
      <c r="X172" s="656"/>
      <c r="Y172" s="656"/>
      <c r="Z172" s="656"/>
    </row>
    <row r="173" spans="1:26" ht="13.15" collapsed="1" x14ac:dyDescent="0.45">
      <c r="A173" s="656"/>
      <c r="B173" s="656"/>
      <c r="C173" s="656"/>
      <c r="D173" s="656"/>
      <c r="E173" s="656"/>
      <c r="F173" s="656"/>
      <c r="G173" s="656"/>
      <c r="H173" s="656"/>
      <c r="I173" s="656"/>
      <c r="J173" s="656"/>
      <c r="K173" s="656"/>
      <c r="L173" s="656"/>
      <c r="M173" s="656"/>
      <c r="N173" s="656"/>
      <c r="O173" s="656"/>
      <c r="P173" s="656"/>
      <c r="Q173" s="656"/>
      <c r="R173" s="2004" t="s">
        <v>170</v>
      </c>
      <c r="S173" s="2005"/>
      <c r="T173" s="2005"/>
      <c r="U173" s="2006"/>
      <c r="V173" s="2063" t="s">
        <v>171</v>
      </c>
      <c r="W173" s="2064"/>
      <c r="X173" s="2064"/>
      <c r="Y173" s="2065"/>
      <c r="Z173" s="656"/>
    </row>
    <row r="174" spans="1:26" ht="26.25" x14ac:dyDescent="0.45">
      <c r="A174" s="656"/>
      <c r="B174" s="656"/>
      <c r="C174" s="656"/>
      <c r="D174" s="656"/>
      <c r="E174" s="656"/>
      <c r="F174" s="656"/>
      <c r="G174" s="656"/>
      <c r="H174" s="656"/>
      <c r="I174" s="656"/>
      <c r="J174" s="656"/>
      <c r="K174" s="656"/>
      <c r="L174" s="656"/>
      <c r="M174" s="656"/>
      <c r="N174" s="656"/>
      <c r="O174" s="656"/>
      <c r="P174" s="658"/>
      <c r="Q174" s="656"/>
      <c r="R174" s="412" t="s">
        <v>149</v>
      </c>
      <c r="S174" s="2004" t="s">
        <v>148</v>
      </c>
      <c r="T174" s="2005"/>
      <c r="U174" s="2006"/>
      <c r="V174" s="752" t="s">
        <v>149</v>
      </c>
      <c r="W174" s="2063" t="s">
        <v>148</v>
      </c>
      <c r="X174" s="2064"/>
      <c r="Y174" s="2065"/>
      <c r="Z174" s="656"/>
    </row>
    <row r="175" spans="1:26" s="144" customFormat="1" ht="39.75" customHeight="1" x14ac:dyDescent="0.45">
      <c r="A175" s="672"/>
      <c r="B175" s="672"/>
      <c r="C175" s="672"/>
      <c r="D175" s="2108" t="s">
        <v>80</v>
      </c>
      <c r="E175" s="2018"/>
      <c r="F175" s="2018"/>
      <c r="G175" s="2018"/>
      <c r="H175" s="2018"/>
      <c r="I175" s="2018"/>
      <c r="J175" s="2018"/>
      <c r="K175" s="2018"/>
      <c r="L175" s="2018"/>
      <c r="M175" s="2070" t="s">
        <v>276</v>
      </c>
      <c r="N175" s="2018"/>
      <c r="O175" s="2018"/>
      <c r="P175" s="2109"/>
      <c r="Q175" s="791" t="s">
        <v>147</v>
      </c>
      <c r="R175" s="151" t="s">
        <v>197</v>
      </c>
      <c r="S175" s="151" t="s">
        <v>76</v>
      </c>
      <c r="T175" s="152" t="s">
        <v>676</v>
      </c>
      <c r="U175" s="153" t="s">
        <v>193</v>
      </c>
      <c r="V175" s="409" t="s">
        <v>197</v>
      </c>
      <c r="W175" s="409" t="s">
        <v>76</v>
      </c>
      <c r="X175" s="410" t="s">
        <v>676</v>
      </c>
      <c r="Y175" s="411" t="s">
        <v>193</v>
      </c>
      <c r="Z175" s="672"/>
    </row>
    <row r="176" spans="1:26" s="144" customFormat="1" ht="26.1" customHeight="1" x14ac:dyDescent="0.45">
      <c r="A176" s="672"/>
      <c r="B176" s="672"/>
      <c r="C176" s="672"/>
      <c r="D176" s="2017" t="str">
        <f>$D$112</f>
        <v>Power Market Risk</v>
      </c>
      <c r="E176" s="2018"/>
      <c r="F176" s="2018"/>
      <c r="G176" s="2018"/>
      <c r="H176" s="2018"/>
      <c r="I176" s="2018"/>
      <c r="J176" s="2018"/>
      <c r="K176" s="2018"/>
      <c r="L176" s="2018"/>
      <c r="M176" s="2019" t="str">
        <f>$M$112</f>
        <v>Long term targets; regulatory framework; standardised PPA; independent regulator</v>
      </c>
      <c r="N176" s="2019"/>
      <c r="O176" s="2019"/>
      <c r="P176" s="2020"/>
      <c r="Q176" s="800" t="s">
        <v>192</v>
      </c>
      <c r="R176" s="1532">
        <v>3968386.095983665</v>
      </c>
      <c r="S176" s="1532">
        <v>0</v>
      </c>
      <c r="T176" s="194">
        <v>0</v>
      </c>
      <c r="U176" s="1533">
        <f t="shared" ref="U176:U182" si="7">IF(S112="Y", PV($U$19,T176,-S176),0)</f>
        <v>0</v>
      </c>
      <c r="V176" s="1534">
        <v>3968386.095983665</v>
      </c>
      <c r="W176" s="1534">
        <v>0</v>
      </c>
      <c r="X176" s="195">
        <v>0</v>
      </c>
      <c r="Y176" s="1535">
        <f>IF('III. Inputs, Renewable Energy'!V112="Y", PV('III. Inputs, Renewable Energy'!$U$19,X176,-W176),0)</f>
        <v>0</v>
      </c>
      <c r="Z176" s="672"/>
    </row>
    <row r="177" spans="1:26" s="144" customFormat="1" ht="26.1" customHeight="1" x14ac:dyDescent="0.45">
      <c r="A177" s="672"/>
      <c r="B177" s="672"/>
      <c r="C177" s="672"/>
      <c r="D177" s="2017" t="str">
        <f>$D$113</f>
        <v>Permits Risk</v>
      </c>
      <c r="E177" s="2018"/>
      <c r="F177" s="2018"/>
      <c r="G177" s="2018"/>
      <c r="H177" s="2018"/>
      <c r="I177" s="2018"/>
      <c r="J177" s="2018"/>
      <c r="K177" s="2018"/>
      <c r="L177" s="2018"/>
      <c r="M177" s="2019" t="str">
        <f>$M$113</f>
        <v>Streamlined process for permits; Establish a dedicated one-stop shop for RE permits; contract enforcement and recourse mechanisms</v>
      </c>
      <c r="N177" s="2019"/>
      <c r="O177" s="2019"/>
      <c r="P177" s="2020"/>
      <c r="Q177" s="800" t="s">
        <v>192</v>
      </c>
      <c r="R177" s="1532">
        <v>1015844.3921582524</v>
      </c>
      <c r="S177" s="1532">
        <v>0</v>
      </c>
      <c r="T177" s="194">
        <v>0</v>
      </c>
      <c r="U177" s="1533">
        <f t="shared" si="7"/>
        <v>0</v>
      </c>
      <c r="V177" s="1534">
        <v>1015844.3921582524</v>
      </c>
      <c r="W177" s="1534">
        <v>0</v>
      </c>
      <c r="X177" s="195">
        <v>0</v>
      </c>
      <c r="Y177" s="1535">
        <f>IF('III. Inputs, Renewable Energy'!V113="Y", PV('III. Inputs, Renewable Energy'!$U$19,X177,-W177),0)</f>
        <v>0</v>
      </c>
      <c r="Z177" s="672"/>
    </row>
    <row r="178" spans="1:26" s="144" customFormat="1" ht="26.1" customHeight="1" x14ac:dyDescent="0.45">
      <c r="A178" s="672"/>
      <c r="B178" s="672"/>
      <c r="C178" s="672"/>
      <c r="D178" s="2017" t="str">
        <f>$D$114</f>
        <v>Social Acceptance Risk</v>
      </c>
      <c r="E178" s="2018"/>
      <c r="F178" s="2018"/>
      <c r="G178" s="2018"/>
      <c r="H178" s="2018"/>
      <c r="I178" s="2018"/>
      <c r="J178" s="2018"/>
      <c r="K178" s="2018"/>
      <c r="L178" s="2018"/>
      <c r="M178" s="2019" t="str">
        <f>$M$114</f>
        <v>Awareness-raising campaigns targeting communities and end-users; pilot models for community involvement at project sites</v>
      </c>
      <c r="N178" s="2019"/>
      <c r="O178" s="2019"/>
      <c r="P178" s="2020"/>
      <c r="Q178" s="800" t="s">
        <v>192</v>
      </c>
      <c r="R178" s="1532">
        <v>0</v>
      </c>
      <c r="S178" s="1532">
        <v>0</v>
      </c>
      <c r="T178" s="194">
        <v>0</v>
      </c>
      <c r="U178" s="1533">
        <f t="shared" si="7"/>
        <v>0</v>
      </c>
      <c r="V178" s="1534">
        <v>571705.0226114149</v>
      </c>
      <c r="W178" s="1534">
        <v>0</v>
      </c>
      <c r="X178" s="195">
        <v>0</v>
      </c>
      <c r="Y178" s="1535">
        <f>IF('III. Inputs, Renewable Energy'!V114="Y", PV('III. Inputs, Renewable Energy'!$U$19,X178,-W178),0)</f>
        <v>0</v>
      </c>
      <c r="Z178" s="672"/>
    </row>
    <row r="179" spans="1:26" s="144" customFormat="1" ht="27.75" customHeight="1" x14ac:dyDescent="0.45">
      <c r="A179" s="672"/>
      <c r="B179" s="672"/>
      <c r="C179" s="672"/>
      <c r="D179" s="2017" t="str">
        <f>$D$115</f>
        <v>Developer Risk</v>
      </c>
      <c r="E179" s="2018"/>
      <c r="F179" s="2018"/>
      <c r="G179" s="2018"/>
      <c r="H179" s="2018"/>
      <c r="I179" s="2018"/>
      <c r="J179" s="2018"/>
      <c r="K179" s="2018"/>
      <c r="L179" s="2018"/>
      <c r="M179" s="2019" t="str">
        <f>$M$115</f>
        <v>Resource assessment; Technology and O&amp;M assistance</v>
      </c>
      <c r="N179" s="2019"/>
      <c r="O179" s="2019"/>
      <c r="P179" s="2020"/>
      <c r="Q179" s="800" t="s">
        <v>192</v>
      </c>
      <c r="R179" s="1532">
        <v>0</v>
      </c>
      <c r="S179" s="1532">
        <v>0</v>
      </c>
      <c r="T179" s="194">
        <v>0</v>
      </c>
      <c r="U179" s="1533">
        <f t="shared" si="7"/>
        <v>0</v>
      </c>
      <c r="V179" s="1534">
        <v>1130747.1109255655</v>
      </c>
      <c r="W179" s="1534">
        <v>0</v>
      </c>
      <c r="X179" s="195">
        <v>0</v>
      </c>
      <c r="Y179" s="1535">
        <f>IF('III. Inputs, Renewable Energy'!V115="Y", PV('III. Inputs, Renewable Energy'!$U$19,X179,-W179),0)</f>
        <v>0</v>
      </c>
      <c r="Z179" s="672"/>
    </row>
    <row r="180" spans="1:26" s="144" customFormat="1" ht="26.1" customHeight="1" x14ac:dyDescent="0.45">
      <c r="A180" s="672"/>
      <c r="B180" s="672"/>
      <c r="C180" s="672"/>
      <c r="D180" s="2017" t="str">
        <f>$D$116</f>
        <v>Grid/Transmission Risk</v>
      </c>
      <c r="E180" s="2018"/>
      <c r="F180" s="2018"/>
      <c r="G180" s="2018"/>
      <c r="H180" s="2018"/>
      <c r="I180" s="2018"/>
      <c r="J180" s="2018"/>
      <c r="K180" s="2018"/>
      <c r="L180" s="2018"/>
      <c r="M180" s="2019" t="str">
        <f>$M$116</f>
        <v>Grid code; grid management studies</v>
      </c>
      <c r="N180" s="2019"/>
      <c r="O180" s="2019"/>
      <c r="P180" s="2020"/>
      <c r="Q180" s="800" t="s">
        <v>192</v>
      </c>
      <c r="R180" s="1532">
        <v>0</v>
      </c>
      <c r="S180" s="1532">
        <v>0</v>
      </c>
      <c r="T180" s="194">
        <v>0</v>
      </c>
      <c r="U180" s="1533">
        <f t="shared" si="7"/>
        <v>0</v>
      </c>
      <c r="V180" s="1534">
        <v>981622.51056798222</v>
      </c>
      <c r="W180" s="1534">
        <v>0</v>
      </c>
      <c r="X180" s="195">
        <v>0</v>
      </c>
      <c r="Y180" s="1535">
        <f>IF('III. Inputs, Renewable Energy'!V116="Y", PV('III. Inputs, Renewable Energy'!$U$19,X180,-W180),0)</f>
        <v>0</v>
      </c>
      <c r="Z180" s="672"/>
    </row>
    <row r="181" spans="1:26" s="144" customFormat="1" ht="26.1" customHeight="1" x14ac:dyDescent="0.45">
      <c r="A181" s="672"/>
      <c r="B181" s="672"/>
      <c r="C181" s="672"/>
      <c r="D181" s="2017" t="str">
        <f>$D$117</f>
        <v>Counterparty Risk</v>
      </c>
      <c r="E181" s="2018"/>
      <c r="F181" s="2018"/>
      <c r="G181" s="2018"/>
      <c r="H181" s="2018"/>
      <c r="I181" s="2018"/>
      <c r="J181" s="2018"/>
      <c r="K181" s="2018"/>
      <c r="L181" s="2018"/>
      <c r="M181" s="2019" t="str">
        <f>$M$117</f>
        <v>Strengthening utility's management &amp; operational performance for existing operations</v>
      </c>
      <c r="N181" s="2019"/>
      <c r="O181" s="2019"/>
      <c r="P181" s="2020"/>
      <c r="Q181" s="800" t="s">
        <v>192</v>
      </c>
      <c r="R181" s="1532">
        <v>0</v>
      </c>
      <c r="S181" s="1532">
        <v>0</v>
      </c>
      <c r="T181" s="194">
        <v>0</v>
      </c>
      <c r="U181" s="1533">
        <f t="shared" si="7"/>
        <v>0</v>
      </c>
      <c r="V181" s="1534">
        <v>936007.50956903212</v>
      </c>
      <c r="W181" s="1534">
        <v>0</v>
      </c>
      <c r="X181" s="195">
        <v>0</v>
      </c>
      <c r="Y181" s="1535">
        <f>IF('III. Inputs, Renewable Energy'!V117="Y", PV('III. Inputs, Renewable Energy'!$U$19,X181,-W181),0)</f>
        <v>0</v>
      </c>
      <c r="Z181" s="672"/>
    </row>
    <row r="182" spans="1:26" s="144" customFormat="1" ht="26.1" customHeight="1" x14ac:dyDescent="0.45">
      <c r="A182" s="672"/>
      <c r="B182" s="672"/>
      <c r="C182" s="672"/>
      <c r="D182" s="2017" t="str">
        <f>$D$118</f>
        <v>Financing Risk</v>
      </c>
      <c r="E182" s="2018"/>
      <c r="F182" s="2018"/>
      <c r="G182" s="2018"/>
      <c r="H182" s="2018"/>
      <c r="I182" s="2018"/>
      <c r="J182" s="2018"/>
      <c r="K182" s="2018"/>
      <c r="L182" s="2018"/>
      <c r="M182" s="2019" t="str">
        <f>$M$118</f>
        <v>Financial sector reform; strengthening investors' familiarity and assessment capacity for renewable energy</v>
      </c>
      <c r="N182" s="2019"/>
      <c r="O182" s="2019"/>
      <c r="P182" s="2020"/>
      <c r="Q182" s="800" t="s">
        <v>192</v>
      </c>
      <c r="R182" s="1532">
        <v>0</v>
      </c>
      <c r="S182" s="1532">
        <v>0</v>
      </c>
      <c r="T182" s="194">
        <v>0</v>
      </c>
      <c r="U182" s="1533">
        <f t="shared" si="7"/>
        <v>0</v>
      </c>
      <c r="V182" s="1534">
        <v>659962.79207401024</v>
      </c>
      <c r="W182" s="1534">
        <v>0</v>
      </c>
      <c r="X182" s="195">
        <v>0</v>
      </c>
      <c r="Y182" s="1535">
        <f>IF('III. Inputs, Renewable Energy'!V118="Y", PV('III. Inputs, Renewable Energy'!$U$19,X182,-W182),0)</f>
        <v>0</v>
      </c>
      <c r="Z182" s="672"/>
    </row>
    <row r="183" spans="1:26" ht="27" customHeight="1" x14ac:dyDescent="0.45">
      <c r="A183" s="656"/>
      <c r="B183" s="656"/>
      <c r="C183" s="656"/>
      <c r="D183" s="2108" t="s">
        <v>272</v>
      </c>
      <c r="E183" s="2070"/>
      <c r="F183" s="2070"/>
      <c r="G183" s="2070"/>
      <c r="H183" s="2070"/>
      <c r="I183" s="2070"/>
      <c r="J183" s="2070"/>
      <c r="K183" s="2070"/>
      <c r="L183" s="2070"/>
      <c r="M183" s="667"/>
      <c r="N183" s="667"/>
      <c r="O183" s="667"/>
      <c r="P183" s="790"/>
      <c r="Q183" s="688"/>
      <c r="R183" s="1536">
        <f>SUM(R176:R182)</f>
        <v>4984230.4881419176</v>
      </c>
      <c r="S183" s="1536"/>
      <c r="T183" s="154"/>
      <c r="U183" s="1537">
        <f>SUM(U176:U182)</f>
        <v>0</v>
      </c>
      <c r="V183" s="1538">
        <f>SUM(V176:V182)</f>
        <v>9264275.4338899218</v>
      </c>
      <c r="W183" s="1538"/>
      <c r="X183" s="155"/>
      <c r="Y183" s="1539">
        <f>SUM(Y176:Y182)</f>
        <v>0</v>
      </c>
      <c r="Z183" s="656"/>
    </row>
    <row r="184" spans="1:26" x14ac:dyDescent="0.45">
      <c r="A184" s="656"/>
      <c r="B184" s="656"/>
      <c r="C184" s="656"/>
      <c r="D184" s="656"/>
      <c r="E184" s="656"/>
      <c r="F184" s="656"/>
      <c r="G184" s="656"/>
      <c r="H184" s="656"/>
      <c r="I184" s="656"/>
      <c r="J184" s="656"/>
      <c r="K184" s="656"/>
      <c r="L184" s="656"/>
      <c r="M184" s="656"/>
      <c r="N184" s="656"/>
      <c r="O184" s="656"/>
      <c r="P184" s="656"/>
      <c r="Q184" s="656"/>
      <c r="R184" s="656"/>
      <c r="S184" s="656"/>
      <c r="T184" s="656"/>
      <c r="U184" s="656"/>
      <c r="V184" s="656"/>
      <c r="W184" s="656"/>
      <c r="X184" s="656"/>
      <c r="Y184" s="656"/>
      <c r="Z184" s="656"/>
    </row>
    <row r="185" spans="1:26" x14ac:dyDescent="0.45">
      <c r="A185" s="656"/>
      <c r="B185" s="656"/>
      <c r="C185" s="656"/>
      <c r="D185" s="656"/>
      <c r="E185" s="656"/>
      <c r="F185" s="656"/>
      <c r="G185" s="656"/>
      <c r="H185" s="656"/>
      <c r="I185" s="656"/>
      <c r="J185" s="656"/>
      <c r="K185" s="656"/>
      <c r="L185" s="656"/>
      <c r="M185" s="656"/>
      <c r="N185" s="656"/>
      <c r="O185" s="656"/>
      <c r="P185" s="656"/>
      <c r="Q185" s="656"/>
      <c r="R185" s="656"/>
      <c r="S185" s="656"/>
      <c r="T185" s="656"/>
      <c r="U185" s="656"/>
      <c r="V185" s="656"/>
      <c r="W185" s="656"/>
      <c r="X185" s="656"/>
      <c r="Y185" s="656"/>
      <c r="Z185" s="656"/>
    </row>
    <row r="186" spans="1:26" ht="13.15" x14ac:dyDescent="0.45">
      <c r="A186" s="656"/>
      <c r="B186" s="656"/>
      <c r="C186" s="671" t="s">
        <v>358</v>
      </c>
      <c r="D186" s="656"/>
      <c r="E186" s="656"/>
      <c r="F186" s="656"/>
      <c r="G186" s="656"/>
      <c r="H186" s="656"/>
      <c r="I186" s="656"/>
      <c r="J186" s="656"/>
      <c r="K186" s="656"/>
      <c r="L186" s="656"/>
      <c r="M186" s="656"/>
      <c r="N186" s="656"/>
      <c r="O186" s="656"/>
      <c r="P186" s="656"/>
      <c r="Q186" s="656"/>
      <c r="R186" s="656"/>
      <c r="S186" s="656"/>
      <c r="T186" s="656"/>
      <c r="U186" s="656"/>
      <c r="V186" s="656"/>
      <c r="W186" s="656"/>
      <c r="X186" s="656"/>
      <c r="Y186" s="656"/>
      <c r="Z186" s="656"/>
    </row>
    <row r="187" spans="1:26" ht="13.15" x14ac:dyDescent="0.45">
      <c r="A187" s="656"/>
      <c r="B187" s="656"/>
      <c r="C187" s="656"/>
      <c r="D187" s="656"/>
      <c r="E187" s="656"/>
      <c r="F187" s="656"/>
      <c r="G187" s="656"/>
      <c r="H187" s="656"/>
      <c r="I187" s="656"/>
      <c r="J187" s="656"/>
      <c r="K187" s="656"/>
      <c r="L187" s="656"/>
      <c r="M187" s="656"/>
      <c r="N187" s="656"/>
      <c r="O187" s="656"/>
      <c r="P187" s="656"/>
      <c r="Q187" s="656"/>
      <c r="R187" s="2004" t="s">
        <v>170</v>
      </c>
      <c r="S187" s="2005"/>
      <c r="T187" s="2005"/>
      <c r="U187" s="2006"/>
      <c r="V187" s="2063" t="s">
        <v>171</v>
      </c>
      <c r="W187" s="2064"/>
      <c r="X187" s="2064"/>
      <c r="Y187" s="2065"/>
      <c r="Z187" s="656"/>
    </row>
    <row r="188" spans="1:26" ht="26.25" x14ac:dyDescent="0.45">
      <c r="A188" s="656"/>
      <c r="B188" s="656"/>
      <c r="C188" s="656"/>
      <c r="D188" s="656"/>
      <c r="E188" s="656"/>
      <c r="F188" s="656"/>
      <c r="G188" s="656"/>
      <c r="H188" s="656"/>
      <c r="I188" s="656"/>
      <c r="J188" s="656"/>
      <c r="K188" s="656"/>
      <c r="L188" s="656"/>
      <c r="M188" s="656"/>
      <c r="N188" s="656"/>
      <c r="O188" s="656"/>
      <c r="P188" s="658"/>
      <c r="Q188" s="656"/>
      <c r="R188" s="412" t="s">
        <v>149</v>
      </c>
      <c r="S188" s="2004" t="s">
        <v>148</v>
      </c>
      <c r="T188" s="2005"/>
      <c r="U188" s="2006"/>
      <c r="V188" s="752" t="s">
        <v>149</v>
      </c>
      <c r="W188" s="2063" t="s">
        <v>148</v>
      </c>
      <c r="X188" s="2064"/>
      <c r="Y188" s="2065"/>
      <c r="Z188" s="656"/>
    </row>
    <row r="189" spans="1:26" ht="26.25" x14ac:dyDescent="0.45">
      <c r="A189" s="656"/>
      <c r="B189" s="656"/>
      <c r="C189" s="656"/>
      <c r="D189" s="2108" t="s">
        <v>80</v>
      </c>
      <c r="E189" s="2018"/>
      <c r="F189" s="2018"/>
      <c r="G189" s="2018"/>
      <c r="H189" s="2018"/>
      <c r="I189" s="2018"/>
      <c r="J189" s="2018"/>
      <c r="K189" s="2018"/>
      <c r="L189" s="2018"/>
      <c r="M189" s="2070" t="s">
        <v>276</v>
      </c>
      <c r="N189" s="2018"/>
      <c r="O189" s="2018"/>
      <c r="P189" s="2109"/>
      <c r="Q189" s="791" t="s">
        <v>147</v>
      </c>
      <c r="R189" s="151" t="s">
        <v>197</v>
      </c>
      <c r="S189" s="151" t="s">
        <v>76</v>
      </c>
      <c r="T189" s="152" t="s">
        <v>676</v>
      </c>
      <c r="U189" s="153" t="s">
        <v>193</v>
      </c>
      <c r="V189" s="409" t="s">
        <v>197</v>
      </c>
      <c r="W189" s="409" t="s">
        <v>76</v>
      </c>
      <c r="X189" s="410" t="s">
        <v>676</v>
      </c>
      <c r="Y189" s="411" t="s">
        <v>193</v>
      </c>
      <c r="Z189" s="656"/>
    </row>
    <row r="190" spans="1:26" ht="26.85" customHeight="1" x14ac:dyDescent="0.45">
      <c r="A190" s="656"/>
      <c r="B190" s="656"/>
      <c r="C190" s="656"/>
      <c r="D190" s="2017" t="str">
        <f>D124</f>
        <v>Grid/Transmission Risk</v>
      </c>
      <c r="E190" s="2018"/>
      <c r="F190" s="2018"/>
      <c r="G190" s="2018"/>
      <c r="H190" s="2018"/>
      <c r="I190" s="2018"/>
      <c r="J190" s="2018"/>
      <c r="K190" s="2018"/>
      <c r="L190" s="2018"/>
      <c r="M190" s="2019" t="str">
        <f>M154</f>
        <v>Take or Pay Clause in PPA</v>
      </c>
      <c r="N190" s="2019"/>
      <c r="O190" s="2019"/>
      <c r="P190" s="2020"/>
      <c r="Q190" s="800" t="s">
        <v>192</v>
      </c>
      <c r="R190" s="1532">
        <v>0</v>
      </c>
      <c r="S190" s="1532">
        <v>0</v>
      </c>
      <c r="T190" s="194">
        <v>0</v>
      </c>
      <c r="U190" s="1533">
        <f>IF(S125="Y", PV($U$19,T190,-S190),0)</f>
        <v>0</v>
      </c>
      <c r="V190" s="1540">
        <f>'VII. Instrument Costing'!I43</f>
        <v>5811110.3046963457</v>
      </c>
      <c r="W190" s="1534">
        <v>0</v>
      </c>
      <c r="X190" s="195">
        <v>0</v>
      </c>
      <c r="Y190" s="1535">
        <f>IF('III. Inputs, Renewable Energy'!V125="Y", PV('III. Inputs, Renewable Energy'!$U$19,X190,-W190),0)</f>
        <v>0</v>
      </c>
      <c r="Z190" s="656"/>
    </row>
    <row r="191" spans="1:26" ht="26.85" customHeight="1" x14ac:dyDescent="0.45">
      <c r="A191" s="656"/>
      <c r="B191" s="656"/>
      <c r="C191" s="656"/>
      <c r="D191" s="2017" t="str">
        <f>D125</f>
        <v>Counterparty Risk</v>
      </c>
      <c r="E191" s="2018"/>
      <c r="F191" s="2018"/>
      <c r="G191" s="2018"/>
      <c r="H191" s="2018"/>
      <c r="I191" s="2018"/>
      <c r="J191" s="2018"/>
      <c r="K191" s="2018"/>
      <c r="L191" s="2018"/>
      <c r="M191" s="2019" t="str">
        <f>M155</f>
        <v>Government Guarantee for PPA</v>
      </c>
      <c r="N191" s="2019"/>
      <c r="O191" s="2019"/>
      <c r="P191" s="2020"/>
      <c r="Q191" s="800" t="s">
        <v>192</v>
      </c>
      <c r="R191" s="1532">
        <v>0</v>
      </c>
      <c r="S191" s="1532">
        <v>0</v>
      </c>
      <c r="T191" s="194">
        <v>0</v>
      </c>
      <c r="U191" s="1533">
        <f>IF(S126="Y", PV($U$19,T191,-S191),0)</f>
        <v>0</v>
      </c>
      <c r="V191" s="1540">
        <f>'VII. Instrument Costing'!I51</f>
        <v>6682776.850400799</v>
      </c>
      <c r="W191" s="1534">
        <v>0</v>
      </c>
      <c r="X191" s="195">
        <v>0</v>
      </c>
      <c r="Y191" s="1535">
        <f>IF('III. Inputs, Renewable Energy'!V126="Y", PV('III. Inputs, Renewable Energy'!$U$19,X191,-W191),0)</f>
        <v>0</v>
      </c>
      <c r="Z191" s="656"/>
    </row>
    <row r="192" spans="1:26" ht="26.1" customHeight="1" x14ac:dyDescent="0.45">
      <c r="A192" s="656"/>
      <c r="B192" s="656"/>
      <c r="C192" s="656"/>
      <c r="D192" s="2017" t="str">
        <f>D131</f>
        <v>Currency/Macro Risk</v>
      </c>
      <c r="E192" s="2018"/>
      <c r="F192" s="2018"/>
      <c r="G192" s="2018"/>
      <c r="H192" s="2018"/>
      <c r="I192" s="2018"/>
      <c r="J192" s="2018"/>
      <c r="K192" s="2018"/>
      <c r="L192" s="2018"/>
      <c r="M192" s="2019" t="str">
        <f>M161</f>
        <v>Partial Indexing</v>
      </c>
      <c r="N192" s="2019"/>
      <c r="O192" s="2019"/>
      <c r="P192" s="2020"/>
      <c r="Q192" s="800" t="s">
        <v>192</v>
      </c>
      <c r="R192" s="1532">
        <v>0</v>
      </c>
      <c r="S192" s="1532">
        <v>0</v>
      </c>
      <c r="T192" s="194">
        <v>0</v>
      </c>
      <c r="U192" s="1533">
        <f>IF(S127="Y", PV($U$19,T192,-S192),0)</f>
        <v>0</v>
      </c>
      <c r="V192" s="1540">
        <f>'VII. Instrument Costing'!I60</f>
        <v>4067777.2132874429</v>
      </c>
      <c r="W192" s="1534">
        <v>0</v>
      </c>
      <c r="X192" s="195">
        <v>0</v>
      </c>
      <c r="Y192" s="1535">
        <f>IF('III. Inputs, Renewable Energy'!V127="Y", PV('III. Inputs, Renewable Energy'!$U$19,X192,-W192),0)</f>
        <v>0</v>
      </c>
      <c r="Z192" s="656"/>
    </row>
    <row r="193" spans="1:26" x14ac:dyDescent="0.45">
      <c r="A193" s="656"/>
      <c r="B193" s="656"/>
      <c r="C193" s="656"/>
      <c r="D193" s="656"/>
      <c r="E193" s="656"/>
      <c r="F193" s="656"/>
      <c r="G193" s="656"/>
      <c r="H193" s="656"/>
      <c r="I193" s="656"/>
      <c r="J193" s="656"/>
      <c r="K193" s="656"/>
      <c r="L193" s="656"/>
      <c r="M193" s="656"/>
      <c r="N193" s="656"/>
      <c r="O193" s="656"/>
      <c r="P193" s="656"/>
      <c r="Q193" s="656"/>
      <c r="R193" s="656"/>
      <c r="S193" s="656"/>
      <c r="T193" s="656"/>
      <c r="U193" s="656"/>
      <c r="V193" s="656"/>
      <c r="W193" s="656"/>
      <c r="X193" s="656"/>
      <c r="Y193" s="656"/>
      <c r="Z193" s="656"/>
    </row>
    <row r="194" spans="1:26" ht="13.15" x14ac:dyDescent="0.45">
      <c r="A194" s="656"/>
      <c r="B194" s="656"/>
      <c r="C194" s="656"/>
      <c r="D194" s="2108" t="s">
        <v>80</v>
      </c>
      <c r="E194" s="2018"/>
      <c r="F194" s="2018"/>
      <c r="G194" s="2018"/>
      <c r="H194" s="2018"/>
      <c r="I194" s="2018"/>
      <c r="J194" s="2018"/>
      <c r="K194" s="2018"/>
      <c r="L194" s="2018"/>
      <c r="M194" s="2070" t="s">
        <v>677</v>
      </c>
      <c r="N194" s="2018"/>
      <c r="O194" s="2018"/>
      <c r="P194" s="2018"/>
      <c r="Q194" s="668"/>
      <c r="R194" s="667"/>
      <c r="S194" s="668"/>
      <c r="T194" s="668"/>
      <c r="U194" s="668"/>
      <c r="V194" s="752" t="s">
        <v>171</v>
      </c>
      <c r="W194" s="656"/>
      <c r="X194" s="656"/>
      <c r="Y194" s="656"/>
      <c r="Z194" s="656"/>
    </row>
    <row r="195" spans="1:26" ht="13.15" x14ac:dyDescent="0.45">
      <c r="A195" s="656"/>
      <c r="B195" s="656"/>
      <c r="C195" s="656"/>
      <c r="D195" s="2245" t="str">
        <f>$D$190</f>
        <v>Grid/Transmission Risk</v>
      </c>
      <c r="E195" s="2246"/>
      <c r="F195" s="2246"/>
      <c r="G195" s="2246"/>
      <c r="H195" s="2246"/>
      <c r="I195" s="2246"/>
      <c r="J195" s="2246"/>
      <c r="K195" s="2246"/>
      <c r="L195" s="2246"/>
      <c r="M195" s="671" t="str">
        <f>$M$190</f>
        <v>Take or Pay Clause in PPA</v>
      </c>
      <c r="N195" s="656"/>
      <c r="O195" s="656"/>
      <c r="P195" s="656"/>
      <c r="Q195" s="656"/>
      <c r="R195" s="656"/>
      <c r="S195" s="656"/>
      <c r="T195" s="656"/>
      <c r="U195" s="656"/>
      <c r="V195" s="753"/>
      <c r="W195" s="656"/>
      <c r="X195" s="656"/>
      <c r="Y195" s="656"/>
      <c r="Z195" s="656"/>
    </row>
    <row r="196" spans="1:26" x14ac:dyDescent="0.45">
      <c r="A196" s="656"/>
      <c r="B196" s="656"/>
      <c r="C196" s="656"/>
      <c r="D196" s="2247"/>
      <c r="E196" s="2248"/>
      <c r="F196" s="2248"/>
      <c r="G196" s="2248"/>
      <c r="H196" s="2248"/>
      <c r="I196" s="2248"/>
      <c r="J196" s="2248"/>
      <c r="K196" s="2248"/>
      <c r="L196" s="2248"/>
      <c r="M196" s="656"/>
      <c r="N196" s="656" t="s">
        <v>603</v>
      </c>
      <c r="O196" s="656"/>
      <c r="P196" s="656"/>
      <c r="Q196" s="666" t="s">
        <v>606</v>
      </c>
      <c r="R196" s="656"/>
      <c r="S196" s="656"/>
      <c r="T196" s="656"/>
      <c r="U196" s="656"/>
      <c r="V196" s="754">
        <v>3.65</v>
      </c>
      <c r="W196" s="656"/>
      <c r="X196" s="656"/>
      <c r="Y196" s="656"/>
      <c r="Z196" s="656"/>
    </row>
    <row r="197" spans="1:26" x14ac:dyDescent="0.45">
      <c r="A197" s="656"/>
      <c r="B197" s="656"/>
      <c r="C197" s="656"/>
      <c r="D197" s="2247"/>
      <c r="E197" s="2248"/>
      <c r="F197" s="2248"/>
      <c r="G197" s="2248"/>
      <c r="H197" s="2248"/>
      <c r="I197" s="2248"/>
      <c r="J197" s="2248"/>
      <c r="K197" s="2248"/>
      <c r="L197" s="2248"/>
      <c r="M197" s="656"/>
      <c r="N197" s="430" t="s">
        <v>605</v>
      </c>
      <c r="O197" s="656"/>
      <c r="P197" s="656"/>
      <c r="Q197" s="666" t="s">
        <v>14</v>
      </c>
      <c r="R197" s="430"/>
      <c r="S197" s="656"/>
      <c r="T197" s="656"/>
      <c r="U197" s="656"/>
      <c r="V197" s="755">
        <f>V196/365</f>
        <v>0.01</v>
      </c>
      <c r="W197" s="656"/>
      <c r="X197" s="656"/>
      <c r="Y197" s="656"/>
      <c r="Z197" s="656"/>
    </row>
    <row r="198" spans="1:26" x14ac:dyDescent="0.45">
      <c r="A198" s="656"/>
      <c r="B198" s="656"/>
      <c r="C198" s="656"/>
      <c r="D198" s="2247"/>
      <c r="E198" s="2248"/>
      <c r="F198" s="2248"/>
      <c r="G198" s="2248"/>
      <c r="H198" s="2248"/>
      <c r="I198" s="2248"/>
      <c r="J198" s="2248"/>
      <c r="K198" s="2248"/>
      <c r="L198" s="2248"/>
      <c r="M198" s="777"/>
      <c r="N198" s="777" t="s">
        <v>604</v>
      </c>
      <c r="O198" s="777"/>
      <c r="P198" s="777"/>
      <c r="Q198" s="801" t="s">
        <v>14</v>
      </c>
      <c r="R198" s="777"/>
      <c r="S198" s="777"/>
      <c r="T198" s="777"/>
      <c r="U198" s="777"/>
      <c r="V198" s="756">
        <v>1</v>
      </c>
      <c r="W198" s="656"/>
      <c r="X198" s="656"/>
      <c r="Y198" s="656"/>
      <c r="Z198" s="656"/>
    </row>
    <row r="199" spans="1:26" ht="13.15" x14ac:dyDescent="0.45">
      <c r="A199" s="656"/>
      <c r="B199" s="656"/>
      <c r="C199" s="656"/>
      <c r="D199" s="2245" t="str">
        <f>$D$191</f>
        <v>Counterparty Risk</v>
      </c>
      <c r="E199" s="2246"/>
      <c r="F199" s="2246"/>
      <c r="G199" s="2246"/>
      <c r="H199" s="2246"/>
      <c r="I199" s="2246"/>
      <c r="J199" s="2246"/>
      <c r="K199" s="2246"/>
      <c r="L199" s="2246"/>
      <c r="M199" s="671" t="str">
        <f>$M$191</f>
        <v>Government Guarantee for PPA</v>
      </c>
      <c r="N199" s="656"/>
      <c r="O199" s="656"/>
      <c r="P199" s="656"/>
      <c r="Q199" s="656"/>
      <c r="R199" s="656"/>
      <c r="S199" s="656"/>
      <c r="T199" s="656"/>
      <c r="U199" s="656"/>
      <c r="V199" s="757"/>
      <c r="W199" s="656"/>
      <c r="X199" s="656"/>
      <c r="Y199" s="656"/>
      <c r="Z199" s="656"/>
    </row>
    <row r="200" spans="1:26" ht="13.35" customHeight="1" x14ac:dyDescent="0.45">
      <c r="A200" s="656"/>
      <c r="B200" s="656"/>
      <c r="C200" s="656"/>
      <c r="D200" s="2247"/>
      <c r="E200" s="2248"/>
      <c r="F200" s="2248"/>
      <c r="G200" s="2248"/>
      <c r="H200" s="2248"/>
      <c r="I200" s="2248"/>
      <c r="J200" s="2248"/>
      <c r="K200" s="2248"/>
      <c r="L200" s="2248"/>
      <c r="M200" s="656"/>
      <c r="N200" s="656" t="s">
        <v>609</v>
      </c>
      <c r="O200" s="656"/>
      <c r="P200" s="656"/>
      <c r="Q200" s="666" t="s">
        <v>14</v>
      </c>
      <c r="R200" s="656"/>
      <c r="S200" s="656"/>
      <c r="T200" s="656"/>
      <c r="U200" s="656"/>
      <c r="V200" s="758">
        <f>U19-U23</f>
        <v>4.6000000000000006E-2</v>
      </c>
      <c r="W200" s="656"/>
      <c r="X200" s="656"/>
      <c r="Y200" s="656"/>
      <c r="Z200" s="656"/>
    </row>
    <row r="201" spans="1:26" ht="13.35" customHeight="1" x14ac:dyDescent="0.45">
      <c r="A201" s="656"/>
      <c r="B201" s="656"/>
      <c r="C201" s="656"/>
      <c r="D201" s="2247"/>
      <c r="E201" s="2248"/>
      <c r="F201" s="2248"/>
      <c r="G201" s="2248"/>
      <c r="H201" s="2248"/>
      <c r="I201" s="2248"/>
      <c r="J201" s="2248"/>
      <c r="K201" s="2248"/>
      <c r="L201" s="2248"/>
      <c r="M201" s="656"/>
      <c r="N201" s="656" t="s">
        <v>607</v>
      </c>
      <c r="O201" s="656"/>
      <c r="P201" s="656"/>
      <c r="Q201" s="666" t="s">
        <v>608</v>
      </c>
      <c r="R201" s="656"/>
      <c r="S201" s="656"/>
      <c r="T201" s="656"/>
      <c r="U201" s="656"/>
      <c r="V201" s="759">
        <v>3</v>
      </c>
      <c r="W201" s="656"/>
      <c r="X201" s="656"/>
      <c r="Y201" s="656"/>
      <c r="Z201" s="656"/>
    </row>
    <row r="202" spans="1:26" ht="13.35" customHeight="1" x14ac:dyDescent="0.45">
      <c r="A202" s="656"/>
      <c r="B202" s="656"/>
      <c r="C202" s="656"/>
      <c r="D202" s="2245" t="str">
        <f>$D$192</f>
        <v>Currency/Macro Risk</v>
      </c>
      <c r="E202" s="2056"/>
      <c r="F202" s="2056"/>
      <c r="G202" s="2056"/>
      <c r="H202" s="2056"/>
      <c r="I202" s="2056"/>
      <c r="J202" s="2056"/>
      <c r="K202" s="2056"/>
      <c r="L202" s="2056"/>
      <c r="M202" s="802" t="str">
        <f>$M$192</f>
        <v>Partial Indexing</v>
      </c>
      <c r="N202" s="789"/>
      <c r="O202" s="789"/>
      <c r="P202" s="789"/>
      <c r="Q202" s="789"/>
      <c r="R202" s="789"/>
      <c r="S202" s="789"/>
      <c r="T202" s="789"/>
      <c r="U202" s="789"/>
      <c r="V202" s="753"/>
      <c r="W202" s="656"/>
      <c r="X202" s="656"/>
      <c r="Y202" s="656"/>
      <c r="Z202" s="656"/>
    </row>
    <row r="203" spans="1:26" x14ac:dyDescent="0.45">
      <c r="A203" s="656"/>
      <c r="B203" s="656"/>
      <c r="C203" s="656"/>
      <c r="D203" s="2072"/>
      <c r="E203" s="2249"/>
      <c r="F203" s="2249"/>
      <c r="G203" s="2249"/>
      <c r="H203" s="2249"/>
      <c r="I203" s="2249"/>
      <c r="J203" s="2249"/>
      <c r="K203" s="2249"/>
      <c r="L203" s="2249"/>
      <c r="M203" s="658"/>
      <c r="N203" s="658" t="s">
        <v>610</v>
      </c>
      <c r="O203" s="658"/>
      <c r="P203" s="658"/>
      <c r="Q203" s="659" t="s">
        <v>14</v>
      </c>
      <c r="R203" s="658"/>
      <c r="S203" s="658"/>
      <c r="T203" s="658"/>
      <c r="U203" s="658"/>
      <c r="V203" s="760">
        <v>2.8000000000000001E-2</v>
      </c>
      <c r="W203" s="656"/>
      <c r="X203" s="656"/>
      <c r="Y203" s="656"/>
      <c r="Z203" s="656"/>
    </row>
    <row r="204" spans="1:26" x14ac:dyDescent="0.45">
      <c r="A204" s="656"/>
      <c r="B204" s="656"/>
      <c r="C204" s="656"/>
      <c r="D204" s="2072"/>
      <c r="E204" s="2249"/>
      <c r="F204" s="2249"/>
      <c r="G204" s="2249"/>
      <c r="H204" s="2249"/>
      <c r="I204" s="2249"/>
      <c r="J204" s="2249"/>
      <c r="K204" s="2249"/>
      <c r="L204" s="2249"/>
      <c r="M204" s="658"/>
      <c r="N204" s="430" t="s">
        <v>611</v>
      </c>
      <c r="O204" s="658"/>
      <c r="P204" s="658"/>
      <c r="Q204" s="659" t="s">
        <v>14</v>
      </c>
      <c r="R204" s="658"/>
      <c r="S204" s="658"/>
      <c r="T204" s="658"/>
      <c r="U204" s="658"/>
      <c r="V204" s="760">
        <v>0.5</v>
      </c>
      <c r="W204" s="656"/>
      <c r="X204" s="656"/>
      <c r="Y204" s="656"/>
      <c r="Z204" s="656"/>
    </row>
    <row r="205" spans="1:26" x14ac:dyDescent="0.45">
      <c r="A205" s="656"/>
      <c r="B205" s="656"/>
      <c r="C205" s="656"/>
      <c r="D205" s="2057"/>
      <c r="E205" s="2058"/>
      <c r="F205" s="2058"/>
      <c r="G205" s="2058"/>
      <c r="H205" s="2058"/>
      <c r="I205" s="2058"/>
      <c r="J205" s="2058"/>
      <c r="K205" s="2058"/>
      <c r="L205" s="2058"/>
      <c r="M205" s="777"/>
      <c r="N205" s="777" t="s">
        <v>612</v>
      </c>
      <c r="O205" s="777"/>
      <c r="P205" s="777"/>
      <c r="Q205" s="801" t="s">
        <v>14</v>
      </c>
      <c r="R205" s="777"/>
      <c r="S205" s="777"/>
      <c r="T205" s="777"/>
      <c r="U205" s="777"/>
      <c r="V205" s="756">
        <v>0.5</v>
      </c>
      <c r="W205" s="656"/>
      <c r="X205" s="656"/>
      <c r="Y205" s="656"/>
      <c r="Z205" s="656"/>
    </row>
    <row r="206" spans="1:26" x14ac:dyDescent="0.45">
      <c r="A206" s="656"/>
      <c r="B206" s="656"/>
      <c r="C206" s="656"/>
      <c r="D206" s="656"/>
      <c r="E206" s="656"/>
      <c r="F206" s="656"/>
      <c r="G206" s="656"/>
      <c r="H206" s="656"/>
      <c r="I206" s="656"/>
      <c r="J206" s="656"/>
      <c r="K206" s="656"/>
      <c r="L206" s="656"/>
      <c r="M206" s="656"/>
      <c r="N206" s="656"/>
      <c r="O206" s="656"/>
      <c r="P206" s="656"/>
      <c r="Q206" s="656"/>
      <c r="R206" s="656"/>
      <c r="S206" s="656"/>
      <c r="T206" s="656"/>
      <c r="U206" s="656"/>
      <c r="V206" s="656"/>
      <c r="W206" s="656"/>
      <c r="X206" s="656"/>
      <c r="Y206" s="656"/>
      <c r="Z206" s="656"/>
    </row>
    <row r="207" spans="1:26" ht="13.15" x14ac:dyDescent="0.45">
      <c r="A207" s="656"/>
      <c r="B207" s="656"/>
      <c r="C207" s="671" t="s">
        <v>356</v>
      </c>
      <c r="D207" s="671"/>
      <c r="E207" s="656"/>
      <c r="F207" s="656"/>
      <c r="G207" s="656"/>
      <c r="H207" s="656"/>
      <c r="I207" s="656"/>
      <c r="J207" s="656"/>
      <c r="K207" s="656"/>
      <c r="L207" s="656"/>
      <c r="M207" s="656"/>
      <c r="N207" s="656"/>
      <c r="O207" s="656"/>
      <c r="P207" s="656"/>
      <c r="Q207" s="656"/>
      <c r="R207" s="656"/>
      <c r="S207" s="823"/>
      <c r="T207" s="656"/>
      <c r="U207" s="656"/>
      <c r="V207" s="656"/>
      <c r="W207" s="656"/>
      <c r="X207" s="656"/>
      <c r="Y207" s="656"/>
      <c r="Z207" s="656"/>
    </row>
    <row r="208" spans="1:26" ht="13.15" x14ac:dyDescent="0.45">
      <c r="A208" s="656"/>
      <c r="B208" s="656"/>
      <c r="C208" s="671"/>
      <c r="D208" s="671"/>
      <c r="E208" s="656"/>
      <c r="F208" s="656"/>
      <c r="G208" s="656"/>
      <c r="H208" s="656"/>
      <c r="I208" s="656"/>
      <c r="J208" s="656"/>
      <c r="K208" s="656"/>
      <c r="L208" s="656"/>
      <c r="M208" s="656"/>
      <c r="N208" s="656"/>
      <c r="O208" s="656"/>
      <c r="P208" s="656"/>
      <c r="Q208" s="656"/>
      <c r="R208" s="656"/>
      <c r="S208" s="823"/>
      <c r="T208" s="656"/>
      <c r="U208" s="656"/>
      <c r="V208" s="656"/>
      <c r="W208" s="656"/>
      <c r="X208" s="656"/>
      <c r="Y208" s="656"/>
      <c r="Z208" s="656"/>
    </row>
    <row r="209" spans="1:26" ht="13.15" x14ac:dyDescent="0.45">
      <c r="A209" s="656"/>
      <c r="B209" s="656"/>
      <c r="C209" s="663" t="s">
        <v>655</v>
      </c>
      <c r="D209" s="671"/>
      <c r="E209" s="656"/>
      <c r="F209" s="656"/>
      <c r="G209" s="656"/>
      <c r="H209" s="656"/>
      <c r="I209" s="656"/>
      <c r="J209" s="656"/>
      <c r="K209" s="656"/>
      <c r="L209" s="656"/>
      <c r="M209" s="656"/>
      <c r="N209" s="656"/>
      <c r="O209" s="656"/>
      <c r="P209" s="656"/>
      <c r="Q209" s="656"/>
      <c r="R209" s="656"/>
      <c r="S209" s="823"/>
      <c r="T209" s="656"/>
      <c r="U209" s="656"/>
      <c r="V209" s="656"/>
      <c r="W209" s="656"/>
      <c r="X209" s="656"/>
      <c r="Y209" s="656"/>
      <c r="Z209" s="656"/>
    </row>
    <row r="210" spans="1:26" ht="13.15" outlineLevel="1" x14ac:dyDescent="0.45">
      <c r="A210" s="656"/>
      <c r="B210" s="656"/>
      <c r="C210" s="664" t="s">
        <v>344</v>
      </c>
      <c r="D210" s="671"/>
      <c r="E210" s="656"/>
      <c r="F210" s="656"/>
      <c r="G210" s="656"/>
      <c r="H210" s="656"/>
      <c r="I210" s="656"/>
      <c r="J210" s="656"/>
      <c r="K210" s="656"/>
      <c r="L210" s="656"/>
      <c r="M210" s="656"/>
      <c r="N210" s="656"/>
      <c r="O210" s="656"/>
      <c r="P210" s="656"/>
      <c r="Q210" s="656"/>
      <c r="R210" s="656"/>
      <c r="S210" s="823"/>
      <c r="T210" s="656"/>
      <c r="U210" s="656"/>
      <c r="V210" s="656"/>
      <c r="W210" s="656"/>
      <c r="X210" s="656"/>
      <c r="Y210" s="656"/>
      <c r="Z210" s="656"/>
    </row>
    <row r="211" spans="1:26" ht="13.15" outlineLevel="1" x14ac:dyDescent="0.45">
      <c r="A211" s="656"/>
      <c r="B211" s="656"/>
      <c r="C211" s="664" t="s">
        <v>723</v>
      </c>
      <c r="D211" s="671"/>
      <c r="E211" s="656"/>
      <c r="F211" s="656"/>
      <c r="G211" s="656"/>
      <c r="H211" s="656"/>
      <c r="I211" s="656"/>
      <c r="J211" s="656"/>
      <c r="K211" s="656"/>
      <c r="L211" s="656"/>
      <c r="M211" s="656"/>
      <c r="N211" s="656"/>
      <c r="O211" s="656"/>
      <c r="P211" s="656"/>
      <c r="Q211" s="656"/>
      <c r="R211" s="656"/>
      <c r="S211" s="823"/>
      <c r="T211" s="656"/>
      <c r="U211" s="656"/>
      <c r="V211" s="656"/>
      <c r="W211" s="656"/>
      <c r="X211" s="656"/>
      <c r="Y211" s="656"/>
      <c r="Z211" s="656"/>
    </row>
    <row r="212" spans="1:26" ht="13.15" outlineLevel="1" x14ac:dyDescent="0.45">
      <c r="A212" s="656"/>
      <c r="B212" s="656"/>
      <c r="C212" s="664"/>
      <c r="D212" s="671"/>
      <c r="E212" s="656"/>
      <c r="F212" s="656"/>
      <c r="G212" s="656"/>
      <c r="H212" s="656"/>
      <c r="I212" s="656"/>
      <c r="J212" s="656"/>
      <c r="K212" s="656"/>
      <c r="L212" s="656"/>
      <c r="M212" s="656"/>
      <c r="N212" s="656"/>
      <c r="O212" s="656"/>
      <c r="P212" s="656"/>
      <c r="Q212" s="656"/>
      <c r="R212" s="656"/>
      <c r="S212" s="823"/>
      <c r="T212" s="656"/>
      <c r="U212" s="656"/>
      <c r="V212" s="656"/>
      <c r="W212" s="656"/>
      <c r="X212" s="656"/>
      <c r="Y212" s="656"/>
      <c r="Z212" s="656"/>
    </row>
    <row r="213" spans="1:26" ht="12.75" customHeight="1" x14ac:dyDescent="0.45">
      <c r="A213" s="656"/>
      <c r="B213" s="656"/>
      <c r="C213" s="656"/>
      <c r="D213" s="779" t="s">
        <v>80</v>
      </c>
      <c r="E213" s="668"/>
      <c r="F213" s="668"/>
      <c r="G213" s="668"/>
      <c r="H213" s="668"/>
      <c r="I213" s="668"/>
      <c r="J213" s="668"/>
      <c r="K213" s="668"/>
      <c r="L213" s="668"/>
      <c r="M213" s="2070" t="s">
        <v>677</v>
      </c>
      <c r="N213" s="2018"/>
      <c r="O213" s="2018"/>
      <c r="P213" s="2018"/>
      <c r="Q213" s="668"/>
      <c r="R213" s="780"/>
      <c r="S213" s="2040" t="s">
        <v>170</v>
      </c>
      <c r="T213" s="2041"/>
      <c r="U213" s="2042"/>
      <c r="V213" s="2049" t="s">
        <v>171</v>
      </c>
      <c r="W213" s="2050"/>
      <c r="X213" s="2051"/>
      <c r="Y213" s="656"/>
      <c r="Z213" s="656"/>
    </row>
    <row r="214" spans="1:26" ht="12.75" customHeight="1" x14ac:dyDescent="0.45">
      <c r="A214" s="656"/>
      <c r="B214" s="656"/>
      <c r="C214" s="656"/>
      <c r="D214" s="2055" t="str">
        <f>$D$126</f>
        <v>Financing Risk / Counterparty Risk</v>
      </c>
      <c r="E214" s="2056"/>
      <c r="F214" s="2056"/>
      <c r="G214" s="2056"/>
      <c r="H214" s="2056"/>
      <c r="I214" s="2056"/>
      <c r="J214" s="2056"/>
      <c r="K214" s="2056"/>
      <c r="L214" s="2056"/>
      <c r="M214" s="802" t="str">
        <f>$M$126</f>
        <v>Public Loans</v>
      </c>
      <c r="N214" s="789"/>
      <c r="O214" s="789"/>
      <c r="P214" s="803"/>
      <c r="Q214" s="789"/>
      <c r="R214" s="789"/>
      <c r="S214" s="2021"/>
      <c r="T214" s="2022"/>
      <c r="U214" s="2023"/>
      <c r="V214" s="2080"/>
      <c r="W214" s="2081"/>
      <c r="X214" s="2082"/>
      <c r="Y214" s="656"/>
      <c r="Z214" s="656"/>
    </row>
    <row r="215" spans="1:26" ht="12.75" customHeight="1" x14ac:dyDescent="0.45">
      <c r="A215" s="656"/>
      <c r="B215" s="656"/>
      <c r="C215" s="656"/>
      <c r="D215" s="2072"/>
      <c r="E215" s="2073"/>
      <c r="F215" s="2073"/>
      <c r="G215" s="2073"/>
      <c r="H215" s="2073"/>
      <c r="I215" s="2073"/>
      <c r="J215" s="2073"/>
      <c r="K215" s="2073"/>
      <c r="L215" s="2073"/>
      <c r="M215" s="658"/>
      <c r="N215" s="658" t="s">
        <v>306</v>
      </c>
      <c r="O215" s="658"/>
      <c r="P215" s="658"/>
      <c r="Q215" s="659" t="s">
        <v>14</v>
      </c>
      <c r="R215" s="658"/>
      <c r="S215" s="2024">
        <v>0</v>
      </c>
      <c r="T215" s="2025"/>
      <c r="U215" s="2026"/>
      <c r="V215" s="2074">
        <f>V43</f>
        <v>0.04</v>
      </c>
      <c r="W215" s="2075"/>
      <c r="X215" s="2076"/>
      <c r="Y215" s="656"/>
      <c r="Z215" s="656"/>
    </row>
    <row r="216" spans="1:26" ht="12.75" customHeight="1" x14ac:dyDescent="0.45">
      <c r="A216" s="656"/>
      <c r="B216" s="656"/>
      <c r="C216" s="656"/>
      <c r="D216" s="2072"/>
      <c r="E216" s="2073"/>
      <c r="F216" s="2073"/>
      <c r="G216" s="2073"/>
      <c r="H216" s="2073"/>
      <c r="I216" s="2073"/>
      <c r="J216" s="2073"/>
      <c r="K216" s="2073"/>
      <c r="L216" s="2073"/>
      <c r="M216" s="658"/>
      <c r="N216" s="658" t="s">
        <v>26</v>
      </c>
      <c r="O216" s="658"/>
      <c r="P216" s="658"/>
      <c r="Q216" s="659" t="s">
        <v>18</v>
      </c>
      <c r="R216" s="658"/>
      <c r="S216" s="2027">
        <v>0</v>
      </c>
      <c r="T216" s="2028"/>
      <c r="U216" s="2029"/>
      <c r="V216" s="2096">
        <v>20</v>
      </c>
      <c r="W216" s="2097"/>
      <c r="X216" s="2098"/>
      <c r="Y216" s="656"/>
      <c r="Z216" s="656"/>
    </row>
    <row r="217" spans="1:26" ht="12.75" customHeight="1" x14ac:dyDescent="0.45">
      <c r="A217" s="656"/>
      <c r="B217" s="656"/>
      <c r="C217" s="656"/>
      <c r="D217" s="2057"/>
      <c r="E217" s="2058"/>
      <c r="F217" s="2058"/>
      <c r="G217" s="2058"/>
      <c r="H217" s="2058"/>
      <c r="I217" s="2058"/>
      <c r="J217" s="2058"/>
      <c r="K217" s="2058"/>
      <c r="L217" s="2058"/>
      <c r="M217" s="777"/>
      <c r="N217" s="777" t="s">
        <v>305</v>
      </c>
      <c r="O217" s="777"/>
      <c r="P217" s="777"/>
      <c r="Q217" s="801" t="s">
        <v>27</v>
      </c>
      <c r="R217" s="777"/>
      <c r="S217" s="2158">
        <v>0</v>
      </c>
      <c r="T217" s="2159"/>
      <c r="U217" s="2160"/>
      <c r="V217" s="2077">
        <v>0</v>
      </c>
      <c r="W217" s="2078"/>
      <c r="X217" s="2079"/>
      <c r="Y217" s="656"/>
      <c r="Z217" s="656"/>
    </row>
    <row r="218" spans="1:26" ht="12.75" customHeight="1" x14ac:dyDescent="0.45">
      <c r="A218" s="656"/>
      <c r="B218" s="656"/>
      <c r="C218" s="656"/>
      <c r="D218" s="2055" t="str">
        <f>$D$128</f>
        <v>Financing Risk / Counterparty Risk</v>
      </c>
      <c r="E218" s="2056"/>
      <c r="F218" s="2056"/>
      <c r="G218" s="2056"/>
      <c r="H218" s="2056"/>
      <c r="I218" s="2056"/>
      <c r="J218" s="2056"/>
      <c r="K218" s="2056"/>
      <c r="L218" s="2056"/>
      <c r="M218" s="802" t="str">
        <f>$M$128</f>
        <v>Public Guarantees to Commercial Loans</v>
      </c>
      <c r="N218" s="789"/>
      <c r="O218" s="789"/>
      <c r="P218" s="803"/>
      <c r="Q218" s="789"/>
      <c r="R218" s="789"/>
      <c r="S218" s="2105"/>
      <c r="T218" s="2106"/>
      <c r="U218" s="2107"/>
      <c r="V218" s="2080"/>
      <c r="W218" s="2081"/>
      <c r="X218" s="2082"/>
      <c r="Y218" s="656"/>
      <c r="Z218" s="656"/>
    </row>
    <row r="219" spans="1:26" ht="12.75" customHeight="1" x14ac:dyDescent="0.45">
      <c r="A219" s="656"/>
      <c r="B219" s="656"/>
      <c r="C219" s="656"/>
      <c r="D219" s="2072"/>
      <c r="E219" s="2073"/>
      <c r="F219" s="2073"/>
      <c r="G219" s="2073"/>
      <c r="H219" s="2073"/>
      <c r="I219" s="2073"/>
      <c r="J219" s="2073"/>
      <c r="K219" s="2073"/>
      <c r="L219" s="2073"/>
      <c r="M219" s="658"/>
      <c r="N219" s="658" t="s">
        <v>330</v>
      </c>
      <c r="O219" s="658"/>
      <c r="P219" s="658"/>
      <c r="Q219" s="659" t="s">
        <v>14</v>
      </c>
      <c r="R219" s="658"/>
      <c r="S219" s="2024">
        <v>0</v>
      </c>
      <c r="T219" s="2025"/>
      <c r="U219" s="2026"/>
      <c r="V219" s="2074" t="str">
        <f>V44</f>
        <v>NA</v>
      </c>
      <c r="W219" s="2075"/>
      <c r="X219" s="2076"/>
      <c r="Y219" s="656"/>
      <c r="Z219" s="656"/>
    </row>
    <row r="220" spans="1:26" ht="12.75" customHeight="1" x14ac:dyDescent="0.45">
      <c r="A220" s="656"/>
      <c r="B220" s="656"/>
      <c r="C220" s="656"/>
      <c r="D220" s="2072"/>
      <c r="E220" s="2073"/>
      <c r="F220" s="2073"/>
      <c r="G220" s="2073"/>
      <c r="H220" s="2073"/>
      <c r="I220" s="2073"/>
      <c r="J220" s="2073"/>
      <c r="K220" s="2073"/>
      <c r="L220" s="2073"/>
      <c r="M220" s="658"/>
      <c r="N220" s="658" t="s">
        <v>26</v>
      </c>
      <c r="O220" s="658"/>
      <c r="P220" s="658"/>
      <c r="Q220" s="659" t="s">
        <v>18</v>
      </c>
      <c r="R220" s="658"/>
      <c r="S220" s="2027">
        <v>0</v>
      </c>
      <c r="T220" s="2028"/>
      <c r="U220" s="2029"/>
      <c r="V220" s="2096">
        <v>0</v>
      </c>
      <c r="W220" s="2097"/>
      <c r="X220" s="2098"/>
      <c r="Y220" s="656"/>
      <c r="Z220" s="656"/>
    </row>
    <row r="221" spans="1:26" ht="12.75" customHeight="1" x14ac:dyDescent="0.45">
      <c r="A221" s="656"/>
      <c r="B221" s="656"/>
      <c r="C221" s="656"/>
      <c r="D221" s="2072"/>
      <c r="E221" s="2073"/>
      <c r="F221" s="2073"/>
      <c r="G221" s="2073"/>
      <c r="H221" s="2073"/>
      <c r="I221" s="2073"/>
      <c r="J221" s="2073"/>
      <c r="K221" s="2073"/>
      <c r="L221" s="2073"/>
      <c r="M221" s="658"/>
      <c r="N221" s="658" t="s">
        <v>331</v>
      </c>
      <c r="O221" s="658"/>
      <c r="P221" s="658"/>
      <c r="Q221" s="659" t="s">
        <v>27</v>
      </c>
      <c r="R221" s="658"/>
      <c r="S221" s="2027">
        <v>0</v>
      </c>
      <c r="T221" s="2028"/>
      <c r="U221" s="2029"/>
      <c r="V221" s="2096">
        <v>0</v>
      </c>
      <c r="W221" s="2097"/>
      <c r="X221" s="2098"/>
      <c r="Y221" s="656"/>
      <c r="Z221" s="656"/>
    </row>
    <row r="222" spans="1:26" ht="12.75" customHeight="1" x14ac:dyDescent="0.45">
      <c r="A222" s="656"/>
      <c r="B222" s="656"/>
      <c r="C222" s="656"/>
      <c r="D222" s="2072"/>
      <c r="E222" s="2073"/>
      <c r="F222" s="2073"/>
      <c r="G222" s="2073"/>
      <c r="H222" s="2073"/>
      <c r="I222" s="2073"/>
      <c r="J222" s="2073"/>
      <c r="K222" s="2073"/>
      <c r="L222" s="2073"/>
      <c r="M222" s="658"/>
      <c r="N222" s="658" t="s">
        <v>332</v>
      </c>
      <c r="O222" s="658"/>
      <c r="P222" s="658"/>
      <c r="Q222" s="659" t="s">
        <v>14</v>
      </c>
      <c r="R222" s="658"/>
      <c r="S222" s="2024">
        <v>0</v>
      </c>
      <c r="T222" s="2025"/>
      <c r="U222" s="2026"/>
      <c r="V222" s="2030">
        <v>0</v>
      </c>
      <c r="W222" s="2031"/>
      <c r="X222" s="2032"/>
      <c r="Y222" s="656"/>
      <c r="Z222" s="656"/>
    </row>
    <row r="223" spans="1:26" ht="12.75" customHeight="1" x14ac:dyDescent="0.45">
      <c r="A223" s="656"/>
      <c r="B223" s="656"/>
      <c r="C223" s="656"/>
      <c r="D223" s="2072"/>
      <c r="E223" s="2073"/>
      <c r="F223" s="2073"/>
      <c r="G223" s="2073"/>
      <c r="H223" s="2073"/>
      <c r="I223" s="2073"/>
      <c r="J223" s="2073"/>
      <c r="K223" s="2073"/>
      <c r="L223" s="2073"/>
      <c r="M223" s="658"/>
      <c r="N223" s="658"/>
      <c r="O223" s="658" t="s">
        <v>333</v>
      </c>
      <c r="P223" s="658"/>
      <c r="Q223" s="659" t="s">
        <v>18</v>
      </c>
      <c r="R223" s="658"/>
      <c r="S223" s="2083">
        <f>S220</f>
        <v>0</v>
      </c>
      <c r="T223" s="2084"/>
      <c r="U223" s="2085"/>
      <c r="V223" s="2225">
        <f>V220</f>
        <v>0</v>
      </c>
      <c r="W223" s="2226"/>
      <c r="X223" s="2227"/>
      <c r="Y223" s="656"/>
      <c r="Z223" s="656"/>
    </row>
    <row r="224" spans="1:26" ht="12.75" customHeight="1" x14ac:dyDescent="0.45">
      <c r="A224" s="656"/>
      <c r="B224" s="656"/>
      <c r="C224" s="656"/>
      <c r="D224" s="2072"/>
      <c r="E224" s="2073"/>
      <c r="F224" s="2073"/>
      <c r="G224" s="2073"/>
      <c r="H224" s="2073"/>
      <c r="I224" s="2073"/>
      <c r="J224" s="2073"/>
      <c r="K224" s="2073"/>
      <c r="L224" s="2073"/>
      <c r="M224" s="658"/>
      <c r="N224" s="658"/>
      <c r="O224" s="658" t="s">
        <v>312</v>
      </c>
      <c r="P224" s="658"/>
      <c r="Q224" s="659" t="s">
        <v>27</v>
      </c>
      <c r="R224" s="658"/>
      <c r="S224" s="2027">
        <v>0</v>
      </c>
      <c r="T224" s="2028"/>
      <c r="U224" s="2029"/>
      <c r="V224" s="2096">
        <v>0</v>
      </c>
      <c r="W224" s="2097"/>
      <c r="X224" s="2098"/>
      <c r="Y224" s="656"/>
      <c r="Z224" s="656"/>
    </row>
    <row r="225" spans="1:26" ht="12.75" customHeight="1" x14ac:dyDescent="0.45">
      <c r="A225" s="656"/>
      <c r="B225" s="656"/>
      <c r="C225" s="656"/>
      <c r="D225" s="2057"/>
      <c r="E225" s="2058"/>
      <c r="F225" s="2058"/>
      <c r="G225" s="2058"/>
      <c r="H225" s="2058"/>
      <c r="I225" s="2058"/>
      <c r="J225" s="2058"/>
      <c r="K225" s="2058"/>
      <c r="L225" s="2058"/>
      <c r="M225" s="777"/>
      <c r="N225" s="777"/>
      <c r="O225" s="777" t="s">
        <v>334</v>
      </c>
      <c r="P225" s="777"/>
      <c r="Q225" s="801" t="s">
        <v>27</v>
      </c>
      <c r="R225" s="777"/>
      <c r="S225" s="2158">
        <v>0</v>
      </c>
      <c r="T225" s="2159"/>
      <c r="U225" s="2160"/>
      <c r="V225" s="2077">
        <v>0</v>
      </c>
      <c r="W225" s="2078"/>
      <c r="X225" s="2079"/>
      <c r="Y225" s="656"/>
      <c r="Z225" s="656"/>
    </row>
    <row r="226" spans="1:26" ht="12.75" customHeight="1" x14ac:dyDescent="0.45">
      <c r="A226" s="656"/>
      <c r="B226" s="656"/>
      <c r="C226" s="656"/>
      <c r="D226" s="2055" t="str">
        <f>$D$130</f>
        <v>Political Risk</v>
      </c>
      <c r="E226" s="2056"/>
      <c r="F226" s="2056"/>
      <c r="G226" s="2056"/>
      <c r="H226" s="2056"/>
      <c r="I226" s="2056"/>
      <c r="J226" s="2056"/>
      <c r="K226" s="2056"/>
      <c r="L226" s="2056"/>
      <c r="M226" s="802" t="str">
        <f>$M$130</f>
        <v>Political Risk Insurance for Equity Investment</v>
      </c>
      <c r="N226" s="789"/>
      <c r="O226" s="789"/>
      <c r="P226" s="803"/>
      <c r="Q226" s="789"/>
      <c r="R226" s="789"/>
      <c r="S226" s="2105"/>
      <c r="T226" s="2106"/>
      <c r="U226" s="2107"/>
      <c r="V226" s="2086"/>
      <c r="W226" s="2087"/>
      <c r="X226" s="2088"/>
      <c r="Y226" s="656"/>
      <c r="Z226" s="656"/>
    </row>
    <row r="227" spans="1:26" ht="12.75" customHeight="1" x14ac:dyDescent="0.45">
      <c r="A227" s="656"/>
      <c r="B227" s="656"/>
      <c r="C227" s="656"/>
      <c r="D227" s="2072"/>
      <c r="E227" s="2073"/>
      <c r="F227" s="2073"/>
      <c r="G227" s="2073"/>
      <c r="H227" s="2073"/>
      <c r="I227" s="2073"/>
      <c r="J227" s="2073"/>
      <c r="K227" s="2073"/>
      <c r="L227" s="2073"/>
      <c r="M227" s="658"/>
      <c r="N227" s="658" t="s">
        <v>314</v>
      </c>
      <c r="O227" s="658"/>
      <c r="P227" s="804"/>
      <c r="Q227" s="658"/>
      <c r="R227" s="658"/>
      <c r="S227" s="2110">
        <v>0</v>
      </c>
      <c r="T227" s="2111"/>
      <c r="U227" s="2112"/>
      <c r="V227" s="2030">
        <v>0</v>
      </c>
      <c r="W227" s="2031"/>
      <c r="X227" s="2032"/>
      <c r="Y227" s="656"/>
      <c r="Z227" s="656"/>
    </row>
    <row r="228" spans="1:26" ht="12.75" customHeight="1" x14ac:dyDescent="0.45">
      <c r="A228" s="656"/>
      <c r="B228" s="656"/>
      <c r="C228" s="656"/>
      <c r="D228" s="2072"/>
      <c r="E228" s="2073"/>
      <c r="F228" s="2073"/>
      <c r="G228" s="2073"/>
      <c r="H228" s="2073"/>
      <c r="I228" s="2073"/>
      <c r="J228" s="2073"/>
      <c r="K228" s="2073"/>
      <c r="L228" s="2073"/>
      <c r="M228" s="658"/>
      <c r="N228" s="658" t="s">
        <v>179</v>
      </c>
      <c r="O228" s="658"/>
      <c r="P228" s="658"/>
      <c r="Q228" s="659" t="s">
        <v>18</v>
      </c>
      <c r="R228" s="658"/>
      <c r="S228" s="2102">
        <v>0</v>
      </c>
      <c r="T228" s="2103"/>
      <c r="U228" s="2104"/>
      <c r="V228" s="2099">
        <v>0</v>
      </c>
      <c r="W228" s="2100"/>
      <c r="X228" s="2101"/>
      <c r="Y228" s="656"/>
      <c r="Z228" s="656"/>
    </row>
    <row r="229" spans="1:26" ht="12.75" customHeight="1" x14ac:dyDescent="0.45">
      <c r="A229" s="656"/>
      <c r="B229" s="656"/>
      <c r="C229" s="656"/>
      <c r="D229" s="2072"/>
      <c r="E229" s="2073"/>
      <c r="F229" s="2073"/>
      <c r="G229" s="2073"/>
      <c r="H229" s="2073"/>
      <c r="I229" s="2073"/>
      <c r="J229" s="2073"/>
      <c r="K229" s="2073"/>
      <c r="L229" s="2073"/>
      <c r="M229" s="658"/>
      <c r="N229" s="658" t="s">
        <v>180</v>
      </c>
      <c r="O229" s="658"/>
      <c r="P229" s="658"/>
      <c r="Q229" s="659" t="s">
        <v>27</v>
      </c>
      <c r="R229" s="658"/>
      <c r="S229" s="2102">
        <v>0</v>
      </c>
      <c r="T229" s="2103"/>
      <c r="U229" s="2104"/>
      <c r="V229" s="2099">
        <v>0</v>
      </c>
      <c r="W229" s="2100"/>
      <c r="X229" s="2101"/>
      <c r="Y229" s="656"/>
      <c r="Z229" s="656"/>
    </row>
    <row r="230" spans="1:26" ht="12.75" customHeight="1" x14ac:dyDescent="0.45">
      <c r="A230" s="656"/>
      <c r="B230" s="656"/>
      <c r="C230" s="656"/>
      <c r="D230" s="2057"/>
      <c r="E230" s="2058"/>
      <c r="F230" s="2058"/>
      <c r="G230" s="2058"/>
      <c r="H230" s="2058"/>
      <c r="I230" s="2058"/>
      <c r="J230" s="2058"/>
      <c r="K230" s="2058"/>
      <c r="L230" s="2058"/>
      <c r="M230" s="777"/>
      <c r="N230" s="777" t="s">
        <v>181</v>
      </c>
      <c r="O230" s="777"/>
      <c r="P230" s="777"/>
      <c r="Q230" s="801" t="s">
        <v>27</v>
      </c>
      <c r="R230" s="777"/>
      <c r="S230" s="2133">
        <v>0</v>
      </c>
      <c r="T230" s="2134"/>
      <c r="U230" s="2135"/>
      <c r="V230" s="2093">
        <v>0</v>
      </c>
      <c r="W230" s="2094"/>
      <c r="X230" s="2095"/>
      <c r="Y230" s="656"/>
      <c r="Z230" s="656"/>
    </row>
    <row r="231" spans="1:26" x14ac:dyDescent="0.45">
      <c r="A231" s="656"/>
      <c r="B231" s="656"/>
      <c r="C231" s="656"/>
      <c r="D231" s="656"/>
      <c r="E231" s="656"/>
      <c r="F231" s="656"/>
      <c r="G231" s="656"/>
      <c r="H231" s="656"/>
      <c r="I231" s="656"/>
      <c r="J231" s="656"/>
      <c r="K231" s="656"/>
      <c r="L231" s="656"/>
      <c r="M231" s="656"/>
      <c r="N231" s="656"/>
      <c r="O231" s="656"/>
      <c r="P231" s="658"/>
      <c r="Q231" s="658"/>
      <c r="R231" s="658"/>
      <c r="S231" s="658"/>
      <c r="T231" s="658"/>
      <c r="U231" s="656"/>
      <c r="V231" s="656"/>
      <c r="W231" s="656"/>
      <c r="X231" s="656"/>
      <c r="Y231" s="656"/>
      <c r="Z231" s="656"/>
    </row>
    <row r="232" spans="1:26" x14ac:dyDescent="0.45">
      <c r="A232" s="656"/>
      <c r="B232" s="656"/>
      <c r="C232" s="656"/>
      <c r="D232" s="656"/>
      <c r="E232" s="656"/>
      <c r="F232" s="656"/>
      <c r="G232" s="656"/>
      <c r="H232" s="656"/>
      <c r="I232" s="656"/>
      <c r="J232" s="656"/>
      <c r="K232" s="656"/>
      <c r="L232" s="656"/>
      <c r="M232" s="656"/>
      <c r="N232" s="656"/>
      <c r="O232" s="656"/>
      <c r="P232" s="658"/>
      <c r="Q232" s="658"/>
      <c r="R232" s="658"/>
      <c r="S232" s="658"/>
      <c r="T232" s="658"/>
      <c r="U232" s="656"/>
      <c r="V232" s="656"/>
      <c r="W232" s="656"/>
      <c r="X232" s="656"/>
      <c r="Y232" s="656"/>
      <c r="Z232" s="656"/>
    </row>
    <row r="233" spans="1:26" ht="15" customHeight="1" x14ac:dyDescent="0.45">
      <c r="A233" s="656"/>
      <c r="B233" s="656"/>
      <c r="C233" s="671" t="s">
        <v>357</v>
      </c>
      <c r="D233" s="671"/>
      <c r="E233" s="656"/>
      <c r="F233" s="656"/>
      <c r="G233" s="656"/>
      <c r="H233" s="656"/>
      <c r="I233" s="656"/>
      <c r="J233" s="656"/>
      <c r="K233" s="656"/>
      <c r="L233" s="656"/>
      <c r="M233" s="656"/>
      <c r="N233" s="656"/>
      <c r="O233" s="656"/>
      <c r="P233" s="656"/>
      <c r="Q233" s="656"/>
      <c r="R233" s="656"/>
      <c r="S233" s="656"/>
      <c r="T233" s="656"/>
      <c r="U233" s="656"/>
      <c r="V233" s="656"/>
      <c r="W233" s="656"/>
      <c r="X233" s="656"/>
      <c r="Y233" s="656"/>
      <c r="Z233" s="656"/>
    </row>
    <row r="234" spans="1:26" x14ac:dyDescent="0.45">
      <c r="A234" s="656"/>
      <c r="B234" s="656"/>
      <c r="C234" s="656"/>
      <c r="D234" s="656"/>
      <c r="E234" s="656"/>
      <c r="F234" s="656"/>
      <c r="G234" s="656"/>
      <c r="H234" s="656"/>
      <c r="I234" s="656"/>
      <c r="J234" s="656"/>
      <c r="K234" s="656"/>
      <c r="L234" s="656"/>
      <c r="M234" s="656"/>
      <c r="N234" s="656"/>
      <c r="O234" s="656"/>
      <c r="P234" s="681"/>
      <c r="Q234" s="656"/>
      <c r="R234" s="656"/>
      <c r="S234" s="658"/>
      <c r="T234" s="656"/>
      <c r="U234" s="656"/>
      <c r="V234" s="656"/>
      <c r="W234" s="656"/>
      <c r="X234" s="656"/>
      <c r="Y234" s="656"/>
      <c r="Z234" s="656"/>
    </row>
    <row r="235" spans="1:26" x14ac:dyDescent="0.45">
      <c r="A235" s="656"/>
      <c r="B235" s="656"/>
      <c r="C235" s="663" t="s">
        <v>655</v>
      </c>
      <c r="D235" s="656"/>
      <c r="E235" s="656"/>
      <c r="F235" s="656"/>
      <c r="G235" s="656"/>
      <c r="H235" s="656"/>
      <c r="I235" s="656"/>
      <c r="J235" s="656"/>
      <c r="K235" s="656"/>
      <c r="L235" s="656"/>
      <c r="M235" s="656"/>
      <c r="N235" s="656"/>
      <c r="O235" s="656"/>
      <c r="P235" s="681"/>
      <c r="Q235" s="656"/>
      <c r="R235" s="656"/>
      <c r="S235" s="658"/>
      <c r="T235" s="656"/>
      <c r="U235" s="656"/>
      <c r="V235" s="656"/>
      <c r="W235" s="656"/>
      <c r="X235" s="656"/>
      <c r="Y235" s="656"/>
      <c r="Z235" s="656"/>
    </row>
    <row r="236" spans="1:26" hidden="1" outlineLevel="1" x14ac:dyDescent="0.45">
      <c r="A236" s="656"/>
      <c r="B236" s="656"/>
      <c r="C236" s="805" t="s">
        <v>680</v>
      </c>
      <c r="D236" s="656"/>
      <c r="E236" s="656"/>
      <c r="F236" s="656"/>
      <c r="G236" s="656"/>
      <c r="H236" s="656"/>
      <c r="I236" s="656"/>
      <c r="J236" s="656"/>
      <c r="K236" s="656"/>
      <c r="L236" s="656"/>
      <c r="M236" s="656"/>
      <c r="N236" s="656"/>
      <c r="O236" s="656"/>
      <c r="P236" s="681"/>
      <c r="Q236" s="656"/>
      <c r="R236" s="656"/>
      <c r="S236" s="658"/>
      <c r="T236" s="656"/>
      <c r="U236" s="656"/>
      <c r="V236" s="656"/>
      <c r="W236" s="656"/>
      <c r="X236" s="656"/>
      <c r="Y236" s="656"/>
      <c r="Z236" s="656"/>
    </row>
    <row r="237" spans="1:26" hidden="1" outlineLevel="1" x14ac:dyDescent="0.45">
      <c r="A237" s="656"/>
      <c r="B237" s="656"/>
      <c r="C237" s="805" t="s">
        <v>157</v>
      </c>
      <c r="D237" s="656"/>
      <c r="E237" s="656"/>
      <c r="F237" s="656"/>
      <c r="G237" s="656"/>
      <c r="H237" s="656"/>
      <c r="I237" s="656"/>
      <c r="J237" s="656"/>
      <c r="K237" s="656"/>
      <c r="L237" s="656"/>
      <c r="M237" s="656"/>
      <c r="N237" s="656"/>
      <c r="O237" s="656"/>
      <c r="P237" s="681"/>
      <c r="Q237" s="656"/>
      <c r="R237" s="656"/>
      <c r="S237" s="658"/>
      <c r="T237" s="656"/>
      <c r="U237" s="656"/>
      <c r="V237" s="656"/>
      <c r="W237" s="656"/>
      <c r="X237" s="656"/>
      <c r="Y237" s="656"/>
      <c r="Z237" s="656"/>
    </row>
    <row r="238" spans="1:26" collapsed="1" x14ac:dyDescent="0.45">
      <c r="A238" s="656"/>
      <c r="B238" s="656"/>
      <c r="C238" s="656"/>
      <c r="D238" s="656"/>
      <c r="E238" s="656"/>
      <c r="F238" s="656"/>
      <c r="G238" s="656"/>
      <c r="H238" s="656"/>
      <c r="I238" s="656"/>
      <c r="J238" s="656"/>
      <c r="K238" s="656"/>
      <c r="L238" s="656"/>
      <c r="M238" s="656"/>
      <c r="N238" s="656"/>
      <c r="O238" s="656"/>
      <c r="P238" s="681"/>
      <c r="Q238" s="656"/>
      <c r="R238" s="656"/>
      <c r="S238" s="658"/>
      <c r="T238" s="656"/>
      <c r="U238" s="656"/>
      <c r="V238" s="656"/>
      <c r="W238" s="656"/>
      <c r="X238" s="656"/>
      <c r="Y238" s="656"/>
      <c r="Z238" s="656"/>
    </row>
    <row r="239" spans="1:26" ht="13.15" x14ac:dyDescent="0.45">
      <c r="A239" s="656"/>
      <c r="B239" s="656"/>
      <c r="C239" s="656"/>
      <c r="D239" s="779" t="s">
        <v>80</v>
      </c>
      <c r="E239" s="668"/>
      <c r="F239" s="668"/>
      <c r="G239" s="668"/>
      <c r="H239" s="668"/>
      <c r="I239" s="668"/>
      <c r="J239" s="668"/>
      <c r="K239" s="668"/>
      <c r="L239" s="668"/>
      <c r="M239" s="2070" t="s">
        <v>291</v>
      </c>
      <c r="N239" s="2070"/>
      <c r="O239" s="2070"/>
      <c r="P239" s="2070"/>
      <c r="Q239" s="668"/>
      <c r="R239" s="668"/>
      <c r="S239" s="668"/>
      <c r="T239" s="780"/>
      <c r="U239" s="2001" t="s">
        <v>373</v>
      </c>
      <c r="V239" s="2003"/>
      <c r="W239" s="656"/>
      <c r="X239" s="656"/>
      <c r="Y239" s="656"/>
      <c r="Z239" s="656"/>
    </row>
    <row r="240" spans="1:26" ht="13.15" x14ac:dyDescent="0.45">
      <c r="A240" s="656"/>
      <c r="B240" s="656"/>
      <c r="C240" s="656"/>
      <c r="D240" s="2055" t="str">
        <f>$D$126</f>
        <v>Financing Risk / Counterparty Risk</v>
      </c>
      <c r="E240" s="2056"/>
      <c r="F240" s="2056"/>
      <c r="G240" s="2056"/>
      <c r="H240" s="2056"/>
      <c r="I240" s="2056"/>
      <c r="J240" s="2056"/>
      <c r="K240" s="2056"/>
      <c r="L240" s="2056"/>
      <c r="M240" s="660" t="s">
        <v>186</v>
      </c>
      <c r="N240" s="789"/>
      <c r="O240" s="789"/>
      <c r="P240" s="806"/>
      <c r="Q240" s="789"/>
      <c r="R240" s="789"/>
      <c r="S240" s="789"/>
      <c r="T240" s="789"/>
      <c r="U240" s="811"/>
      <c r="V240" s="812"/>
      <c r="W240" s="656"/>
      <c r="X240" s="656"/>
      <c r="Y240" s="656"/>
      <c r="Z240" s="656"/>
    </row>
    <row r="241" spans="1:26" x14ac:dyDescent="0.45">
      <c r="A241" s="656"/>
      <c r="B241" s="656"/>
      <c r="C241" s="656"/>
      <c r="D241" s="2057"/>
      <c r="E241" s="2058"/>
      <c r="F241" s="2058"/>
      <c r="G241" s="2058"/>
      <c r="H241" s="2058"/>
      <c r="I241" s="2058"/>
      <c r="J241" s="2058"/>
      <c r="K241" s="2058"/>
      <c r="L241" s="2058"/>
      <c r="M241" s="656"/>
      <c r="N241" s="658"/>
      <c r="O241" s="658" t="s">
        <v>467</v>
      </c>
      <c r="P241" s="658"/>
      <c r="Q241" s="659" t="s">
        <v>14</v>
      </c>
      <c r="R241" s="658"/>
      <c r="S241" s="658"/>
      <c r="T241" s="658"/>
      <c r="U241" s="2091">
        <v>0.25</v>
      </c>
      <c r="V241" s="2092"/>
      <c r="W241" s="656"/>
      <c r="X241" s="656"/>
      <c r="Y241" s="656"/>
      <c r="Z241" s="656"/>
    </row>
    <row r="242" spans="1:26" ht="15" customHeight="1" x14ac:dyDescent="0.45">
      <c r="A242" s="656"/>
      <c r="B242" s="656"/>
      <c r="C242" s="656"/>
      <c r="D242" s="2055" t="str">
        <f>$D$126</f>
        <v>Financing Risk / Counterparty Risk</v>
      </c>
      <c r="E242" s="2056"/>
      <c r="F242" s="2056"/>
      <c r="G242" s="2056"/>
      <c r="H242" s="2056"/>
      <c r="I242" s="2056"/>
      <c r="J242" s="2056"/>
      <c r="K242" s="2056"/>
      <c r="L242" s="2056"/>
      <c r="M242" s="802" t="s">
        <v>159</v>
      </c>
      <c r="N242" s="789"/>
      <c r="O242" s="789"/>
      <c r="P242" s="789"/>
      <c r="Q242" s="789"/>
      <c r="R242" s="789"/>
      <c r="S242" s="789"/>
      <c r="T242" s="813"/>
      <c r="U242" s="781"/>
      <c r="V242" s="814"/>
      <c r="W242" s="656"/>
      <c r="X242" s="656"/>
      <c r="Y242" s="656"/>
      <c r="Z242" s="656"/>
    </row>
    <row r="243" spans="1:26" ht="15" customHeight="1" x14ac:dyDescent="0.45">
      <c r="A243" s="656"/>
      <c r="B243" s="656"/>
      <c r="C243" s="656"/>
      <c r="D243" s="2057"/>
      <c r="E243" s="2058"/>
      <c r="F243" s="2058"/>
      <c r="G243" s="2058"/>
      <c r="H243" s="2058"/>
      <c r="I243" s="2058"/>
      <c r="J243" s="2058"/>
      <c r="K243" s="2058"/>
      <c r="L243" s="2058"/>
      <c r="M243" s="777"/>
      <c r="N243" s="777"/>
      <c r="O243" s="777" t="s">
        <v>336</v>
      </c>
      <c r="P243" s="777"/>
      <c r="Q243" s="801" t="s">
        <v>14</v>
      </c>
      <c r="R243" s="777"/>
      <c r="S243" s="777"/>
      <c r="T243" s="815"/>
      <c r="U243" s="2091">
        <v>0</v>
      </c>
      <c r="V243" s="2092"/>
      <c r="W243" s="656"/>
      <c r="X243" s="656"/>
      <c r="Y243" s="656"/>
      <c r="Z243" s="656"/>
    </row>
    <row r="244" spans="1:26" ht="15" customHeight="1" x14ac:dyDescent="0.45">
      <c r="A244" s="656"/>
      <c r="B244" s="656"/>
      <c r="C244" s="656"/>
      <c r="D244" s="2055" t="str">
        <f>$D$130</f>
        <v>Political Risk</v>
      </c>
      <c r="E244" s="2056"/>
      <c r="F244" s="2056"/>
      <c r="G244" s="2056"/>
      <c r="H244" s="2056"/>
      <c r="I244" s="2056"/>
      <c r="J244" s="2056"/>
      <c r="K244" s="2056"/>
      <c r="L244" s="2056"/>
      <c r="M244" s="802" t="s">
        <v>335</v>
      </c>
      <c r="N244" s="789"/>
      <c r="O244" s="789"/>
      <c r="P244" s="789"/>
      <c r="Q244" s="807"/>
      <c r="R244" s="789"/>
      <c r="S244" s="789"/>
      <c r="T244" s="813"/>
      <c r="U244" s="816"/>
      <c r="V244" s="817"/>
      <c r="W244" s="656"/>
      <c r="X244" s="656"/>
      <c r="Y244" s="656"/>
      <c r="Z244" s="656"/>
    </row>
    <row r="245" spans="1:26" ht="15" customHeight="1" x14ac:dyDescent="0.45">
      <c r="A245" s="656"/>
      <c r="B245" s="656"/>
      <c r="C245" s="656"/>
      <c r="D245" s="2057"/>
      <c r="E245" s="2058"/>
      <c r="F245" s="2058"/>
      <c r="G245" s="2058"/>
      <c r="H245" s="2058"/>
      <c r="I245" s="2058"/>
      <c r="J245" s="2058"/>
      <c r="K245" s="2058"/>
      <c r="L245" s="2058"/>
      <c r="M245" s="777"/>
      <c r="N245" s="777"/>
      <c r="O245" s="777" t="s">
        <v>337</v>
      </c>
      <c r="P245" s="777"/>
      <c r="Q245" s="801" t="s">
        <v>14</v>
      </c>
      <c r="R245" s="777"/>
      <c r="S245" s="777"/>
      <c r="T245" s="815"/>
      <c r="U245" s="2091">
        <v>0</v>
      </c>
      <c r="V245" s="2092"/>
      <c r="W245" s="656"/>
      <c r="X245" s="656"/>
      <c r="Y245" s="656"/>
      <c r="Z245" s="656"/>
    </row>
    <row r="246" spans="1:26" x14ac:dyDescent="0.45">
      <c r="A246" s="656"/>
      <c r="B246" s="656"/>
      <c r="C246" s="656"/>
      <c r="D246" s="656"/>
      <c r="E246" s="656"/>
      <c r="F246" s="656"/>
      <c r="G246" s="656"/>
      <c r="H246" s="656"/>
      <c r="I246" s="656"/>
      <c r="J246" s="656"/>
      <c r="K246" s="656"/>
      <c r="L246" s="656"/>
      <c r="M246" s="656"/>
      <c r="N246" s="656"/>
      <c r="O246" s="656"/>
      <c r="P246" s="656"/>
      <c r="Q246" s="666"/>
      <c r="R246" s="656"/>
      <c r="S246" s="656"/>
      <c r="T246" s="666"/>
      <c r="U246" s="668"/>
      <c r="V246" s="668"/>
      <c r="W246" s="656"/>
      <c r="X246" s="656"/>
      <c r="Y246" s="656"/>
      <c r="Z246" s="656"/>
    </row>
    <row r="247" spans="1:26" x14ac:dyDescent="0.45">
      <c r="A247" s="656"/>
      <c r="B247" s="656"/>
      <c r="C247" s="656"/>
      <c r="D247" s="808" t="s">
        <v>338</v>
      </c>
      <c r="E247" s="789"/>
      <c r="F247" s="789"/>
      <c r="G247" s="789"/>
      <c r="H247" s="789"/>
      <c r="I247" s="789"/>
      <c r="J247" s="789"/>
      <c r="K247" s="789"/>
      <c r="L247" s="789"/>
      <c r="M247" s="789"/>
      <c r="N247" s="789"/>
      <c r="O247" s="789"/>
      <c r="P247" s="789"/>
      <c r="Q247" s="807"/>
      <c r="R247" s="789"/>
      <c r="S247" s="789"/>
      <c r="T247" s="807"/>
      <c r="U247" s="808"/>
      <c r="V247" s="818"/>
      <c r="W247" s="656"/>
      <c r="X247" s="656"/>
      <c r="Y247" s="656"/>
      <c r="Z247" s="656"/>
    </row>
    <row r="248" spans="1:26" ht="15" customHeight="1" x14ac:dyDescent="0.45">
      <c r="A248" s="656"/>
      <c r="B248" s="656"/>
      <c r="C248" s="656"/>
      <c r="D248" s="809"/>
      <c r="E248" s="658" t="s">
        <v>339</v>
      </c>
      <c r="F248" s="658"/>
      <c r="G248" s="658"/>
      <c r="H248" s="658"/>
      <c r="I248" s="658"/>
      <c r="J248" s="658"/>
      <c r="K248" s="658"/>
      <c r="L248" s="658"/>
      <c r="M248" s="658"/>
      <c r="N248" s="658"/>
      <c r="O248" s="658"/>
      <c r="P248" s="658"/>
      <c r="Q248" s="658"/>
      <c r="R248" s="658"/>
      <c r="S248" s="658"/>
      <c r="T248" s="819"/>
      <c r="U248" s="2131" t="s">
        <v>156</v>
      </c>
      <c r="V248" s="2132"/>
      <c r="W248" s="656"/>
      <c r="X248" s="656"/>
      <c r="Y248" s="656"/>
      <c r="Z248" s="656"/>
    </row>
    <row r="249" spans="1:26" ht="15" customHeight="1" x14ac:dyDescent="0.45">
      <c r="A249" s="656"/>
      <c r="B249" s="656"/>
      <c r="C249" s="656"/>
      <c r="D249" s="810"/>
      <c r="E249" s="777" t="s">
        <v>340</v>
      </c>
      <c r="F249" s="777"/>
      <c r="G249" s="777"/>
      <c r="H249" s="777"/>
      <c r="I249" s="777"/>
      <c r="J249" s="777"/>
      <c r="K249" s="777"/>
      <c r="L249" s="777"/>
      <c r="M249" s="777"/>
      <c r="N249" s="777"/>
      <c r="O249" s="777"/>
      <c r="P249" s="777"/>
      <c r="Q249" s="801" t="s">
        <v>214</v>
      </c>
      <c r="R249" s="777"/>
      <c r="S249" s="777"/>
      <c r="T249" s="820"/>
      <c r="U249" s="2089">
        <v>1</v>
      </c>
      <c r="V249" s="2090"/>
      <c r="W249" s="656"/>
      <c r="X249" s="656"/>
      <c r="Y249" s="656"/>
      <c r="Z249" s="656"/>
    </row>
    <row r="250" spans="1:26" x14ac:dyDescent="0.45">
      <c r="A250" s="656"/>
      <c r="B250" s="656"/>
      <c r="C250" s="656"/>
      <c r="D250" s="656"/>
      <c r="E250" s="656"/>
      <c r="F250" s="656"/>
      <c r="G250" s="656"/>
      <c r="H250" s="656"/>
      <c r="I250" s="656"/>
      <c r="J250" s="656"/>
      <c r="K250" s="656"/>
      <c r="L250" s="656"/>
      <c r="M250" s="656"/>
      <c r="N250" s="656"/>
      <c r="O250" s="656"/>
      <c r="P250" s="656"/>
      <c r="Q250" s="656"/>
      <c r="R250" s="656"/>
      <c r="S250" s="656"/>
      <c r="T250" s="821"/>
      <c r="U250" s="656"/>
      <c r="V250" s="656"/>
      <c r="W250" s="656"/>
      <c r="X250" s="656"/>
      <c r="Y250" s="656"/>
      <c r="Z250" s="656"/>
    </row>
    <row r="251" spans="1:26" x14ac:dyDescent="0.45">
      <c r="A251" s="656"/>
      <c r="B251" s="656"/>
      <c r="C251" s="656"/>
      <c r="D251" s="656"/>
      <c r="E251" s="656"/>
      <c r="F251" s="656"/>
      <c r="G251" s="656"/>
      <c r="H251" s="656"/>
      <c r="I251" s="656"/>
      <c r="J251" s="656"/>
      <c r="K251" s="656"/>
      <c r="L251" s="656"/>
      <c r="M251" s="656"/>
      <c r="N251" s="656"/>
      <c r="O251" s="656"/>
      <c r="P251" s="656"/>
      <c r="Q251" s="666"/>
      <c r="R251" s="656"/>
      <c r="S251" s="822"/>
      <c r="T251" s="656"/>
      <c r="U251" s="656"/>
      <c r="V251" s="656"/>
      <c r="W251" s="656"/>
      <c r="X251" s="656"/>
      <c r="Y251" s="656"/>
      <c r="Z251" s="656"/>
    </row>
    <row r="252" spans="1:26" s="156" customFormat="1" ht="12.75" customHeight="1" x14ac:dyDescent="0.45">
      <c r="A252" s="491" t="s">
        <v>189</v>
      </c>
      <c r="B252" s="491"/>
      <c r="C252" s="491"/>
      <c r="D252" s="491"/>
      <c r="E252" s="491"/>
      <c r="F252" s="491"/>
      <c r="G252" s="491"/>
      <c r="H252" s="491"/>
      <c r="I252" s="491"/>
      <c r="J252" s="491"/>
      <c r="K252" s="491"/>
      <c r="L252" s="491"/>
      <c r="M252" s="517"/>
      <c r="N252" s="492"/>
      <c r="O252" s="492"/>
      <c r="P252" s="492"/>
      <c r="Q252" s="492"/>
      <c r="R252" s="492"/>
      <c r="S252" s="492"/>
      <c r="T252" s="492"/>
      <c r="U252" s="492"/>
      <c r="V252" s="492"/>
      <c r="W252" s="492"/>
      <c r="X252" s="492"/>
      <c r="Y252" s="492"/>
    </row>
    <row r="253" spans="1:26" ht="12.75" customHeight="1" x14ac:dyDescent="0.45">
      <c r="A253" s="656"/>
      <c r="B253" s="656"/>
      <c r="C253" s="656"/>
      <c r="D253" s="656"/>
      <c r="E253" s="656"/>
      <c r="F253" s="656"/>
      <c r="G253" s="656"/>
      <c r="H253" s="656"/>
      <c r="I253" s="656"/>
      <c r="J253" s="656"/>
      <c r="K253" s="656"/>
      <c r="L253" s="656"/>
      <c r="M253" s="656"/>
      <c r="N253" s="656"/>
      <c r="O253" s="656"/>
      <c r="P253" s="656"/>
      <c r="Q253" s="656"/>
      <c r="R253" s="656"/>
      <c r="S253" s="656"/>
      <c r="T253" s="656"/>
      <c r="U253" s="656"/>
      <c r="V253" s="656"/>
      <c r="W253" s="656"/>
      <c r="X253" s="656"/>
      <c r="Y253" s="656"/>
      <c r="Z253" s="656"/>
    </row>
    <row r="254" spans="1:26" ht="12.75" customHeight="1" x14ac:dyDescent="0.45">
      <c r="A254" s="656"/>
      <c r="B254" s="667" t="s">
        <v>359</v>
      </c>
      <c r="C254" s="667"/>
      <c r="D254" s="668"/>
      <c r="E254" s="668"/>
      <c r="F254" s="668"/>
      <c r="G254" s="668"/>
      <c r="H254" s="668"/>
      <c r="I254" s="668"/>
      <c r="J254" s="668"/>
      <c r="K254" s="668"/>
      <c r="L254" s="668"/>
      <c r="M254" s="667"/>
      <c r="N254" s="667"/>
      <c r="O254" s="667"/>
      <c r="P254" s="669"/>
      <c r="Q254" s="669"/>
      <c r="R254" s="669"/>
      <c r="S254" s="669"/>
      <c r="T254" s="669"/>
      <c r="U254" s="669"/>
      <c r="V254" s="669"/>
      <c r="W254" s="669"/>
      <c r="X254" s="669"/>
      <c r="Y254" s="669"/>
      <c r="Z254" s="656"/>
    </row>
    <row r="255" spans="1:26" ht="12.75" customHeight="1" x14ac:dyDescent="0.45">
      <c r="A255" s="656"/>
      <c r="B255" s="656"/>
      <c r="C255" s="656"/>
      <c r="D255" s="656"/>
      <c r="E255" s="656"/>
      <c r="F255" s="656"/>
      <c r="G255" s="656"/>
      <c r="H255" s="656"/>
      <c r="I255" s="656"/>
      <c r="J255" s="656"/>
      <c r="K255" s="656"/>
      <c r="L255" s="656"/>
      <c r="M255" s="656"/>
      <c r="N255" s="656"/>
      <c r="O255" s="656"/>
      <c r="P255" s="656"/>
      <c r="Q255" s="656"/>
      <c r="R255" s="656"/>
      <c r="S255" s="656"/>
      <c r="T255" s="656"/>
      <c r="U255" s="656"/>
      <c r="V255" s="656"/>
      <c r="W255" s="656"/>
      <c r="X255" s="656"/>
      <c r="Y255" s="656"/>
      <c r="Z255" s="656"/>
    </row>
    <row r="256" spans="1:26" ht="12.75" customHeight="1" x14ac:dyDescent="0.45">
      <c r="A256" s="656"/>
      <c r="B256" s="656"/>
      <c r="C256" s="656"/>
      <c r="D256" s="656"/>
      <c r="E256" s="656"/>
      <c r="F256" s="656"/>
      <c r="G256" s="656"/>
      <c r="H256" s="656"/>
      <c r="I256" s="656"/>
      <c r="J256" s="656"/>
      <c r="K256" s="656"/>
      <c r="L256" s="656"/>
      <c r="M256" s="656"/>
      <c r="N256" s="656"/>
      <c r="O256" s="656"/>
      <c r="P256" s="656"/>
      <c r="Q256" s="666"/>
      <c r="R256" s="666"/>
      <c r="S256" s="824"/>
      <c r="T256" s="824"/>
      <c r="U256" s="2001" t="s">
        <v>373</v>
      </c>
      <c r="V256" s="2003"/>
      <c r="W256" s="656"/>
      <c r="X256" s="656"/>
      <c r="Y256" s="656"/>
      <c r="Z256" s="656"/>
    </row>
    <row r="257" spans="1:26" ht="12.75" customHeight="1" x14ac:dyDescent="0.45">
      <c r="A257" s="656"/>
      <c r="B257" s="656"/>
      <c r="C257" s="656"/>
      <c r="D257" s="656" t="s">
        <v>30</v>
      </c>
      <c r="E257" s="656"/>
      <c r="F257" s="656"/>
      <c r="G257" s="656"/>
      <c r="H257" s="656"/>
      <c r="I257" s="656"/>
      <c r="J257" s="656"/>
      <c r="K257" s="656"/>
      <c r="L257" s="656"/>
      <c r="M257" s="656"/>
      <c r="N257" s="656"/>
      <c r="O257" s="656"/>
      <c r="P257" s="656"/>
      <c r="Q257" s="666" t="s">
        <v>352</v>
      </c>
      <c r="R257" s="666"/>
      <c r="S257" s="656"/>
      <c r="T257" s="825"/>
      <c r="U257" s="2125">
        <f>0.194*365*24</f>
        <v>1699.44</v>
      </c>
      <c r="V257" s="2126"/>
      <c r="W257" s="656"/>
      <c r="X257" s="656"/>
      <c r="Y257" s="656"/>
      <c r="Z257" s="656"/>
    </row>
    <row r="258" spans="1:26" ht="12.75" customHeight="1" x14ac:dyDescent="0.45">
      <c r="A258" s="656"/>
      <c r="B258" s="656"/>
      <c r="C258" s="656"/>
      <c r="D258" s="656" t="s">
        <v>31</v>
      </c>
      <c r="E258" s="656"/>
      <c r="F258" s="656"/>
      <c r="G258" s="656"/>
      <c r="H258" s="656"/>
      <c r="I258" s="656"/>
      <c r="J258" s="656"/>
      <c r="K258" s="656"/>
      <c r="L258" s="656"/>
      <c r="M258" s="656"/>
      <c r="N258" s="656"/>
      <c r="O258" s="656"/>
      <c r="P258" s="656"/>
      <c r="Q258" s="666" t="s">
        <v>14</v>
      </c>
      <c r="R258" s="666"/>
      <c r="S258" s="656"/>
      <c r="T258" s="826"/>
      <c r="U258" s="2127">
        <f>U257/(24*365)</f>
        <v>0.19400000000000001</v>
      </c>
      <c r="V258" s="2128"/>
      <c r="W258" s="656"/>
      <c r="X258" s="656"/>
      <c r="Y258" s="656"/>
      <c r="Z258" s="656"/>
    </row>
    <row r="259" spans="1:26" ht="12.75" customHeight="1" x14ac:dyDescent="0.45">
      <c r="A259" s="656"/>
      <c r="B259" s="656"/>
      <c r="C259" s="656"/>
      <c r="D259" s="656" t="s">
        <v>623</v>
      </c>
      <c r="E259" s="656"/>
      <c r="F259" s="656"/>
      <c r="G259" s="656"/>
      <c r="H259" s="656"/>
      <c r="I259" s="656"/>
      <c r="J259" s="656"/>
      <c r="K259" s="656"/>
      <c r="L259" s="656"/>
      <c r="M259" s="656"/>
      <c r="N259" s="656"/>
      <c r="O259" s="656"/>
      <c r="P259" s="656"/>
      <c r="Q259" s="666" t="s">
        <v>14</v>
      </c>
      <c r="R259" s="656"/>
      <c r="S259" s="656"/>
      <c r="T259" s="827"/>
      <c r="U259" s="2129">
        <v>5.0000000000000001E-3</v>
      </c>
      <c r="V259" s="2130"/>
      <c r="W259" s="656"/>
      <c r="X259" s="656"/>
      <c r="Y259" s="656"/>
      <c r="Z259" s="656"/>
    </row>
    <row r="260" spans="1:26" ht="12.75" customHeight="1" x14ac:dyDescent="0.45">
      <c r="A260" s="656"/>
      <c r="B260" s="656"/>
      <c r="C260" s="656"/>
      <c r="D260" s="656"/>
      <c r="E260" s="656"/>
      <c r="F260" s="656"/>
      <c r="G260" s="656"/>
      <c r="H260" s="656"/>
      <c r="I260" s="656"/>
      <c r="J260" s="656"/>
      <c r="K260" s="656"/>
      <c r="L260" s="656"/>
      <c r="M260" s="656"/>
      <c r="N260" s="656"/>
      <c r="O260" s="656"/>
      <c r="P260" s="656"/>
      <c r="Q260" s="666"/>
      <c r="R260" s="656"/>
      <c r="S260" s="656"/>
      <c r="T260" s="656"/>
      <c r="U260" s="656"/>
      <c r="V260" s="656"/>
      <c r="W260" s="656"/>
      <c r="X260" s="656"/>
      <c r="Y260" s="656"/>
      <c r="Z260" s="656"/>
    </row>
    <row r="261" spans="1:26" ht="12.75" customHeight="1" x14ac:dyDescent="0.45">
      <c r="A261" s="656"/>
      <c r="B261" s="656"/>
      <c r="C261" s="656"/>
      <c r="D261" s="656"/>
      <c r="E261" s="656"/>
      <c r="F261" s="656"/>
      <c r="G261" s="656"/>
      <c r="H261" s="656"/>
      <c r="I261" s="656"/>
      <c r="J261" s="656"/>
      <c r="K261" s="656"/>
      <c r="L261" s="656"/>
      <c r="M261" s="656"/>
      <c r="N261" s="656"/>
      <c r="O261" s="656"/>
      <c r="P261" s="658"/>
      <c r="Q261" s="659"/>
      <c r="R261" s="658"/>
      <c r="S261" s="658"/>
      <c r="T261" s="658"/>
      <c r="U261" s="656"/>
      <c r="V261" s="656"/>
      <c r="W261" s="656"/>
      <c r="X261" s="656"/>
      <c r="Y261" s="656"/>
      <c r="Z261" s="656"/>
    </row>
    <row r="262" spans="1:26" ht="12.75" customHeight="1" x14ac:dyDescent="0.45">
      <c r="A262" s="656"/>
      <c r="B262" s="667" t="s">
        <v>360</v>
      </c>
      <c r="C262" s="667"/>
      <c r="D262" s="668"/>
      <c r="E262" s="668"/>
      <c r="F262" s="668"/>
      <c r="G262" s="668"/>
      <c r="H262" s="668"/>
      <c r="I262" s="668"/>
      <c r="J262" s="668"/>
      <c r="K262" s="668"/>
      <c r="L262" s="668"/>
      <c r="M262" s="667"/>
      <c r="N262" s="667"/>
      <c r="O262" s="667"/>
      <c r="P262" s="669"/>
      <c r="Q262" s="669"/>
      <c r="R262" s="669"/>
      <c r="S262" s="669"/>
      <c r="T262" s="669"/>
      <c r="U262" s="669"/>
      <c r="V262" s="669"/>
      <c r="W262" s="669"/>
      <c r="X262" s="669"/>
      <c r="Y262" s="669"/>
      <c r="Z262" s="656"/>
    </row>
    <row r="263" spans="1:26" ht="12.75" customHeight="1" x14ac:dyDescent="0.45">
      <c r="A263" s="656"/>
      <c r="B263" s="656"/>
      <c r="C263" s="656"/>
      <c r="D263" s="656"/>
      <c r="E263" s="656"/>
      <c r="F263" s="656"/>
      <c r="G263" s="656"/>
      <c r="H263" s="656"/>
      <c r="I263" s="656"/>
      <c r="J263" s="656"/>
      <c r="K263" s="656"/>
      <c r="L263" s="656"/>
      <c r="M263" s="656"/>
      <c r="N263" s="656"/>
      <c r="O263" s="656"/>
      <c r="P263" s="658"/>
      <c r="Q263" s="659"/>
      <c r="R263" s="658"/>
      <c r="S263" s="658"/>
      <c r="T263" s="658"/>
      <c r="U263" s="656"/>
      <c r="V263" s="656"/>
      <c r="W263" s="656"/>
      <c r="X263" s="656"/>
      <c r="Y263" s="656"/>
      <c r="Z263" s="656"/>
    </row>
    <row r="264" spans="1:26" ht="12.75" customHeight="1" x14ac:dyDescent="0.45">
      <c r="A264" s="656"/>
      <c r="B264" s="656"/>
      <c r="C264" s="663" t="s">
        <v>655</v>
      </c>
      <c r="D264" s="656"/>
      <c r="E264" s="656"/>
      <c r="F264" s="656"/>
      <c r="G264" s="656"/>
      <c r="H264" s="656"/>
      <c r="I264" s="656"/>
      <c r="J264" s="656"/>
      <c r="K264" s="656"/>
      <c r="L264" s="656"/>
      <c r="M264" s="656"/>
      <c r="N264" s="656"/>
      <c r="O264" s="656"/>
      <c r="P264" s="658"/>
      <c r="Q264" s="659"/>
      <c r="R264" s="658"/>
      <c r="S264" s="658"/>
      <c r="T264" s="658"/>
      <c r="U264" s="656"/>
      <c r="V264" s="656"/>
      <c r="W264" s="656"/>
      <c r="X264" s="656"/>
      <c r="Y264" s="656"/>
      <c r="Z264" s="656"/>
    </row>
    <row r="265" spans="1:26" ht="12.75" hidden="1" customHeight="1" outlineLevel="1" x14ac:dyDescent="0.45">
      <c r="A265" s="656"/>
      <c r="B265" s="656"/>
      <c r="C265" s="828" t="s">
        <v>681</v>
      </c>
      <c r="D265" s="656"/>
      <c r="E265" s="656"/>
      <c r="F265" s="656"/>
      <c r="G265" s="656"/>
      <c r="H265" s="656"/>
      <c r="I265" s="656"/>
      <c r="J265" s="656"/>
      <c r="K265" s="656"/>
      <c r="L265" s="656"/>
      <c r="M265" s="656"/>
      <c r="N265" s="656"/>
      <c r="O265" s="656"/>
      <c r="P265" s="658"/>
      <c r="Q265" s="659"/>
      <c r="R265" s="658"/>
      <c r="S265" s="658"/>
      <c r="T265" s="658"/>
      <c r="U265" s="656"/>
      <c r="V265" s="656"/>
      <c r="W265" s="656"/>
      <c r="X265" s="656"/>
      <c r="Y265" s="656"/>
      <c r="Z265" s="656"/>
    </row>
    <row r="266" spans="1:26" ht="12.75" customHeight="1" collapsed="1" x14ac:dyDescent="0.45">
      <c r="A266" s="656"/>
      <c r="B266" s="671"/>
      <c r="C266" s="671"/>
      <c r="D266" s="656"/>
      <c r="E266" s="656"/>
      <c r="F266" s="656"/>
      <c r="G266" s="656"/>
      <c r="H266" s="656"/>
      <c r="I266" s="656"/>
      <c r="J266" s="656"/>
      <c r="K266" s="656"/>
      <c r="L266" s="656"/>
      <c r="M266" s="656"/>
      <c r="N266" s="656"/>
      <c r="O266" s="656"/>
      <c r="P266" s="763"/>
      <c r="Q266" s="665"/>
      <c r="R266" s="665"/>
      <c r="S266" s="2040" t="s">
        <v>170</v>
      </c>
      <c r="T266" s="2041"/>
      <c r="U266" s="2042"/>
      <c r="V266" s="2049" t="s">
        <v>285</v>
      </c>
      <c r="W266" s="2050"/>
      <c r="X266" s="2051"/>
      <c r="Y266" s="656"/>
      <c r="Z266" s="656"/>
    </row>
    <row r="267" spans="1:26" ht="12.75" customHeight="1" x14ac:dyDescent="0.45">
      <c r="A267" s="656"/>
      <c r="B267" s="656"/>
      <c r="C267" s="656"/>
      <c r="D267" s="656"/>
      <c r="E267" s="656"/>
      <c r="F267" s="656"/>
      <c r="G267" s="656"/>
      <c r="H267" s="656"/>
      <c r="I267" s="656"/>
      <c r="J267" s="656"/>
      <c r="K267" s="656"/>
      <c r="L267" s="656"/>
      <c r="M267" s="656"/>
      <c r="N267" s="656"/>
      <c r="O267" s="656"/>
      <c r="P267" s="660"/>
      <c r="Q267" s="658"/>
      <c r="R267" s="658"/>
      <c r="S267" s="2043"/>
      <c r="T267" s="2044"/>
      <c r="U267" s="2045"/>
      <c r="V267" s="2037"/>
      <c r="W267" s="2038"/>
      <c r="X267" s="2039"/>
      <c r="Y267" s="656"/>
      <c r="Z267" s="656"/>
    </row>
    <row r="268" spans="1:26" ht="12.75" customHeight="1" x14ac:dyDescent="0.45">
      <c r="A268" s="656"/>
      <c r="B268" s="656"/>
      <c r="C268" s="656"/>
      <c r="D268" s="656" t="s">
        <v>624</v>
      </c>
      <c r="E268" s="656"/>
      <c r="F268" s="656"/>
      <c r="G268" s="656"/>
      <c r="H268" s="656"/>
      <c r="I268" s="656"/>
      <c r="J268" s="656"/>
      <c r="K268" s="656"/>
      <c r="L268" s="656"/>
      <c r="M268" s="656"/>
      <c r="N268" s="656"/>
      <c r="O268" s="656"/>
      <c r="P268" s="656"/>
      <c r="Q268" s="656"/>
      <c r="R268" s="658"/>
      <c r="S268" s="2046"/>
      <c r="T268" s="2047"/>
      <c r="U268" s="2048"/>
      <c r="V268" s="2037"/>
      <c r="W268" s="2038"/>
      <c r="X268" s="2039"/>
      <c r="Y268" s="656"/>
      <c r="Z268" s="656"/>
    </row>
    <row r="269" spans="1:26" ht="12.75" customHeight="1" x14ac:dyDescent="0.45">
      <c r="A269" s="656"/>
      <c r="B269" s="656"/>
      <c r="C269" s="656"/>
      <c r="D269" s="656"/>
      <c r="E269" s="656"/>
      <c r="F269" s="656" t="s">
        <v>37</v>
      </c>
      <c r="G269" s="656"/>
      <c r="H269" s="656"/>
      <c r="I269" s="656"/>
      <c r="J269" s="656"/>
      <c r="K269" s="656"/>
      <c r="L269" s="656"/>
      <c r="M269" s="656"/>
      <c r="N269" s="656"/>
      <c r="O269" s="656"/>
      <c r="P269" s="656"/>
      <c r="Q269" s="666" t="s">
        <v>726</v>
      </c>
      <c r="R269" s="656"/>
      <c r="S269" s="2119">
        <v>16065</v>
      </c>
      <c r="T269" s="2120"/>
      <c r="U269" s="2121"/>
      <c r="V269" s="2052">
        <v>16065</v>
      </c>
      <c r="W269" s="2053"/>
      <c r="X269" s="2054"/>
      <c r="Y269" s="656"/>
      <c r="Z269" s="656"/>
    </row>
    <row r="270" spans="1:26" ht="12.75" customHeight="1" x14ac:dyDescent="0.45">
      <c r="A270" s="656"/>
      <c r="B270" s="656"/>
      <c r="C270" s="656"/>
      <c r="D270" s="656"/>
      <c r="E270" s="656"/>
      <c r="F270" s="656" t="s">
        <v>39</v>
      </c>
      <c r="G270" s="656"/>
      <c r="H270" s="656"/>
      <c r="I270" s="656"/>
      <c r="J270" s="656"/>
      <c r="K270" s="656"/>
      <c r="L270" s="656"/>
      <c r="M270" s="656"/>
      <c r="N270" s="656"/>
      <c r="O270" s="656"/>
      <c r="P270" s="656"/>
      <c r="Q270" s="666" t="s">
        <v>14</v>
      </c>
      <c r="R270" s="656"/>
      <c r="S270" s="2122">
        <v>0.02</v>
      </c>
      <c r="T270" s="2123"/>
      <c r="U270" s="2124"/>
      <c r="V270" s="2116">
        <v>0.02</v>
      </c>
      <c r="W270" s="2117"/>
      <c r="X270" s="2118"/>
      <c r="Y270" s="656"/>
      <c r="Z270" s="656"/>
    </row>
    <row r="271" spans="1:26" ht="12.75" customHeight="1" x14ac:dyDescent="0.45">
      <c r="A271" s="656"/>
      <c r="B271" s="656"/>
      <c r="C271" s="656"/>
      <c r="D271" s="656"/>
      <c r="E271" s="656"/>
      <c r="F271" s="656"/>
      <c r="G271" s="656"/>
      <c r="H271" s="656"/>
      <c r="I271" s="656"/>
      <c r="J271" s="656"/>
      <c r="K271" s="656"/>
      <c r="L271" s="656"/>
      <c r="M271" s="656"/>
      <c r="N271" s="656"/>
      <c r="O271" s="656"/>
      <c r="P271" s="656"/>
      <c r="Q271" s="656"/>
      <c r="R271" s="656"/>
      <c r="S271" s="2046"/>
      <c r="T271" s="2047"/>
      <c r="U271" s="2048"/>
      <c r="V271" s="2037"/>
      <c r="W271" s="2038"/>
      <c r="X271" s="2039"/>
      <c r="Y271" s="656"/>
      <c r="Z271" s="656"/>
    </row>
    <row r="272" spans="1:26" ht="12.75" customHeight="1" x14ac:dyDescent="0.45">
      <c r="A272" s="656"/>
      <c r="B272" s="656"/>
      <c r="C272" s="656"/>
      <c r="D272" s="671" t="s">
        <v>19</v>
      </c>
      <c r="E272" s="656"/>
      <c r="F272" s="656"/>
      <c r="G272" s="656"/>
      <c r="H272" s="656"/>
      <c r="I272" s="656"/>
      <c r="J272" s="656"/>
      <c r="K272" s="656"/>
      <c r="L272" s="656"/>
      <c r="M272" s="656"/>
      <c r="N272" s="656"/>
      <c r="O272" s="656"/>
      <c r="P272" s="656"/>
      <c r="Q272" s="656"/>
      <c r="R272" s="656"/>
      <c r="S272" s="2046"/>
      <c r="T272" s="2047"/>
      <c r="U272" s="2048"/>
      <c r="V272" s="2037"/>
      <c r="W272" s="2038"/>
      <c r="X272" s="2039"/>
      <c r="Y272" s="656"/>
      <c r="Z272" s="656"/>
    </row>
    <row r="273" spans="1:26" ht="12.75" customHeight="1" x14ac:dyDescent="0.45">
      <c r="A273" s="656"/>
      <c r="B273" s="656"/>
      <c r="C273" s="656"/>
      <c r="D273" s="656"/>
      <c r="E273" s="656" t="s">
        <v>50</v>
      </c>
      <c r="F273" s="656"/>
      <c r="G273" s="656"/>
      <c r="H273" s="656"/>
      <c r="I273" s="656"/>
      <c r="J273" s="656"/>
      <c r="K273" s="656"/>
      <c r="L273" s="656"/>
      <c r="M273" s="656"/>
      <c r="N273" s="656"/>
      <c r="O273" s="656"/>
      <c r="P273" s="656"/>
      <c r="Q273" s="666" t="s">
        <v>14</v>
      </c>
      <c r="R273" s="656"/>
      <c r="S273" s="2110">
        <v>0.95</v>
      </c>
      <c r="T273" s="2111"/>
      <c r="U273" s="2112"/>
      <c r="V273" s="2030">
        <v>0.95</v>
      </c>
      <c r="W273" s="2031"/>
      <c r="X273" s="2032"/>
      <c r="Y273" s="656"/>
      <c r="Z273" s="656"/>
    </row>
    <row r="274" spans="1:26" ht="12.75" customHeight="1" x14ac:dyDescent="0.45">
      <c r="A274" s="656"/>
      <c r="B274" s="656"/>
      <c r="C274" s="656"/>
      <c r="D274" s="658"/>
      <c r="E274" s="658" t="s">
        <v>16</v>
      </c>
      <c r="F274" s="658"/>
      <c r="G274" s="658"/>
      <c r="H274" s="658"/>
      <c r="I274" s="658"/>
      <c r="J274" s="658"/>
      <c r="K274" s="658"/>
      <c r="L274" s="658"/>
      <c r="M274" s="658"/>
      <c r="N274" s="658"/>
      <c r="O274" s="658"/>
      <c r="P274" s="658"/>
      <c r="Q274" s="659" t="s">
        <v>14</v>
      </c>
      <c r="R274" s="658"/>
      <c r="S274" s="2113">
        <f>1-S273</f>
        <v>5.0000000000000044E-2</v>
      </c>
      <c r="T274" s="2114"/>
      <c r="U274" s="2115"/>
      <c r="V274" s="2033">
        <f>1-V273</f>
        <v>5.0000000000000044E-2</v>
      </c>
      <c r="W274" s="2034"/>
      <c r="X274" s="2035"/>
      <c r="Y274" s="809"/>
      <c r="Z274" s="656"/>
    </row>
    <row r="275" spans="1:26" ht="12.75" customHeight="1" x14ac:dyDescent="0.45">
      <c r="A275" s="656"/>
      <c r="B275" s="656"/>
      <c r="C275" s="656"/>
      <c r="D275" s="656"/>
      <c r="E275" s="656"/>
      <c r="F275" s="656"/>
      <c r="G275" s="656"/>
      <c r="H275" s="656"/>
      <c r="I275" s="656"/>
      <c r="J275" s="656"/>
      <c r="K275" s="656"/>
      <c r="L275" s="656"/>
      <c r="M275" s="656"/>
      <c r="N275" s="656"/>
      <c r="O275" s="656"/>
      <c r="P275" s="656"/>
      <c r="Q275" s="666"/>
      <c r="R275" s="767"/>
      <c r="S275" s="2036"/>
      <c r="T275" s="2036"/>
      <c r="U275" s="2036"/>
      <c r="V275" s="2036"/>
      <c r="W275" s="2036"/>
      <c r="X275" s="2036"/>
      <c r="Y275" s="656"/>
      <c r="Z275" s="656"/>
    </row>
    <row r="276" spans="1:26" x14ac:dyDescent="0.45">
      <c r="A276" s="656"/>
      <c r="B276" s="656"/>
      <c r="C276" s="656"/>
      <c r="D276" s="656"/>
      <c r="E276" s="656"/>
      <c r="F276" s="656"/>
      <c r="G276" s="656"/>
      <c r="H276" s="656"/>
      <c r="I276" s="656"/>
      <c r="J276" s="656"/>
      <c r="K276" s="656"/>
      <c r="L276" s="656"/>
      <c r="M276" s="656"/>
      <c r="N276" s="656"/>
      <c r="O276" s="656"/>
      <c r="P276" s="656"/>
      <c r="Q276" s="656"/>
      <c r="R276" s="656"/>
      <c r="S276" s="656"/>
      <c r="T276" s="656"/>
      <c r="U276" s="656"/>
      <c r="V276" s="656"/>
      <c r="W276" s="656"/>
      <c r="X276" s="656"/>
      <c r="Y276" s="656"/>
      <c r="Z276" s="656"/>
    </row>
    <row r="277" spans="1:26" ht="13.15" x14ac:dyDescent="0.45">
      <c r="A277" s="656"/>
      <c r="B277" s="667" t="s">
        <v>407</v>
      </c>
      <c r="C277" s="667"/>
      <c r="D277" s="668"/>
      <c r="E277" s="668"/>
      <c r="F277" s="668"/>
      <c r="G277" s="668"/>
      <c r="H277" s="668"/>
      <c r="I277" s="668"/>
      <c r="J277" s="668"/>
      <c r="K277" s="668"/>
      <c r="L277" s="668"/>
      <c r="M277" s="667"/>
      <c r="N277" s="667"/>
      <c r="O277" s="667"/>
      <c r="P277" s="669"/>
      <c r="Q277" s="669"/>
      <c r="R277" s="669"/>
      <c r="S277" s="669"/>
      <c r="T277" s="669"/>
      <c r="U277" s="669"/>
      <c r="V277" s="669"/>
      <c r="W277" s="669"/>
      <c r="X277" s="669"/>
      <c r="Y277" s="669"/>
      <c r="Z277" s="656"/>
    </row>
    <row r="278" spans="1:26" x14ac:dyDescent="0.45">
      <c r="A278" s="656"/>
      <c r="B278" s="656"/>
      <c r="C278" s="656"/>
      <c r="D278" s="674"/>
      <c r="E278" s="656"/>
      <c r="F278" s="656"/>
      <c r="G278" s="656"/>
      <c r="H278" s="656"/>
      <c r="I278" s="656"/>
      <c r="J278" s="656"/>
      <c r="K278" s="656"/>
      <c r="L278" s="656"/>
      <c r="M278" s="656"/>
      <c r="N278" s="656"/>
      <c r="O278" s="656"/>
      <c r="P278" s="656"/>
      <c r="Q278" s="656"/>
      <c r="R278" s="656"/>
      <c r="S278" s="656"/>
      <c r="T278" s="656"/>
      <c r="U278" s="656"/>
      <c r="V278" s="656"/>
      <c r="W278" s="656"/>
      <c r="X278" s="656"/>
      <c r="Y278" s="656"/>
      <c r="Z278" s="656"/>
    </row>
    <row r="279" spans="1:26" x14ac:dyDescent="0.45">
      <c r="A279" s="656"/>
      <c r="B279" s="656"/>
      <c r="C279" s="663" t="s">
        <v>655</v>
      </c>
      <c r="D279" s="674"/>
      <c r="E279" s="656"/>
      <c r="F279" s="656"/>
      <c r="G279" s="656"/>
      <c r="H279" s="656"/>
      <c r="I279" s="656"/>
      <c r="J279" s="656"/>
      <c r="K279" s="656"/>
      <c r="L279" s="656"/>
      <c r="M279" s="656"/>
      <c r="N279" s="656"/>
      <c r="O279" s="656"/>
      <c r="P279" s="656"/>
      <c r="Q279" s="656"/>
      <c r="R279" s="656"/>
      <c r="S279" s="656"/>
      <c r="T279" s="656"/>
      <c r="U279" s="656"/>
      <c r="V279" s="656"/>
      <c r="W279" s="656"/>
      <c r="X279" s="656"/>
      <c r="Y279" s="656"/>
      <c r="Z279" s="656"/>
    </row>
    <row r="280" spans="1:26" hidden="1" outlineLevel="1" x14ac:dyDescent="0.45">
      <c r="A280" s="656"/>
      <c r="B280" s="656"/>
      <c r="C280" s="663" t="s">
        <v>682</v>
      </c>
      <c r="D280" s="674"/>
      <c r="E280" s="656"/>
      <c r="F280" s="656"/>
      <c r="G280" s="656"/>
      <c r="H280" s="656"/>
      <c r="I280" s="656"/>
      <c r="J280" s="656"/>
      <c r="K280" s="656"/>
      <c r="L280" s="656"/>
      <c r="M280" s="656"/>
      <c r="N280" s="656"/>
      <c r="O280" s="656"/>
      <c r="P280" s="656"/>
      <c r="Q280" s="656"/>
      <c r="R280" s="656"/>
      <c r="S280" s="656"/>
      <c r="T280" s="656"/>
      <c r="U280" s="656"/>
      <c r="V280" s="656"/>
      <c r="W280" s="656"/>
      <c r="X280" s="656"/>
      <c r="Y280" s="656"/>
      <c r="Z280" s="656"/>
    </row>
    <row r="281" spans="1:26" collapsed="1" x14ac:dyDescent="0.45">
      <c r="A281" s="656"/>
      <c r="B281" s="656"/>
      <c r="C281" s="656"/>
      <c r="D281" s="674"/>
      <c r="E281" s="656"/>
      <c r="F281" s="656"/>
      <c r="G281" s="656"/>
      <c r="H281" s="656"/>
      <c r="I281" s="656"/>
      <c r="J281" s="656"/>
      <c r="K281" s="656"/>
      <c r="L281" s="656"/>
      <c r="M281" s="656"/>
      <c r="N281" s="656"/>
      <c r="O281" s="656"/>
      <c r="P281" s="656"/>
      <c r="Q281" s="656"/>
      <c r="R281" s="656"/>
      <c r="S281" s="656"/>
      <c r="T281" s="656"/>
      <c r="U281" s="656"/>
      <c r="V281" s="656"/>
      <c r="W281" s="656"/>
      <c r="X281" s="656"/>
      <c r="Y281" s="656"/>
      <c r="Z281" s="656"/>
    </row>
    <row r="282" spans="1:26" ht="13.15" x14ac:dyDescent="0.45">
      <c r="A282" s="656"/>
      <c r="B282" s="656"/>
      <c r="C282" s="656"/>
      <c r="D282" s="656"/>
      <c r="E282" s="656"/>
      <c r="F282" s="656"/>
      <c r="G282" s="656"/>
      <c r="H282" s="656"/>
      <c r="I282" s="656"/>
      <c r="J282" s="656"/>
      <c r="K282" s="656"/>
      <c r="L282" s="656"/>
      <c r="M282" s="656"/>
      <c r="N282" s="656"/>
      <c r="O282" s="656"/>
      <c r="P282" s="656"/>
      <c r="Q282" s="656"/>
      <c r="R282" s="656"/>
      <c r="S282" s="656"/>
      <c r="T282" s="656"/>
      <c r="U282" s="2001" t="s">
        <v>373</v>
      </c>
      <c r="V282" s="2003"/>
      <c r="W282" s="656"/>
      <c r="X282" s="656"/>
      <c r="Y282" s="656"/>
      <c r="Z282" s="656"/>
    </row>
    <row r="283" spans="1:26" x14ac:dyDescent="0.45">
      <c r="A283" s="656"/>
      <c r="B283" s="656"/>
      <c r="C283" s="656"/>
      <c r="D283" s="656" t="s">
        <v>434</v>
      </c>
      <c r="E283" s="656"/>
      <c r="F283" s="656"/>
      <c r="G283" s="656"/>
      <c r="H283" s="656"/>
      <c r="I283" s="656"/>
      <c r="J283" s="656"/>
      <c r="K283" s="656"/>
      <c r="L283" s="656"/>
      <c r="M283" s="656"/>
      <c r="N283" s="656"/>
      <c r="O283" s="656"/>
      <c r="P283" s="656"/>
      <c r="Q283" s="666" t="s">
        <v>725</v>
      </c>
      <c r="R283" s="656"/>
      <c r="S283" s="656"/>
      <c r="T283" s="656"/>
      <c r="U283" s="2013">
        <v>0</v>
      </c>
      <c r="V283" s="2014"/>
      <c r="W283" s="829"/>
      <c r="X283" s="656"/>
      <c r="Y283" s="656"/>
      <c r="Z283" s="656"/>
    </row>
    <row r="284" spans="1:26" x14ac:dyDescent="0.45">
      <c r="A284" s="656"/>
      <c r="B284" s="656"/>
      <c r="C284" s="656"/>
      <c r="D284" s="656" t="s">
        <v>363</v>
      </c>
      <c r="E284" s="656"/>
      <c r="F284" s="656"/>
      <c r="G284" s="656"/>
      <c r="H284" s="656"/>
      <c r="I284" s="656"/>
      <c r="J284" s="656"/>
      <c r="K284" s="656"/>
      <c r="L284" s="656"/>
      <c r="M284" s="656"/>
      <c r="N284" s="656"/>
      <c r="O284" s="656"/>
      <c r="P284" s="656"/>
      <c r="Q284" s="666" t="s">
        <v>365</v>
      </c>
      <c r="R284" s="656"/>
      <c r="S284" s="656"/>
      <c r="T284" s="656"/>
      <c r="U284" s="2015">
        <v>0</v>
      </c>
      <c r="V284" s="2016"/>
      <c r="W284" s="656"/>
      <c r="X284" s="656"/>
      <c r="Y284" s="656"/>
      <c r="Z284" s="656"/>
    </row>
    <row r="285" spans="1:26" x14ac:dyDescent="0.45">
      <c r="A285" s="656"/>
      <c r="B285" s="656"/>
      <c r="C285" s="656"/>
      <c r="D285" s="656" t="s">
        <v>361</v>
      </c>
      <c r="E285" s="656"/>
      <c r="F285" s="656"/>
      <c r="G285" s="656"/>
      <c r="H285" s="656"/>
      <c r="I285" s="656"/>
      <c r="J285" s="656"/>
      <c r="K285" s="656"/>
      <c r="L285" s="656"/>
      <c r="M285" s="656"/>
      <c r="N285" s="656"/>
      <c r="O285" s="656"/>
      <c r="P285" s="656"/>
      <c r="Q285" s="666" t="s">
        <v>362</v>
      </c>
      <c r="R285" s="656"/>
      <c r="S285" s="656"/>
      <c r="T285" s="656"/>
      <c r="U285" s="2015">
        <v>0</v>
      </c>
      <c r="V285" s="2016"/>
      <c r="W285" s="656"/>
      <c r="X285" s="656"/>
      <c r="Y285" s="656"/>
      <c r="Z285" s="656"/>
    </row>
    <row r="286" spans="1:26" ht="14.25" x14ac:dyDescent="0.45">
      <c r="A286" s="656"/>
      <c r="B286" s="656"/>
      <c r="C286" s="656"/>
      <c r="D286" s="656" t="s">
        <v>436</v>
      </c>
      <c r="E286" s="656"/>
      <c r="F286" s="656"/>
      <c r="G286" s="656"/>
      <c r="H286" s="656"/>
      <c r="I286" s="656"/>
      <c r="J286" s="656"/>
      <c r="K286" s="656"/>
      <c r="L286" s="656"/>
      <c r="M286" s="656"/>
      <c r="N286" s="656"/>
      <c r="O286" s="656"/>
      <c r="P286" s="656"/>
      <c r="Q286" s="666" t="s">
        <v>435</v>
      </c>
      <c r="R286" s="656"/>
      <c r="S286" s="656"/>
      <c r="T286" s="656"/>
      <c r="U286" s="2015">
        <v>0</v>
      </c>
      <c r="V286" s="2059"/>
      <c r="W286" s="656"/>
      <c r="X286" s="656"/>
      <c r="Y286" s="656"/>
      <c r="Z286" s="656"/>
    </row>
    <row r="287" spans="1:26" x14ac:dyDescent="0.45">
      <c r="A287" s="656"/>
      <c r="B287" s="656"/>
      <c r="C287" s="656"/>
      <c r="D287" s="656" t="s">
        <v>448</v>
      </c>
      <c r="E287" s="656"/>
      <c r="F287" s="656"/>
      <c r="G287" s="656"/>
      <c r="H287" s="656"/>
      <c r="I287" s="656"/>
      <c r="J287" s="656"/>
      <c r="K287" s="656"/>
      <c r="L287" s="656"/>
      <c r="M287" s="656"/>
      <c r="N287" s="656"/>
      <c r="O287" s="656"/>
      <c r="P287" s="656"/>
      <c r="Q287" s="666" t="s">
        <v>725</v>
      </c>
      <c r="R287" s="656"/>
      <c r="S287" s="656"/>
      <c r="T287" s="656"/>
      <c r="U287" s="2011">
        <v>0</v>
      </c>
      <c r="V287" s="2012"/>
      <c r="W287" s="656"/>
      <c r="X287" s="656"/>
      <c r="Y287" s="656"/>
      <c r="Z287" s="656"/>
    </row>
    <row r="288" spans="1:26" ht="14.25" x14ac:dyDescent="0.45">
      <c r="A288" s="656"/>
      <c r="B288" s="656"/>
      <c r="C288" s="656"/>
      <c r="D288" s="656" t="s">
        <v>364</v>
      </c>
      <c r="E288" s="656"/>
      <c r="F288" s="656"/>
      <c r="G288" s="656"/>
      <c r="H288" s="656"/>
      <c r="I288" s="656"/>
      <c r="J288" s="656"/>
      <c r="K288" s="656"/>
      <c r="L288" s="656"/>
      <c r="M288" s="656"/>
      <c r="N288" s="656"/>
      <c r="O288" s="656"/>
      <c r="P288" s="656"/>
      <c r="Q288" s="666" t="s">
        <v>13</v>
      </c>
      <c r="R288" s="656"/>
      <c r="S288" s="656"/>
      <c r="T288" s="656"/>
      <c r="U288" s="2009">
        <v>1</v>
      </c>
      <c r="V288" s="2010"/>
      <c r="W288" s="656"/>
      <c r="X288" s="656"/>
      <c r="Y288" s="656"/>
      <c r="Z288" s="656"/>
    </row>
    <row r="289" spans="1:26" x14ac:dyDescent="0.45">
      <c r="A289" s="656"/>
      <c r="B289" s="656"/>
      <c r="C289" s="656"/>
      <c r="D289" s="656"/>
      <c r="E289" s="656"/>
      <c r="F289" s="656"/>
      <c r="G289" s="656"/>
      <c r="H289" s="656"/>
      <c r="I289" s="656"/>
      <c r="J289" s="656"/>
      <c r="K289" s="656"/>
      <c r="L289" s="656"/>
      <c r="M289" s="656"/>
      <c r="N289" s="656"/>
      <c r="O289" s="656"/>
      <c r="P289" s="656"/>
      <c r="Q289" s="656"/>
      <c r="R289" s="656"/>
      <c r="S289" s="656"/>
      <c r="T289" s="656"/>
      <c r="U289" s="656"/>
      <c r="V289" s="656"/>
      <c r="W289" s="656"/>
      <c r="X289" s="656"/>
      <c r="Y289" s="656"/>
      <c r="Z289" s="656"/>
    </row>
    <row r="290" spans="1:26" ht="13.15" x14ac:dyDescent="0.45">
      <c r="A290" s="656"/>
      <c r="B290" s="656"/>
      <c r="C290" s="656"/>
      <c r="D290" s="656"/>
      <c r="E290" s="656"/>
      <c r="F290" s="656"/>
      <c r="G290" s="656"/>
      <c r="H290" s="656"/>
      <c r="I290" s="656"/>
      <c r="J290" s="656"/>
      <c r="K290" s="656"/>
      <c r="L290" s="656"/>
      <c r="M290" s="656"/>
      <c r="N290" s="656"/>
      <c r="O290" s="656"/>
      <c r="P290" s="656"/>
      <c r="Q290" s="656"/>
      <c r="R290" s="656"/>
      <c r="S290" s="656"/>
      <c r="T290" s="656"/>
      <c r="U290" s="2001" t="s">
        <v>373</v>
      </c>
      <c r="V290" s="2003"/>
      <c r="W290" s="656"/>
      <c r="X290" s="656"/>
      <c r="Y290" s="656"/>
      <c r="Z290" s="656"/>
    </row>
    <row r="291" spans="1:26" x14ac:dyDescent="0.45">
      <c r="A291" s="656"/>
      <c r="B291" s="656"/>
      <c r="C291" s="656"/>
      <c r="D291" s="656" t="s">
        <v>445</v>
      </c>
      <c r="E291" s="656"/>
      <c r="F291" s="656"/>
      <c r="G291" s="656"/>
      <c r="H291" s="656"/>
      <c r="I291" s="656"/>
      <c r="J291" s="656"/>
      <c r="K291" s="656"/>
      <c r="L291" s="656"/>
      <c r="M291" s="656"/>
      <c r="N291" s="656"/>
      <c r="O291" s="656"/>
      <c r="P291" s="656"/>
      <c r="Q291" s="666" t="s">
        <v>725</v>
      </c>
      <c r="R291" s="656"/>
      <c r="S291" s="656"/>
      <c r="T291" s="656"/>
      <c r="U291" s="2188">
        <f>IF(U288=0,0,U283*U285*U286*(U14/U288))</f>
        <v>0</v>
      </c>
      <c r="V291" s="2189"/>
      <c r="W291" s="656"/>
      <c r="X291" s="656"/>
      <c r="Y291" s="656"/>
      <c r="Z291" s="656"/>
    </row>
    <row r="292" spans="1:26" x14ac:dyDescent="0.45">
      <c r="A292" s="656"/>
      <c r="B292" s="656"/>
      <c r="C292" s="656"/>
      <c r="D292" s="656" t="s">
        <v>446</v>
      </c>
      <c r="E292" s="656"/>
      <c r="F292" s="656"/>
      <c r="G292" s="656"/>
      <c r="H292" s="656"/>
      <c r="I292" s="656"/>
      <c r="J292" s="656"/>
      <c r="K292" s="656"/>
      <c r="L292" s="656"/>
      <c r="M292" s="656"/>
      <c r="N292" s="656"/>
      <c r="O292" s="656"/>
      <c r="P292" s="656"/>
      <c r="Q292" s="666" t="s">
        <v>725</v>
      </c>
      <c r="R292" s="656"/>
      <c r="S292" s="656"/>
      <c r="T292" s="656"/>
      <c r="U292" s="2182">
        <f>IF(U288=0,0,U287*(U14/U288))</f>
        <v>0</v>
      </c>
      <c r="V292" s="2183"/>
      <c r="W292" s="656"/>
      <c r="X292" s="656"/>
      <c r="Y292" s="656"/>
      <c r="Z292" s="656"/>
    </row>
    <row r="293" spans="1:26" x14ac:dyDescent="0.45">
      <c r="A293" s="656"/>
      <c r="B293" s="656"/>
      <c r="C293" s="656"/>
      <c r="D293" s="656" t="s">
        <v>447</v>
      </c>
      <c r="E293" s="656"/>
      <c r="F293" s="656"/>
      <c r="G293" s="656"/>
      <c r="H293" s="656"/>
      <c r="I293" s="656"/>
      <c r="J293" s="656"/>
      <c r="K293" s="656"/>
      <c r="L293" s="656"/>
      <c r="M293" s="656"/>
      <c r="N293" s="656"/>
      <c r="O293" s="656"/>
      <c r="P293" s="656"/>
      <c r="Q293" s="666" t="s">
        <v>725</v>
      </c>
      <c r="R293" s="656"/>
      <c r="S293" s="656"/>
      <c r="T293" s="656"/>
      <c r="U293" s="2184">
        <f>SUM(U291:V292)</f>
        <v>0</v>
      </c>
      <c r="V293" s="2185"/>
      <c r="W293" s="656"/>
      <c r="X293" s="656"/>
      <c r="Y293" s="656"/>
      <c r="Z293" s="656"/>
    </row>
    <row r="294" spans="1:26" x14ac:dyDescent="0.45">
      <c r="A294" s="656"/>
      <c r="B294" s="656"/>
      <c r="C294" s="656"/>
      <c r="D294" s="656"/>
      <c r="E294" s="656"/>
      <c r="F294" s="656"/>
      <c r="G294" s="656"/>
      <c r="H294" s="656"/>
      <c r="I294" s="656"/>
      <c r="J294" s="656"/>
      <c r="K294" s="656"/>
      <c r="L294" s="656"/>
      <c r="M294" s="656"/>
      <c r="N294" s="656"/>
      <c r="O294" s="656"/>
      <c r="P294" s="656"/>
      <c r="Q294" s="656"/>
      <c r="R294" s="656"/>
      <c r="S294" s="656"/>
      <c r="T294" s="656"/>
      <c r="U294" s="656"/>
      <c r="V294" s="656"/>
      <c r="W294" s="656"/>
      <c r="X294" s="656"/>
      <c r="Y294" s="656"/>
      <c r="Z294" s="656"/>
    </row>
    <row r="295" spans="1:26" hidden="1" x14ac:dyDescent="0.45"/>
    <row r="296" spans="1:26" hidden="1" x14ac:dyDescent="0.45"/>
    <row r="297" spans="1:26" hidden="1" x14ac:dyDescent="0.45"/>
    <row r="298" spans="1:26" hidden="1" x14ac:dyDescent="0.45"/>
    <row r="299" spans="1:26" hidden="1" x14ac:dyDescent="0.45"/>
    <row r="300" spans="1:26" hidden="1" x14ac:dyDescent="0.45"/>
    <row r="301" spans="1:26" hidden="1" x14ac:dyDescent="0.45"/>
    <row r="302" spans="1:26" hidden="1" x14ac:dyDescent="0.45"/>
    <row r="303" spans="1:26" hidden="1" x14ac:dyDescent="0.45"/>
    <row r="304" spans="1:26"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x14ac:dyDescent="0.45"/>
  </sheetData>
  <sheetProtection formatCells="0" formatColumns="0" formatRows="0" insertColumns="0" insertRows="0"/>
  <mergeCells count="310">
    <mergeCell ref="U20:V20"/>
    <mergeCell ref="D194:L194"/>
    <mergeCell ref="M194:P194"/>
    <mergeCell ref="D195:L198"/>
    <mergeCell ref="D199:L201"/>
    <mergeCell ref="D202:L205"/>
    <mergeCell ref="U290:V290"/>
    <mergeCell ref="S31:U31"/>
    <mergeCell ref="V31:X31"/>
    <mergeCell ref="V32:X32"/>
    <mergeCell ref="V33:X33"/>
    <mergeCell ref="S113:U113"/>
    <mergeCell ref="R80:U80"/>
    <mergeCell ref="V46:X46"/>
    <mergeCell ref="V47:X47"/>
    <mergeCell ref="V48:X48"/>
    <mergeCell ref="V49:X49"/>
    <mergeCell ref="S36:U36"/>
    <mergeCell ref="S37:U37"/>
    <mergeCell ref="S38:U38"/>
    <mergeCell ref="S39:U39"/>
    <mergeCell ref="S40:U40"/>
    <mergeCell ref="M112:Q112"/>
    <mergeCell ref="M113:Q113"/>
    <mergeCell ref="D143:L143"/>
    <mergeCell ref="M239:P239"/>
    <mergeCell ref="D159:L159"/>
    <mergeCell ref="D145:L145"/>
    <mergeCell ref="M182:P182"/>
    <mergeCell ref="D154:L154"/>
    <mergeCell ref="D155:L155"/>
    <mergeCell ref="D139:L139"/>
    <mergeCell ref="D181:L181"/>
    <mergeCell ref="D182:L182"/>
    <mergeCell ref="D176:L176"/>
    <mergeCell ref="D179:L179"/>
    <mergeCell ref="D180:L180"/>
    <mergeCell ref="D183:L183"/>
    <mergeCell ref="D146:L146"/>
    <mergeCell ref="D162:L162"/>
    <mergeCell ref="D158:L158"/>
    <mergeCell ref="D160:L160"/>
    <mergeCell ref="D175:L175"/>
    <mergeCell ref="D178:L178"/>
    <mergeCell ref="D153:L153"/>
    <mergeCell ref="M156:P156"/>
    <mergeCell ref="D161:L161"/>
    <mergeCell ref="D142:L142"/>
    <mergeCell ref="V225:X225"/>
    <mergeCell ref="V221:X221"/>
    <mergeCell ref="V222:X222"/>
    <mergeCell ref="V223:X223"/>
    <mergeCell ref="V224:X224"/>
    <mergeCell ref="V213:X213"/>
    <mergeCell ref="V215:X215"/>
    <mergeCell ref="V216:X216"/>
    <mergeCell ref="S50:U50"/>
    <mergeCell ref="S51:U51"/>
    <mergeCell ref="V54:X54"/>
    <mergeCell ref="V64:X64"/>
    <mergeCell ref="V55:X55"/>
    <mergeCell ref="V50:X50"/>
    <mergeCell ref="V51:X51"/>
    <mergeCell ref="V52:X52"/>
    <mergeCell ref="R91:U91"/>
    <mergeCell ref="V218:X218"/>
    <mergeCell ref="V80:Y80"/>
    <mergeCell ref="R90:U90"/>
    <mergeCell ref="V90:Y90"/>
    <mergeCell ref="V113:X113"/>
    <mergeCell ref="S115:U115"/>
    <mergeCell ref="V53:X53"/>
    <mergeCell ref="M124:Q124"/>
    <mergeCell ref="M125:Q125"/>
    <mergeCell ref="M131:Q131"/>
    <mergeCell ref="S174:U174"/>
    <mergeCell ref="R173:U173"/>
    <mergeCell ref="V115:X115"/>
    <mergeCell ref="V116:X116"/>
    <mergeCell ref="S32:U32"/>
    <mergeCell ref="S33:U33"/>
    <mergeCell ref="S34:U34"/>
    <mergeCell ref="V81:Y81"/>
    <mergeCell ref="V75:X75"/>
    <mergeCell ref="V76:X76"/>
    <mergeCell ref="V73:X73"/>
    <mergeCell ref="S126:U126"/>
    <mergeCell ref="V126:X126"/>
    <mergeCell ref="V125:X125"/>
    <mergeCell ref="S110:X110"/>
    <mergeCell ref="S111:U111"/>
    <mergeCell ref="V111:X111"/>
    <mergeCell ref="S112:U112"/>
    <mergeCell ref="V112:X112"/>
    <mergeCell ref="S114:U114"/>
    <mergeCell ref="V114:X114"/>
    <mergeCell ref="M179:P179"/>
    <mergeCell ref="M180:P180"/>
    <mergeCell ref="M181:P181"/>
    <mergeCell ref="M142:Q142"/>
    <mergeCell ref="V127:X127"/>
    <mergeCell ref="V128:X128"/>
    <mergeCell ref="V129:X129"/>
    <mergeCell ref="V130:X130"/>
    <mergeCell ref="S152:U152"/>
    <mergeCell ref="V152:Y152"/>
    <mergeCell ref="W174:Y174"/>
    <mergeCell ref="S130:U130"/>
    <mergeCell ref="S129:U129"/>
    <mergeCell ref="S128:U128"/>
    <mergeCell ref="M155:P155"/>
    <mergeCell ref="M154:P154"/>
    <mergeCell ref="V131:X131"/>
    <mergeCell ref="V137:Y137"/>
    <mergeCell ref="S127:U127"/>
    <mergeCell ref="U292:V292"/>
    <mergeCell ref="U293:V293"/>
    <mergeCell ref="U21:V21"/>
    <mergeCell ref="U291:V291"/>
    <mergeCell ref="V34:X34"/>
    <mergeCell ref="U22:V22"/>
    <mergeCell ref="U23:V23"/>
    <mergeCell ref="M114:Q114"/>
    <mergeCell ref="M159:P159"/>
    <mergeCell ref="M141:Q141"/>
    <mergeCell ref="M115:Q115"/>
    <mergeCell ref="M157:P157"/>
    <mergeCell ref="M116:Q116"/>
    <mergeCell ref="M117:Q117"/>
    <mergeCell ref="M118:Q118"/>
    <mergeCell ref="M143:Q143"/>
    <mergeCell ref="M144:Q144"/>
    <mergeCell ref="M145:Q145"/>
    <mergeCell ref="S41:U41"/>
    <mergeCell ref="V39:X39"/>
    <mergeCell ref="V40:X40"/>
    <mergeCell ref="V41:X41"/>
    <mergeCell ref="V42:X42"/>
    <mergeCell ref="V43:X43"/>
    <mergeCell ref="V63:X63"/>
    <mergeCell ref="S54:U54"/>
    <mergeCell ref="S55:U55"/>
    <mergeCell ref="V65:X65"/>
    <mergeCell ref="V66:X66"/>
    <mergeCell ref="V67:X67"/>
    <mergeCell ref="V68:X68"/>
    <mergeCell ref="V124:X124"/>
    <mergeCell ref="S122:X122"/>
    <mergeCell ref="S123:U123"/>
    <mergeCell ref="V123:X123"/>
    <mergeCell ref="S118:U118"/>
    <mergeCell ref="S117:U117"/>
    <mergeCell ref="V117:X117"/>
    <mergeCell ref="V118:X118"/>
    <mergeCell ref="V69:X69"/>
    <mergeCell ref="V70:X70"/>
    <mergeCell ref="V71:X71"/>
    <mergeCell ref="V72:X72"/>
    <mergeCell ref="V74:X74"/>
    <mergeCell ref="R81:U81"/>
    <mergeCell ref="S116:U116"/>
    <mergeCell ref="S124:U124"/>
    <mergeCell ref="U13:V13"/>
    <mergeCell ref="U239:V239"/>
    <mergeCell ref="U241:V241"/>
    <mergeCell ref="U243:V243"/>
    <mergeCell ref="U14:V14"/>
    <mergeCell ref="U15:V15"/>
    <mergeCell ref="U16:V16"/>
    <mergeCell ref="U18:V18"/>
    <mergeCell ref="U19:V19"/>
    <mergeCell ref="S218:U218"/>
    <mergeCell ref="S217:U217"/>
    <mergeCell ref="S224:U224"/>
    <mergeCell ref="S225:U225"/>
    <mergeCell ref="S219:U219"/>
    <mergeCell ref="S220:U220"/>
    <mergeCell ref="S221:U221"/>
    <mergeCell ref="S222:U222"/>
    <mergeCell ref="S52:U52"/>
    <mergeCell ref="S53:U53"/>
    <mergeCell ref="S35:U35"/>
    <mergeCell ref="V35:X35"/>
    <mergeCell ref="S42:U42"/>
    <mergeCell ref="S43:U43"/>
    <mergeCell ref="S44:U44"/>
    <mergeCell ref="S45:U45"/>
    <mergeCell ref="V44:X44"/>
    <mergeCell ref="V45:X45"/>
    <mergeCell ref="S46:U46"/>
    <mergeCell ref="S48:U48"/>
    <mergeCell ref="S49:U49"/>
    <mergeCell ref="V36:X36"/>
    <mergeCell ref="V37:X37"/>
    <mergeCell ref="V38:X38"/>
    <mergeCell ref="S47:U47"/>
    <mergeCell ref="D157:L157"/>
    <mergeCell ref="M161:P161"/>
    <mergeCell ref="M175:P175"/>
    <mergeCell ref="M176:P176"/>
    <mergeCell ref="M177:P177"/>
    <mergeCell ref="M178:P178"/>
    <mergeCell ref="M158:P158"/>
    <mergeCell ref="D156:L156"/>
    <mergeCell ref="V91:Y91"/>
    <mergeCell ref="S137:U137"/>
    <mergeCell ref="D111:L111"/>
    <mergeCell ref="D123:L123"/>
    <mergeCell ref="D138:L138"/>
    <mergeCell ref="D112:L112"/>
    <mergeCell ref="D113:L113"/>
    <mergeCell ref="D114:L114"/>
    <mergeCell ref="D115:L115"/>
    <mergeCell ref="D116:L116"/>
    <mergeCell ref="D117:L117"/>
    <mergeCell ref="D118:L118"/>
    <mergeCell ref="D130:L130"/>
    <mergeCell ref="D131:L131"/>
    <mergeCell ref="D126:L127"/>
    <mergeCell ref="M111:Q111"/>
    <mergeCell ref="S273:U273"/>
    <mergeCell ref="S274:U274"/>
    <mergeCell ref="S275:U275"/>
    <mergeCell ref="V270:X270"/>
    <mergeCell ref="V227:X227"/>
    <mergeCell ref="S227:U227"/>
    <mergeCell ref="V229:X229"/>
    <mergeCell ref="S229:U229"/>
    <mergeCell ref="S269:U269"/>
    <mergeCell ref="S271:U271"/>
    <mergeCell ref="S272:U272"/>
    <mergeCell ref="S270:U270"/>
    <mergeCell ref="U256:V256"/>
    <mergeCell ref="U257:V257"/>
    <mergeCell ref="U258:V258"/>
    <mergeCell ref="U259:V259"/>
    <mergeCell ref="U248:V248"/>
    <mergeCell ref="S230:U230"/>
    <mergeCell ref="V217:X217"/>
    <mergeCell ref="V214:X214"/>
    <mergeCell ref="S223:U223"/>
    <mergeCell ref="V226:X226"/>
    <mergeCell ref="R187:U187"/>
    <mergeCell ref="D244:L245"/>
    <mergeCell ref="U249:V249"/>
    <mergeCell ref="U245:V245"/>
    <mergeCell ref="V230:X230"/>
    <mergeCell ref="S188:U188"/>
    <mergeCell ref="W188:Y188"/>
    <mergeCell ref="D214:L217"/>
    <mergeCell ref="D191:L191"/>
    <mergeCell ref="M191:P191"/>
    <mergeCell ref="V220:X220"/>
    <mergeCell ref="V228:X228"/>
    <mergeCell ref="S228:U228"/>
    <mergeCell ref="S226:U226"/>
    <mergeCell ref="V187:Y187"/>
    <mergeCell ref="D189:L189"/>
    <mergeCell ref="M189:P189"/>
    <mergeCell ref="D190:L190"/>
    <mergeCell ref="M190:P190"/>
    <mergeCell ref="S213:U213"/>
    <mergeCell ref="U286:V286"/>
    <mergeCell ref="U282:V282"/>
    <mergeCell ref="D177:L177"/>
    <mergeCell ref="S131:U131"/>
    <mergeCell ref="S125:U125"/>
    <mergeCell ref="V173:Y173"/>
    <mergeCell ref="D128:L129"/>
    <mergeCell ref="M138:Q138"/>
    <mergeCell ref="M126:Q126"/>
    <mergeCell ref="M128:Q128"/>
    <mergeCell ref="M130:Q130"/>
    <mergeCell ref="N129:Q129"/>
    <mergeCell ref="N127:Q127"/>
    <mergeCell ref="D144:L144"/>
    <mergeCell ref="D141:L141"/>
    <mergeCell ref="D140:L140"/>
    <mergeCell ref="M213:P213"/>
    <mergeCell ref="M139:Q139"/>
    <mergeCell ref="M140:Q140"/>
    <mergeCell ref="M160:P160"/>
    <mergeCell ref="D218:L225"/>
    <mergeCell ref="D226:L230"/>
    <mergeCell ref="D240:L241"/>
    <mergeCell ref="V219:X219"/>
    <mergeCell ref="U17:V17"/>
    <mergeCell ref="U288:V288"/>
    <mergeCell ref="U287:V287"/>
    <mergeCell ref="U283:V283"/>
    <mergeCell ref="U284:V284"/>
    <mergeCell ref="U285:V285"/>
    <mergeCell ref="D192:L192"/>
    <mergeCell ref="M192:P192"/>
    <mergeCell ref="S214:U214"/>
    <mergeCell ref="S215:U215"/>
    <mergeCell ref="S216:U216"/>
    <mergeCell ref="V273:X273"/>
    <mergeCell ref="V274:X274"/>
    <mergeCell ref="V275:X275"/>
    <mergeCell ref="V272:X272"/>
    <mergeCell ref="V267:X267"/>
    <mergeCell ref="V271:X271"/>
    <mergeCell ref="S266:U266"/>
    <mergeCell ref="S267:U267"/>
    <mergeCell ref="S268:U268"/>
    <mergeCell ref="V266:X266"/>
    <mergeCell ref="V268:X268"/>
    <mergeCell ref="V269:X269"/>
    <mergeCell ref="D242:L243"/>
  </mergeCells>
  <conditionalFormatting sqref="V46:X46">
    <cfRule type="expression" dxfId="2" priority="3">
      <formula>$S$45&gt;0</formula>
    </cfRule>
  </conditionalFormatting>
  <conditionalFormatting sqref="S46:U46">
    <cfRule type="expression" dxfId="1" priority="1">
      <formula>AND($S$38&gt;0,$S$45&gt;0)</formula>
    </cfRule>
    <cfRule type="duplicateValues" dxfId="0" priority="2"/>
  </conditionalFormatting>
  <dataValidations count="5">
    <dataValidation type="list" allowBlank="1" showInputMessage="1" showErrorMessage="1" sqref="Q176:Q182 Q190:Q192">
      <formula1>POLICYCOSTING</formula1>
    </dataValidation>
    <dataValidation type="list" allowBlank="1" showInputMessage="1" showErrorMessage="1" sqref="U248">
      <formula1>Multiplier</formula1>
    </dataValidation>
    <dataValidation type="list" allowBlank="1" showInputMessage="1" showErrorMessage="1" sqref="S124:S126 S130:S131 S116:S118 S128 S112:S114">
      <formula1>BAUselection</formula1>
    </dataValidation>
    <dataValidation type="list" allowBlank="1" showInputMessage="1" showErrorMessage="1" sqref="V124:V125 V128:X128 V126:X126 V130:V131 S115 V112:V118">
      <formula1>SELECTION</formula1>
    </dataValidation>
    <dataValidation type="list" allowBlank="1" showInputMessage="1" showErrorMessage="1" sqref="V65:X65 V67:X68">
      <formula1>InputMethod</formula1>
    </dataValidation>
  </dataValidations>
  <pageMargins left="0.7" right="0.7" top="0.75" bottom="0.75" header="0.3" footer="0.3"/>
  <pageSetup scale="42" fitToHeight="0" orientation="landscape" horizontalDpi="4294967293" verticalDpi="4294967293" r:id="rId1"/>
  <headerFooter>
    <oddFooter>&amp;L&amp;A&amp;R&amp;P of &amp;N</oddFooter>
  </headerFooter>
  <rowBreaks count="2" manualBreakCount="2">
    <brk id="103" max="16383" man="1"/>
    <brk id="163" max="16383" man="1"/>
  </rowBreaks>
  <ignoredErrors>
    <ignoredError sqref="U293" unlockedFormula="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855"/>
  <sheetViews>
    <sheetView zoomScale="75" zoomScaleNormal="75" workbookViewId="0">
      <pane xSplit="6" ySplit="14" topLeftCell="G15" activePane="bottomRight" state="frozen"/>
      <selection pane="topRight"/>
      <selection pane="bottomLeft"/>
      <selection pane="bottomRight"/>
    </sheetView>
  </sheetViews>
  <sheetFormatPr defaultColWidth="0" defaultRowHeight="12.75" zeroHeight="1" outlineLevelRow="1" x14ac:dyDescent="0.45"/>
  <cols>
    <col min="1" max="2" width="1.86328125" style="201" customWidth="1"/>
    <col min="3" max="3" width="41.86328125" style="201" bestFit="1" customWidth="1"/>
    <col min="4" max="4" width="9.1328125" style="201" customWidth="1"/>
    <col min="5" max="5" width="7.86328125" style="201" bestFit="1" customWidth="1"/>
    <col min="6" max="6" width="13.1328125" style="201" bestFit="1" customWidth="1"/>
    <col min="7" max="7" width="23" style="201" bestFit="1" customWidth="1"/>
    <col min="8" max="8" width="15" style="201" bestFit="1" customWidth="1"/>
    <col min="9" max="9" width="15.1328125" style="201" bestFit="1" customWidth="1"/>
    <col min="10" max="10" width="17" style="201" bestFit="1" customWidth="1"/>
    <col min="11" max="11" width="18.1328125" style="201" bestFit="1" customWidth="1"/>
    <col min="12" max="12" width="15" style="201" bestFit="1" customWidth="1"/>
    <col min="13" max="13" width="15.265625" style="201" bestFit="1" customWidth="1"/>
    <col min="14" max="14" width="15.1328125" style="201" bestFit="1" customWidth="1"/>
    <col min="15" max="17" width="15.265625" style="201" bestFit="1" customWidth="1"/>
    <col min="18" max="18" width="15" style="201" bestFit="1" customWidth="1"/>
    <col min="19" max="19" width="15.1328125" style="201" bestFit="1" customWidth="1"/>
    <col min="20" max="20" width="15.265625" style="201" bestFit="1" customWidth="1"/>
    <col min="21" max="21" width="16" style="201" bestFit="1" customWidth="1"/>
    <col min="22" max="23" width="15.86328125" style="201" bestFit="1" customWidth="1"/>
    <col min="24" max="24" width="16" style="201" bestFit="1" customWidth="1"/>
    <col min="25" max="26" width="15.265625" style="201" bestFit="1" customWidth="1"/>
    <col min="27" max="27" width="15.86328125" style="201" bestFit="1" customWidth="1"/>
    <col min="28" max="28" width="15" style="201" bestFit="1" customWidth="1"/>
    <col min="29" max="29" width="15.1328125" style="201" bestFit="1" customWidth="1"/>
    <col min="30" max="30" width="15" style="201" bestFit="1" customWidth="1"/>
    <col min="31" max="31" width="15.265625" style="201" bestFit="1" customWidth="1"/>
    <col min="32" max="33" width="15.1328125" style="201" bestFit="1" customWidth="1"/>
    <col min="34" max="34" width="14.1328125" style="201" bestFit="1" customWidth="1"/>
    <col min="35" max="35" width="15" style="201" bestFit="1" customWidth="1"/>
    <col min="36" max="36" width="14.86328125" style="201" bestFit="1" customWidth="1"/>
    <col min="37" max="37" width="15.1328125" style="201" bestFit="1" customWidth="1"/>
    <col min="38" max="38" width="14.1328125" style="201" bestFit="1" customWidth="1"/>
    <col min="39" max="40" width="14.265625" style="201" bestFit="1" customWidth="1"/>
    <col min="41" max="41" width="15" style="201" bestFit="1" customWidth="1"/>
    <col min="42" max="42" width="14.86328125" style="201" bestFit="1" customWidth="1"/>
    <col min="43" max="43" width="14.1328125" style="201" bestFit="1" customWidth="1"/>
    <col min="44" max="44" width="14.265625" style="201" bestFit="1" customWidth="1"/>
    <col min="45" max="45" width="14.1328125" style="201" bestFit="1" customWidth="1"/>
    <col min="46" max="46" width="13.86328125" style="201" bestFit="1" customWidth="1"/>
    <col min="47" max="47" width="14.265625" style="201" bestFit="1" customWidth="1"/>
    <col min="48" max="48" width="14.86328125" style="201" bestFit="1" customWidth="1"/>
    <col min="49" max="49" width="15" style="201" bestFit="1" customWidth="1"/>
    <col min="50" max="50" width="14.265625" style="201" bestFit="1" customWidth="1"/>
    <col min="51" max="51" width="14.1328125" style="201" bestFit="1" customWidth="1"/>
    <col min="52" max="52" width="14.86328125" style="201" bestFit="1" customWidth="1"/>
    <col min="53" max="54" width="13.86328125" style="201" bestFit="1" customWidth="1"/>
    <col min="55" max="56" width="14.265625" style="201" bestFit="1" customWidth="1"/>
    <col min="57" max="57" width="14.1328125" style="201" bestFit="1" customWidth="1"/>
    <col min="58" max="58" width="2.1328125" style="201" customWidth="1"/>
    <col min="59" max="16384" width="0" style="201" hidden="1"/>
  </cols>
  <sheetData>
    <row r="1" spans="1:58" x14ac:dyDescent="0.45">
      <c r="A1" s="421" t="s">
        <v>584</v>
      </c>
      <c r="B1" s="695"/>
      <c r="C1" s="695"/>
      <c r="D1" s="695"/>
      <c r="E1" s="695"/>
      <c r="F1" s="695"/>
      <c r="G1" s="695"/>
      <c r="H1" s="695"/>
      <c r="I1" s="695"/>
      <c r="J1" s="695"/>
      <c r="K1" s="695"/>
      <c r="L1" s="695"/>
      <c r="M1" s="695"/>
      <c r="N1" s="695"/>
      <c r="O1" s="695"/>
      <c r="P1" s="695"/>
      <c r="Q1" s="695"/>
      <c r="R1" s="695"/>
      <c r="S1" s="695"/>
      <c r="T1" s="695"/>
      <c r="U1" s="695"/>
      <c r="V1" s="695"/>
      <c r="W1" s="695"/>
      <c r="X1" s="695"/>
      <c r="Y1" s="695"/>
      <c r="Z1" s="695"/>
      <c r="AA1" s="695"/>
      <c r="AB1" s="695"/>
      <c r="AC1" s="695"/>
      <c r="AD1" s="695"/>
      <c r="AE1" s="695"/>
      <c r="AF1" s="695"/>
      <c r="AG1" s="695"/>
      <c r="AH1" s="695"/>
      <c r="AI1" s="695"/>
      <c r="AJ1" s="695"/>
      <c r="AK1" s="695"/>
      <c r="AL1" s="695"/>
      <c r="AM1" s="695"/>
      <c r="AN1" s="695"/>
      <c r="AO1" s="695"/>
      <c r="AP1" s="695"/>
      <c r="AQ1" s="695"/>
      <c r="AR1" s="695"/>
      <c r="AS1" s="695"/>
      <c r="AT1" s="695"/>
      <c r="AU1" s="695"/>
      <c r="AV1" s="695"/>
      <c r="AW1" s="695"/>
      <c r="AX1" s="695"/>
      <c r="AY1" s="695"/>
      <c r="AZ1" s="695"/>
      <c r="BA1" s="695"/>
      <c r="BB1" s="695"/>
      <c r="BC1" s="695"/>
      <c r="BD1" s="695"/>
      <c r="BE1" s="695"/>
      <c r="BF1" s="695"/>
    </row>
    <row r="2" spans="1:58" x14ac:dyDescent="0.45">
      <c r="A2" s="695"/>
      <c r="B2" s="695"/>
      <c r="C2" s="695"/>
      <c r="D2" s="695"/>
      <c r="E2" s="695"/>
      <c r="F2" s="695"/>
      <c r="G2" s="695"/>
      <c r="H2" s="695"/>
      <c r="I2" s="695"/>
      <c r="J2" s="695"/>
      <c r="K2" s="695"/>
      <c r="L2" s="695"/>
      <c r="M2" s="695"/>
      <c r="N2" s="695"/>
      <c r="O2" s="695"/>
      <c r="P2" s="695"/>
      <c r="Q2" s="695"/>
      <c r="R2" s="695"/>
      <c r="S2" s="695"/>
      <c r="T2" s="695"/>
      <c r="U2" s="695"/>
      <c r="V2" s="695"/>
      <c r="W2" s="695"/>
      <c r="X2" s="695"/>
      <c r="Y2" s="695"/>
      <c r="Z2" s="695"/>
      <c r="AA2" s="695"/>
      <c r="AB2" s="695"/>
      <c r="AC2" s="695"/>
      <c r="AD2" s="695"/>
      <c r="AE2" s="695"/>
      <c r="AF2" s="695"/>
      <c r="AG2" s="695"/>
      <c r="AH2" s="695"/>
      <c r="AI2" s="695"/>
      <c r="AJ2" s="695"/>
      <c r="AK2" s="695"/>
      <c r="AL2" s="695"/>
      <c r="AM2" s="695"/>
      <c r="AN2" s="695"/>
      <c r="AO2" s="695"/>
      <c r="AP2" s="695"/>
      <c r="AQ2" s="695"/>
      <c r="AR2" s="695"/>
      <c r="AS2" s="695"/>
      <c r="AT2" s="695"/>
      <c r="AU2" s="695"/>
      <c r="AV2" s="695"/>
      <c r="AW2" s="695"/>
      <c r="AX2" s="695"/>
      <c r="AY2" s="695"/>
      <c r="AZ2" s="695"/>
      <c r="BA2" s="695"/>
      <c r="BB2" s="695"/>
      <c r="BC2" s="695"/>
      <c r="BD2" s="695"/>
      <c r="BE2" s="695"/>
      <c r="BF2" s="695"/>
    </row>
    <row r="3" spans="1:58" s="830" customFormat="1" ht="13.15" x14ac:dyDescent="0.45">
      <c r="A3" s="458" t="s">
        <v>281</v>
      </c>
      <c r="B3" s="458"/>
      <c r="C3" s="458"/>
      <c r="D3" s="458"/>
      <c r="E3" s="458"/>
      <c r="F3" s="458"/>
      <c r="G3" s="458"/>
      <c r="H3" s="458"/>
      <c r="I3" s="458"/>
      <c r="J3" s="458"/>
      <c r="K3" s="459"/>
      <c r="L3" s="459"/>
      <c r="M3" s="460"/>
      <c r="N3" s="460"/>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59"/>
      <c r="AP3" s="459"/>
      <c r="AQ3" s="459"/>
      <c r="AR3" s="459"/>
      <c r="AS3" s="459"/>
      <c r="AT3" s="459"/>
      <c r="AU3" s="459"/>
      <c r="AV3" s="459"/>
      <c r="AW3" s="459"/>
      <c r="AX3" s="459"/>
      <c r="AY3" s="459"/>
      <c r="AZ3" s="459"/>
      <c r="BA3" s="459"/>
      <c r="BB3" s="459"/>
      <c r="BC3" s="459"/>
      <c r="BD3" s="459"/>
      <c r="BE3" s="459"/>
      <c r="BF3" s="1167"/>
    </row>
    <row r="4" spans="1:58" s="457" customFormat="1" ht="12.75" customHeight="1" x14ac:dyDescent="0.45">
      <c r="A4" s="461"/>
      <c r="B4" s="461"/>
      <c r="C4" s="461"/>
      <c r="D4" s="461"/>
      <c r="E4" s="461"/>
      <c r="F4" s="461"/>
      <c r="G4" s="461"/>
      <c r="H4" s="461"/>
      <c r="I4" s="461"/>
      <c r="J4" s="461"/>
      <c r="K4" s="461"/>
      <c r="L4" s="461"/>
      <c r="M4" s="461"/>
      <c r="N4" s="461"/>
      <c r="O4" s="461"/>
      <c r="P4" s="461"/>
      <c r="Q4" s="693"/>
      <c r="R4" s="693"/>
      <c r="S4" s="693"/>
      <c r="T4" s="461"/>
      <c r="U4" s="461"/>
      <c r="V4" s="693"/>
      <c r="W4" s="693"/>
      <c r="X4" s="693"/>
      <c r="Y4" s="693"/>
      <c r="Z4" s="693"/>
      <c r="AA4" s="693"/>
      <c r="AB4" s="693"/>
      <c r="AC4" s="693"/>
      <c r="AD4" s="693"/>
      <c r="AE4" s="693"/>
      <c r="AF4" s="693"/>
      <c r="AG4" s="693"/>
      <c r="AH4" s="693"/>
      <c r="AI4" s="693"/>
      <c r="AJ4" s="693"/>
      <c r="AK4" s="693"/>
      <c r="AL4" s="693"/>
      <c r="AM4" s="693"/>
      <c r="AN4" s="693"/>
      <c r="AO4" s="693"/>
      <c r="AP4" s="693"/>
      <c r="AQ4" s="693"/>
      <c r="AR4" s="693"/>
      <c r="AS4" s="693"/>
      <c r="AT4" s="693"/>
      <c r="AU4" s="693"/>
      <c r="AV4" s="693"/>
      <c r="AW4" s="693"/>
      <c r="AX4" s="693"/>
      <c r="AY4" s="693"/>
      <c r="AZ4" s="693"/>
      <c r="BA4" s="693"/>
      <c r="BB4" s="693"/>
      <c r="BC4" s="693"/>
      <c r="BD4" s="693"/>
      <c r="BE4" s="693"/>
      <c r="BF4" s="461"/>
    </row>
    <row r="5" spans="1:58" s="457" customFormat="1" ht="12.75" customHeight="1" x14ac:dyDescent="0.45">
      <c r="A5" s="461"/>
      <c r="B5" s="461" t="s">
        <v>222</v>
      </c>
      <c r="C5" s="461"/>
      <c r="D5" s="461"/>
      <c r="E5" s="461"/>
      <c r="F5" s="461"/>
      <c r="G5" s="461"/>
      <c r="H5" s="1169"/>
      <c r="I5" s="461"/>
      <c r="J5" s="461"/>
      <c r="K5" s="461"/>
      <c r="L5" s="461"/>
      <c r="M5" s="461"/>
      <c r="N5" s="461"/>
      <c r="O5" s="461"/>
      <c r="P5" s="461"/>
      <c r="Q5" s="461"/>
      <c r="R5" s="461"/>
      <c r="S5" s="461"/>
      <c r="T5" s="383"/>
      <c r="U5" s="461"/>
      <c r="V5" s="461"/>
      <c r="W5" s="383"/>
      <c r="X5" s="383"/>
      <c r="Y5" s="383"/>
      <c r="Z5" s="383"/>
      <c r="AA5" s="383"/>
      <c r="AB5" s="383"/>
      <c r="AC5" s="383"/>
      <c r="AD5" s="383"/>
      <c r="AE5" s="383"/>
      <c r="AF5" s="383"/>
      <c r="AG5" s="383"/>
      <c r="AH5" s="383"/>
      <c r="AI5" s="383"/>
      <c r="AJ5" s="383"/>
      <c r="AK5" s="383"/>
      <c r="AL5" s="383"/>
      <c r="AM5" s="383"/>
      <c r="AN5" s="383"/>
      <c r="AO5" s="383"/>
      <c r="AP5" s="383"/>
      <c r="AQ5" s="383"/>
      <c r="AR5" s="383"/>
      <c r="AS5" s="383"/>
      <c r="AT5" s="383"/>
      <c r="AU5" s="383"/>
      <c r="AV5" s="383"/>
      <c r="AW5" s="383"/>
      <c r="AX5" s="383"/>
      <c r="AY5" s="383"/>
      <c r="AZ5" s="383"/>
      <c r="BA5" s="383"/>
      <c r="BB5" s="383"/>
      <c r="BC5" s="383"/>
      <c r="BD5" s="383"/>
      <c r="BE5" s="383"/>
      <c r="BF5" s="461"/>
    </row>
    <row r="6" spans="1:58" s="457" customFormat="1" ht="12.75" customHeight="1" x14ac:dyDescent="0.45">
      <c r="A6" s="461"/>
      <c r="B6" s="461"/>
      <c r="C6" s="461" t="s">
        <v>279</v>
      </c>
      <c r="D6" s="461"/>
      <c r="E6" s="461"/>
      <c r="F6" s="461"/>
      <c r="G6" s="461"/>
      <c r="H6" s="1169"/>
      <c r="I6" s="461"/>
      <c r="J6" s="461"/>
      <c r="K6" s="461"/>
      <c r="L6" s="461"/>
      <c r="M6" s="461"/>
      <c r="N6" s="461"/>
      <c r="O6" s="461"/>
      <c r="P6" s="461"/>
      <c r="Q6" s="461"/>
      <c r="R6" s="461"/>
      <c r="S6" s="461"/>
      <c r="T6" s="1170"/>
      <c r="U6" s="461"/>
      <c r="V6" s="461"/>
      <c r="W6" s="1170"/>
      <c r="X6" s="1170"/>
      <c r="Y6" s="1170"/>
      <c r="Z6" s="1170"/>
      <c r="AA6" s="1170"/>
      <c r="AB6" s="1170"/>
      <c r="AC6" s="1170"/>
      <c r="AD6" s="1170"/>
      <c r="AE6" s="1170"/>
      <c r="AF6" s="1170"/>
      <c r="AG6" s="1170"/>
      <c r="AH6" s="1170"/>
      <c r="AI6" s="1170"/>
      <c r="AJ6" s="1170"/>
      <c r="AK6" s="1170"/>
      <c r="AL6" s="1170"/>
      <c r="AM6" s="1170"/>
      <c r="AN6" s="1170"/>
      <c r="AO6" s="1170"/>
      <c r="AP6" s="1170"/>
      <c r="AQ6" s="1170"/>
      <c r="AR6" s="1170"/>
      <c r="AS6" s="1170"/>
      <c r="AT6" s="1170"/>
      <c r="AU6" s="1170"/>
      <c r="AV6" s="1170"/>
      <c r="AW6" s="1170"/>
      <c r="AX6" s="1170"/>
      <c r="AY6" s="1170"/>
      <c r="AZ6" s="1170"/>
      <c r="BA6" s="1170"/>
      <c r="BB6" s="1170"/>
      <c r="BC6" s="1170"/>
      <c r="BD6" s="1170"/>
      <c r="BE6" s="1170"/>
      <c r="BF6" s="461"/>
    </row>
    <row r="7" spans="1:58" s="457" customFormat="1" ht="12.75" customHeight="1" x14ac:dyDescent="0.45">
      <c r="A7" s="461"/>
      <c r="B7" s="461"/>
      <c r="C7" s="461" t="s">
        <v>280</v>
      </c>
      <c r="D7" s="461"/>
      <c r="E7" s="461"/>
      <c r="F7" s="461"/>
      <c r="G7" s="461"/>
      <c r="H7" s="1169"/>
      <c r="I7" s="461"/>
      <c r="J7" s="461"/>
      <c r="K7" s="461"/>
      <c r="L7" s="461"/>
      <c r="M7" s="461"/>
      <c r="N7" s="461"/>
      <c r="O7" s="461"/>
      <c r="P7" s="461"/>
      <c r="Q7" s="461"/>
      <c r="R7" s="461"/>
      <c r="S7" s="461"/>
      <c r="T7" s="383"/>
      <c r="U7" s="461"/>
      <c r="V7" s="461"/>
      <c r="W7" s="383"/>
      <c r="X7" s="383"/>
      <c r="Y7" s="383"/>
      <c r="Z7" s="383"/>
      <c r="AA7" s="383"/>
      <c r="AB7" s="383"/>
      <c r="AC7" s="383"/>
      <c r="AD7" s="383"/>
      <c r="AE7" s="383"/>
      <c r="AF7" s="383"/>
      <c r="AG7" s="383"/>
      <c r="AH7" s="383"/>
      <c r="AI7" s="383"/>
      <c r="AJ7" s="383"/>
      <c r="AK7" s="383"/>
      <c r="AL7" s="383"/>
      <c r="AM7" s="383"/>
      <c r="AN7" s="383"/>
      <c r="AO7" s="383"/>
      <c r="AP7" s="383"/>
      <c r="AQ7" s="383"/>
      <c r="AR7" s="383"/>
      <c r="AS7" s="383"/>
      <c r="AT7" s="383"/>
      <c r="AU7" s="383"/>
      <c r="AV7" s="383"/>
      <c r="AW7" s="383"/>
      <c r="AX7" s="383"/>
      <c r="AY7" s="383"/>
      <c r="AZ7" s="383"/>
      <c r="BA7" s="383"/>
      <c r="BB7" s="383"/>
      <c r="BC7" s="383"/>
      <c r="BD7" s="383"/>
      <c r="BE7" s="383"/>
      <c r="BF7" s="461"/>
    </row>
    <row r="8" spans="1:58" s="457" customFormat="1" x14ac:dyDescent="0.45">
      <c r="A8" s="461"/>
      <c r="B8" s="461"/>
      <c r="C8" s="461" t="s">
        <v>221</v>
      </c>
      <c r="D8" s="461"/>
      <c r="E8" s="461"/>
      <c r="F8" s="461"/>
      <c r="G8" s="461"/>
      <c r="H8" s="1768"/>
      <c r="I8" s="461"/>
      <c r="J8" s="461"/>
      <c r="K8" s="461"/>
      <c r="L8" s="461"/>
      <c r="M8" s="461"/>
      <c r="N8" s="461"/>
      <c r="O8" s="461"/>
      <c r="P8" s="461"/>
      <c r="Q8" s="693"/>
      <c r="R8" s="693"/>
      <c r="S8" s="693"/>
      <c r="T8" s="461"/>
      <c r="U8" s="461"/>
      <c r="V8" s="461"/>
      <c r="W8" s="461"/>
      <c r="X8" s="461"/>
      <c r="Y8" s="461"/>
      <c r="Z8" s="461"/>
      <c r="AA8" s="461"/>
      <c r="AB8" s="461"/>
      <c r="AC8" s="461"/>
      <c r="AD8" s="461"/>
      <c r="AE8" s="461"/>
      <c r="AF8" s="461"/>
      <c r="AG8" s="461"/>
      <c r="AH8" s="461"/>
      <c r="AI8" s="461"/>
      <c r="AJ8" s="461"/>
      <c r="AK8" s="461"/>
      <c r="AL8" s="461"/>
      <c r="AM8" s="461"/>
      <c r="AN8" s="461"/>
      <c r="AO8" s="461"/>
      <c r="AP8" s="461"/>
      <c r="AQ8" s="461"/>
      <c r="AR8" s="461"/>
      <c r="AS8" s="461"/>
      <c r="AT8" s="461"/>
      <c r="AU8" s="461"/>
      <c r="AV8" s="461"/>
      <c r="AW8" s="461"/>
      <c r="AX8" s="461"/>
      <c r="AY8" s="461"/>
      <c r="AZ8" s="461"/>
      <c r="BA8" s="461"/>
      <c r="BB8" s="461"/>
      <c r="BC8" s="461"/>
      <c r="BD8" s="461"/>
      <c r="BE8" s="461"/>
      <c r="BF8" s="461"/>
    </row>
    <row r="9" spans="1:58" s="457" customFormat="1" ht="12.75" customHeight="1" x14ac:dyDescent="0.45">
      <c r="A9" s="461"/>
      <c r="B9" s="461"/>
      <c r="C9" s="461"/>
      <c r="D9" s="461"/>
      <c r="E9" s="461"/>
      <c r="F9" s="461"/>
      <c r="G9" s="461"/>
      <c r="H9" s="461"/>
      <c r="I9" s="461"/>
      <c r="J9" s="461"/>
      <c r="K9" s="461"/>
      <c r="L9" s="461"/>
      <c r="M9" s="461"/>
      <c r="N9" s="461"/>
      <c r="O9" s="461"/>
      <c r="P9" s="461"/>
      <c r="Q9" s="693"/>
      <c r="R9" s="693"/>
      <c r="S9" s="693"/>
      <c r="T9" s="461"/>
      <c r="U9" s="461"/>
      <c r="V9" s="461"/>
      <c r="W9" s="461"/>
      <c r="X9" s="461"/>
      <c r="Y9" s="461"/>
      <c r="Z9" s="461"/>
      <c r="AA9" s="461"/>
      <c r="AB9" s="461"/>
      <c r="AC9" s="461"/>
      <c r="AD9" s="461"/>
      <c r="AE9" s="461"/>
      <c r="AF9" s="461"/>
      <c r="AG9" s="461"/>
      <c r="AH9" s="461"/>
      <c r="AI9" s="461"/>
      <c r="AJ9" s="461"/>
      <c r="AK9" s="461"/>
      <c r="AL9" s="461"/>
      <c r="AM9" s="461"/>
      <c r="AN9" s="461"/>
      <c r="AO9" s="461"/>
      <c r="AP9" s="461"/>
      <c r="AQ9" s="461"/>
      <c r="AR9" s="461"/>
      <c r="AS9" s="461"/>
      <c r="AT9" s="461"/>
      <c r="AU9" s="461"/>
      <c r="AV9" s="461"/>
      <c r="AW9" s="461"/>
      <c r="AX9" s="461"/>
      <c r="AY9" s="461"/>
      <c r="AZ9" s="461"/>
      <c r="BA9" s="461"/>
      <c r="BB9" s="461"/>
      <c r="BC9" s="461"/>
      <c r="BD9" s="461"/>
      <c r="BE9" s="461"/>
      <c r="BF9" s="461"/>
    </row>
    <row r="10" spans="1:58" s="457" customFormat="1" ht="12.75" customHeight="1" x14ac:dyDescent="0.45">
      <c r="A10" s="462" t="s">
        <v>282</v>
      </c>
      <c r="B10" s="462"/>
      <c r="C10" s="462"/>
      <c r="D10" s="462"/>
      <c r="E10" s="462"/>
      <c r="F10" s="462"/>
      <c r="G10" s="462"/>
      <c r="H10" s="462"/>
      <c r="I10" s="462"/>
      <c r="J10" s="463"/>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4"/>
      <c r="AI10" s="464"/>
      <c r="AJ10" s="464"/>
      <c r="AK10" s="464"/>
      <c r="AL10" s="464"/>
      <c r="AM10" s="464"/>
      <c r="AN10" s="464"/>
      <c r="AO10" s="464"/>
      <c r="AP10" s="464"/>
      <c r="AQ10" s="464"/>
      <c r="AR10" s="464"/>
      <c r="AS10" s="464"/>
      <c r="AT10" s="464"/>
      <c r="AU10" s="464"/>
      <c r="AV10" s="464"/>
      <c r="AW10" s="464"/>
      <c r="AX10" s="464"/>
      <c r="AY10" s="464"/>
      <c r="AZ10" s="464"/>
      <c r="BA10" s="464"/>
      <c r="BB10" s="464"/>
      <c r="BC10" s="464"/>
      <c r="BD10" s="464"/>
      <c r="BE10" s="464"/>
      <c r="BF10" s="461"/>
    </row>
    <row r="11" spans="1:58" x14ac:dyDescent="0.45">
      <c r="A11" s="695"/>
      <c r="B11" s="695"/>
      <c r="C11" s="695"/>
      <c r="D11" s="695"/>
      <c r="E11" s="695"/>
      <c r="F11" s="695"/>
      <c r="G11" s="695"/>
      <c r="H11" s="695"/>
      <c r="I11" s="695"/>
      <c r="J11" s="695"/>
      <c r="K11" s="695"/>
      <c r="L11" s="695"/>
      <c r="M11" s="695"/>
      <c r="N11" s="695"/>
      <c r="O11" s="695"/>
      <c r="P11" s="695"/>
      <c r="Q11" s="695"/>
      <c r="R11" s="695"/>
      <c r="S11" s="695"/>
      <c r="BF11" s="695"/>
    </row>
    <row r="12" spans="1:58" x14ac:dyDescent="0.45">
      <c r="A12" s="695"/>
      <c r="B12" s="695"/>
      <c r="C12" s="695"/>
      <c r="D12" s="695"/>
      <c r="E12" s="695"/>
      <c r="F12" s="695"/>
      <c r="G12" s="695"/>
      <c r="H12" s="695"/>
      <c r="I12" s="695"/>
      <c r="J12" s="695"/>
      <c r="K12" s="695"/>
      <c r="L12" s="695"/>
      <c r="M12" s="695"/>
      <c r="N12" s="695"/>
      <c r="O12" s="695"/>
      <c r="P12" s="695"/>
      <c r="Q12" s="695"/>
      <c r="R12" s="695"/>
      <c r="S12" s="695"/>
      <c r="BF12" s="695"/>
    </row>
    <row r="13" spans="1:58" ht="13.15" x14ac:dyDescent="0.45">
      <c r="A13" s="695"/>
      <c r="B13" s="1171" t="s">
        <v>51</v>
      </c>
      <c r="C13" s="1172"/>
      <c r="D13" s="1172"/>
      <c r="E13" s="1173"/>
      <c r="F13" s="1172"/>
      <c r="G13" s="1173">
        <v>0</v>
      </c>
      <c r="H13" s="1173">
        <v>1</v>
      </c>
      <c r="I13" s="1173">
        <v>2</v>
      </c>
      <c r="J13" s="1173">
        <v>3</v>
      </c>
      <c r="K13" s="1173">
        <v>4</v>
      </c>
      <c r="L13" s="1173">
        <v>5</v>
      </c>
      <c r="M13" s="1173">
        <v>6</v>
      </c>
      <c r="N13" s="1173">
        <v>7</v>
      </c>
      <c r="O13" s="1173">
        <v>8</v>
      </c>
      <c r="P13" s="1173">
        <v>9</v>
      </c>
      <c r="Q13" s="1173">
        <v>10</v>
      </c>
      <c r="R13" s="1173">
        <v>11</v>
      </c>
      <c r="S13" s="1173">
        <v>12</v>
      </c>
      <c r="T13" s="831">
        <v>13</v>
      </c>
      <c r="U13" s="831">
        <v>14</v>
      </c>
      <c r="V13" s="831">
        <v>15</v>
      </c>
      <c r="W13" s="831">
        <v>16</v>
      </c>
      <c r="X13" s="831">
        <v>17</v>
      </c>
      <c r="Y13" s="831">
        <v>18</v>
      </c>
      <c r="Z13" s="831">
        <v>19</v>
      </c>
      <c r="AA13" s="831">
        <v>20</v>
      </c>
      <c r="AB13" s="831">
        <v>21</v>
      </c>
      <c r="AC13" s="831">
        <v>22</v>
      </c>
      <c r="AD13" s="831">
        <v>23</v>
      </c>
      <c r="AE13" s="831">
        <v>24</v>
      </c>
      <c r="AF13" s="831">
        <v>25</v>
      </c>
      <c r="AG13" s="831">
        <v>26</v>
      </c>
      <c r="AH13" s="831">
        <v>27</v>
      </c>
      <c r="AI13" s="831">
        <v>28</v>
      </c>
      <c r="AJ13" s="831">
        <v>29</v>
      </c>
      <c r="AK13" s="831">
        <v>30</v>
      </c>
      <c r="AL13" s="831">
        <v>31</v>
      </c>
      <c r="AM13" s="831">
        <v>32</v>
      </c>
      <c r="AN13" s="831">
        <v>33</v>
      </c>
      <c r="AO13" s="831">
        <v>34</v>
      </c>
      <c r="AP13" s="831">
        <v>35</v>
      </c>
      <c r="AQ13" s="831">
        <v>36</v>
      </c>
      <c r="AR13" s="831">
        <v>37</v>
      </c>
      <c r="AS13" s="831">
        <v>38</v>
      </c>
      <c r="AT13" s="831">
        <v>39</v>
      </c>
      <c r="AU13" s="831">
        <v>40</v>
      </c>
      <c r="AV13" s="831">
        <v>41</v>
      </c>
      <c r="AW13" s="831">
        <v>42</v>
      </c>
      <c r="AX13" s="831">
        <v>43</v>
      </c>
      <c r="AY13" s="831">
        <v>44</v>
      </c>
      <c r="AZ13" s="831">
        <v>45</v>
      </c>
      <c r="BA13" s="831">
        <v>46</v>
      </c>
      <c r="BB13" s="831">
        <v>47</v>
      </c>
      <c r="BC13" s="831">
        <v>48</v>
      </c>
      <c r="BD13" s="831">
        <v>49</v>
      </c>
      <c r="BE13" s="831">
        <v>50</v>
      </c>
      <c r="BF13" s="695"/>
    </row>
    <row r="14" spans="1:58" ht="13.15" thickBot="1" x14ac:dyDescent="0.5">
      <c r="A14" s="695"/>
      <c r="B14" s="415"/>
      <c r="C14" s="461"/>
      <c r="D14" s="461"/>
      <c r="E14" s="693"/>
      <c r="F14" s="695"/>
      <c r="G14" s="693"/>
      <c r="H14" s="693"/>
      <c r="I14" s="693"/>
      <c r="J14" s="693"/>
      <c r="K14" s="693"/>
      <c r="L14" s="693"/>
      <c r="M14" s="693"/>
      <c r="N14" s="693"/>
      <c r="O14" s="693"/>
      <c r="P14" s="693"/>
      <c r="Q14" s="693"/>
      <c r="R14" s="693"/>
      <c r="S14" s="693"/>
      <c r="T14" s="832"/>
      <c r="U14" s="832"/>
      <c r="V14" s="832"/>
      <c r="W14" s="832"/>
      <c r="X14" s="832"/>
      <c r="Y14" s="832"/>
      <c r="Z14" s="832"/>
      <c r="AA14" s="832"/>
      <c r="AB14" s="832"/>
      <c r="AC14" s="832"/>
      <c r="AD14" s="832"/>
      <c r="AE14" s="832"/>
      <c r="AF14" s="832"/>
      <c r="AG14" s="832"/>
      <c r="AH14" s="832"/>
      <c r="AI14" s="832"/>
      <c r="AJ14" s="832"/>
      <c r="AK14" s="832"/>
      <c r="AL14" s="832"/>
      <c r="AM14" s="832"/>
      <c r="AN14" s="832"/>
      <c r="AO14" s="832"/>
      <c r="AP14" s="832"/>
      <c r="AQ14" s="832"/>
      <c r="AR14" s="832"/>
      <c r="AS14" s="832"/>
      <c r="AT14" s="832"/>
      <c r="AU14" s="832"/>
      <c r="AV14" s="832"/>
      <c r="AW14" s="832"/>
      <c r="AX14" s="832"/>
      <c r="AY14" s="832"/>
      <c r="AZ14" s="832"/>
      <c r="BA14" s="832"/>
      <c r="BB14" s="832"/>
      <c r="BC14" s="832"/>
      <c r="BD14" s="832"/>
      <c r="BE14" s="832"/>
      <c r="BF14" s="695"/>
    </row>
    <row r="15" spans="1:58" ht="13.15" x14ac:dyDescent="0.45">
      <c r="A15" s="695"/>
      <c r="B15" s="833" t="str">
        <f>'II. Inputs, Baseline Energy Mix'!$N$103</f>
        <v>CCGT</v>
      </c>
      <c r="C15" s="834"/>
      <c r="D15" s="834"/>
      <c r="E15" s="834"/>
      <c r="F15" s="834"/>
      <c r="G15" s="834"/>
      <c r="H15" s="834"/>
      <c r="I15" s="834"/>
      <c r="J15" s="834"/>
      <c r="K15" s="834"/>
      <c r="L15" s="834"/>
      <c r="M15" s="834"/>
      <c r="N15" s="834"/>
      <c r="O15" s="834"/>
      <c r="P15" s="834"/>
      <c r="Q15" s="834"/>
      <c r="R15" s="834"/>
      <c r="S15" s="834"/>
      <c r="T15" s="834"/>
      <c r="U15" s="834"/>
      <c r="V15" s="834"/>
      <c r="W15" s="834"/>
      <c r="X15" s="834"/>
      <c r="Y15" s="834"/>
      <c r="Z15" s="834"/>
      <c r="AA15" s="834"/>
      <c r="AB15" s="834"/>
      <c r="AC15" s="834"/>
      <c r="AD15" s="834"/>
      <c r="AE15" s="834"/>
      <c r="AF15" s="834"/>
      <c r="AG15" s="834"/>
      <c r="AH15" s="834"/>
      <c r="AI15" s="834"/>
      <c r="AJ15" s="834"/>
      <c r="AK15" s="834"/>
      <c r="AL15" s="834"/>
      <c r="AM15" s="834"/>
      <c r="AN15" s="834"/>
      <c r="AO15" s="834"/>
      <c r="AP15" s="834"/>
      <c r="AQ15" s="834"/>
      <c r="AR15" s="834"/>
      <c r="AS15" s="834"/>
      <c r="AT15" s="834"/>
      <c r="AU15" s="834"/>
      <c r="AV15" s="834"/>
      <c r="AW15" s="834"/>
      <c r="AX15" s="834"/>
      <c r="AY15" s="834"/>
      <c r="AZ15" s="834"/>
      <c r="BA15" s="834"/>
      <c r="BB15" s="834"/>
      <c r="BC15" s="834"/>
      <c r="BD15" s="834"/>
      <c r="BE15" s="835"/>
      <c r="BF15" s="695"/>
    </row>
    <row r="16" spans="1:58" x14ac:dyDescent="0.45">
      <c r="A16" s="695"/>
      <c r="B16" s="836"/>
      <c r="C16" s="837"/>
      <c r="D16" s="837"/>
      <c r="E16" s="837"/>
      <c r="F16" s="837"/>
      <c r="G16" s="837"/>
      <c r="H16" s="837"/>
      <c r="I16" s="837"/>
      <c r="J16" s="837"/>
      <c r="K16" s="837"/>
      <c r="L16" s="837"/>
      <c r="M16" s="837"/>
      <c r="N16" s="837"/>
      <c r="O16" s="837"/>
      <c r="P16" s="837"/>
      <c r="Q16" s="837"/>
      <c r="R16" s="837"/>
      <c r="S16" s="837"/>
      <c r="T16" s="837"/>
      <c r="U16" s="837"/>
      <c r="V16" s="837"/>
      <c r="W16" s="837"/>
      <c r="X16" s="837"/>
      <c r="Y16" s="837"/>
      <c r="Z16" s="837"/>
      <c r="AA16" s="837"/>
      <c r="AB16" s="837"/>
      <c r="AC16" s="837"/>
      <c r="AD16" s="837"/>
      <c r="AE16" s="837"/>
      <c r="AF16" s="837"/>
      <c r="AG16" s="837"/>
      <c r="AH16" s="837"/>
      <c r="AI16" s="837"/>
      <c r="AJ16" s="837"/>
      <c r="AK16" s="837"/>
      <c r="AL16" s="837"/>
      <c r="AM16" s="837"/>
      <c r="AN16" s="837"/>
      <c r="AO16" s="837"/>
      <c r="AP16" s="837"/>
      <c r="AQ16" s="837"/>
      <c r="AR16" s="837"/>
      <c r="AS16" s="837"/>
      <c r="AT16" s="837"/>
      <c r="AU16" s="837"/>
      <c r="AV16" s="837"/>
      <c r="AW16" s="837"/>
      <c r="AX16" s="837"/>
      <c r="AY16" s="837"/>
      <c r="AZ16" s="837"/>
      <c r="BA16" s="837"/>
      <c r="BB16" s="837"/>
      <c r="BC16" s="837"/>
      <c r="BD16" s="837"/>
      <c r="BE16" s="838"/>
      <c r="BF16" s="695"/>
    </row>
    <row r="17" spans="1:58" x14ac:dyDescent="0.45">
      <c r="A17" s="695"/>
      <c r="B17" s="836" t="s">
        <v>122</v>
      </c>
      <c r="C17" s="837"/>
      <c r="D17" s="837"/>
      <c r="E17" s="837"/>
      <c r="F17" s="837"/>
      <c r="G17" s="837"/>
      <c r="H17" s="839">
        <f>IF(H$13&gt;'II. Inputs, Baseline Energy Mix'!$N$22,0,1)</f>
        <v>1</v>
      </c>
      <c r="I17" s="837">
        <f>IF(I$13&gt;'II. Inputs, Baseline Energy Mix'!$N$22,0,1)</f>
        <v>1</v>
      </c>
      <c r="J17" s="837">
        <f>IF(J$13&gt;'II. Inputs, Baseline Energy Mix'!$N$22,0,1)</f>
        <v>1</v>
      </c>
      <c r="K17" s="837">
        <f>IF(K$13&gt;'II. Inputs, Baseline Energy Mix'!$N$22,0,1)</f>
        <v>1</v>
      </c>
      <c r="L17" s="837">
        <f>IF(L$13&gt;'II. Inputs, Baseline Energy Mix'!$N$22,0,1)</f>
        <v>1</v>
      </c>
      <c r="M17" s="837">
        <f>IF(M$13&gt;'II. Inputs, Baseline Energy Mix'!$N$22,0,1)</f>
        <v>1</v>
      </c>
      <c r="N17" s="837">
        <f>IF(N$13&gt;'II. Inputs, Baseline Energy Mix'!$N$22,0,1)</f>
        <v>1</v>
      </c>
      <c r="O17" s="837">
        <f>IF(O$13&gt;'II. Inputs, Baseline Energy Mix'!$N$22,0,1)</f>
        <v>1</v>
      </c>
      <c r="P17" s="837">
        <f>IF(P$13&gt;'II. Inputs, Baseline Energy Mix'!$N$22,0,1)</f>
        <v>1</v>
      </c>
      <c r="Q17" s="837">
        <f>IF(Q$13&gt;'II. Inputs, Baseline Energy Mix'!$N$22,0,1)</f>
        <v>1</v>
      </c>
      <c r="R17" s="837">
        <f>IF(R$13&gt;'II. Inputs, Baseline Energy Mix'!$N$22,0,1)</f>
        <v>1</v>
      </c>
      <c r="S17" s="837">
        <f>IF(S$13&gt;'II. Inputs, Baseline Energy Mix'!$N$22,0,1)</f>
        <v>1</v>
      </c>
      <c r="T17" s="837">
        <f>IF(T$13&gt;'II. Inputs, Baseline Energy Mix'!$N$22,0,1)</f>
        <v>1</v>
      </c>
      <c r="U17" s="837">
        <f>IF(U$13&gt;'II. Inputs, Baseline Energy Mix'!$N$22,0,1)</f>
        <v>1</v>
      </c>
      <c r="V17" s="837">
        <f>IF(V$13&gt;'II. Inputs, Baseline Energy Mix'!$N$22,0,1)</f>
        <v>1</v>
      </c>
      <c r="W17" s="837">
        <f>IF(W$13&gt;'II. Inputs, Baseline Energy Mix'!$N$22,0,1)</f>
        <v>1</v>
      </c>
      <c r="X17" s="837">
        <f>IF(X$13&gt;'II. Inputs, Baseline Energy Mix'!$N$22,0,1)</f>
        <v>1</v>
      </c>
      <c r="Y17" s="837">
        <f>IF(Y$13&gt;'II. Inputs, Baseline Energy Mix'!$N$22,0,1)</f>
        <v>1</v>
      </c>
      <c r="Z17" s="837">
        <f>IF(Z$13&gt;'II. Inputs, Baseline Energy Mix'!$N$22,0,1)</f>
        <v>1</v>
      </c>
      <c r="AA17" s="837">
        <f>IF(AA$13&gt;'II. Inputs, Baseline Energy Mix'!$N$22,0,1)</f>
        <v>1</v>
      </c>
      <c r="AB17" s="837">
        <f>IF(AB$13&gt;'II. Inputs, Baseline Energy Mix'!$N$22,0,1)</f>
        <v>1</v>
      </c>
      <c r="AC17" s="837">
        <f>IF(AC$13&gt;'II. Inputs, Baseline Energy Mix'!$N$22,0,1)</f>
        <v>1</v>
      </c>
      <c r="AD17" s="837">
        <f>IF(AD$13&gt;'II. Inputs, Baseline Energy Mix'!$N$22,0,1)</f>
        <v>1</v>
      </c>
      <c r="AE17" s="837">
        <f>IF(AE$13&gt;'II. Inputs, Baseline Energy Mix'!$N$22,0,1)</f>
        <v>1</v>
      </c>
      <c r="AF17" s="837">
        <f>IF(AF$13&gt;'II. Inputs, Baseline Energy Mix'!$N$22,0,1)</f>
        <v>1</v>
      </c>
      <c r="AG17" s="837">
        <f>IF(AG$13&gt;'II. Inputs, Baseline Energy Mix'!$N$22,0,1)</f>
        <v>0</v>
      </c>
      <c r="AH17" s="837">
        <f>IF(AH$13&gt;'II. Inputs, Baseline Energy Mix'!$N$22,0,1)</f>
        <v>0</v>
      </c>
      <c r="AI17" s="837">
        <f>IF(AI$13&gt;'II. Inputs, Baseline Energy Mix'!$N$22,0,1)</f>
        <v>0</v>
      </c>
      <c r="AJ17" s="837">
        <f>IF(AJ$13&gt;'II. Inputs, Baseline Energy Mix'!$N$22,0,1)</f>
        <v>0</v>
      </c>
      <c r="AK17" s="837">
        <f>IF(AK$13&gt;'II. Inputs, Baseline Energy Mix'!$N$22,0,1)</f>
        <v>0</v>
      </c>
      <c r="AL17" s="837">
        <f>IF(AL$13&gt;'II. Inputs, Baseline Energy Mix'!$N$22,0,1)</f>
        <v>0</v>
      </c>
      <c r="AM17" s="837">
        <f>IF(AM$13&gt;'II. Inputs, Baseline Energy Mix'!$N$22,0,1)</f>
        <v>0</v>
      </c>
      <c r="AN17" s="837">
        <f>IF(AN$13&gt;'II. Inputs, Baseline Energy Mix'!$N$22,0,1)</f>
        <v>0</v>
      </c>
      <c r="AO17" s="837">
        <f>IF(AO$13&gt;'II. Inputs, Baseline Energy Mix'!$N$22,0,1)</f>
        <v>0</v>
      </c>
      <c r="AP17" s="837">
        <f>IF(AP$13&gt;'II. Inputs, Baseline Energy Mix'!$N$22,0,1)</f>
        <v>0</v>
      </c>
      <c r="AQ17" s="837">
        <f>IF(AQ$13&gt;'II. Inputs, Baseline Energy Mix'!$N$22,0,1)</f>
        <v>0</v>
      </c>
      <c r="AR17" s="837">
        <f>IF(AR$13&gt;'II. Inputs, Baseline Energy Mix'!$N$22,0,1)</f>
        <v>0</v>
      </c>
      <c r="AS17" s="837">
        <f>IF(AS$13&gt;'II. Inputs, Baseline Energy Mix'!$N$22,0,1)</f>
        <v>0</v>
      </c>
      <c r="AT17" s="837">
        <f>IF(AT$13&gt;'II. Inputs, Baseline Energy Mix'!$N$22,0,1)</f>
        <v>0</v>
      </c>
      <c r="AU17" s="837">
        <f>IF(AU$13&gt;'II. Inputs, Baseline Energy Mix'!$N$22,0,1)</f>
        <v>0</v>
      </c>
      <c r="AV17" s="837">
        <f>IF(AV$13&gt;'II. Inputs, Baseline Energy Mix'!$N$22,0,1)</f>
        <v>0</v>
      </c>
      <c r="AW17" s="837">
        <f>IF(AW$13&gt;'II. Inputs, Baseline Energy Mix'!$N$22,0,1)</f>
        <v>0</v>
      </c>
      <c r="AX17" s="837">
        <f>IF(AX$13&gt;'II. Inputs, Baseline Energy Mix'!$N$22,0,1)</f>
        <v>0</v>
      </c>
      <c r="AY17" s="837">
        <f>IF(AY$13&gt;'II. Inputs, Baseline Energy Mix'!$N$22,0,1)</f>
        <v>0</v>
      </c>
      <c r="AZ17" s="837">
        <f>IF(AZ$13&gt;'II. Inputs, Baseline Energy Mix'!$N$22,0,1)</f>
        <v>0</v>
      </c>
      <c r="BA17" s="837">
        <f>IF(BA$13&gt;'II. Inputs, Baseline Energy Mix'!$N$22,0,1)</f>
        <v>0</v>
      </c>
      <c r="BB17" s="837">
        <f>IF(BB$13&gt;'II. Inputs, Baseline Energy Mix'!$N$22,0,1)</f>
        <v>0</v>
      </c>
      <c r="BC17" s="837">
        <f>IF(BC$13&gt;'II. Inputs, Baseline Energy Mix'!$N$22,0,1)</f>
        <v>0</v>
      </c>
      <c r="BD17" s="837">
        <f>IF(BD$13&gt;'II. Inputs, Baseline Energy Mix'!$N$22,0,1)</f>
        <v>0</v>
      </c>
      <c r="BE17" s="838">
        <f>IF(BE$13&gt;'II. Inputs, Baseline Energy Mix'!$N$22,0,1)</f>
        <v>0</v>
      </c>
      <c r="BF17" s="695"/>
    </row>
    <row r="18" spans="1:58" x14ac:dyDescent="0.45">
      <c r="A18" s="695"/>
      <c r="B18" s="836"/>
      <c r="C18" s="837"/>
      <c r="D18" s="837"/>
      <c r="E18" s="837"/>
      <c r="F18" s="837"/>
      <c r="G18" s="837"/>
      <c r="H18" s="839"/>
      <c r="I18" s="837"/>
      <c r="J18" s="837"/>
      <c r="K18" s="837"/>
      <c r="L18" s="837"/>
      <c r="M18" s="837"/>
      <c r="N18" s="837"/>
      <c r="O18" s="837"/>
      <c r="P18" s="837"/>
      <c r="Q18" s="837"/>
      <c r="R18" s="837"/>
      <c r="S18" s="837"/>
      <c r="T18" s="837"/>
      <c r="U18" s="837"/>
      <c r="V18" s="837"/>
      <c r="W18" s="837"/>
      <c r="X18" s="837"/>
      <c r="Y18" s="837"/>
      <c r="Z18" s="837"/>
      <c r="AA18" s="837"/>
      <c r="AB18" s="837"/>
      <c r="AC18" s="837"/>
      <c r="AD18" s="837"/>
      <c r="AE18" s="837"/>
      <c r="AF18" s="837"/>
      <c r="AG18" s="837"/>
      <c r="AH18" s="837"/>
      <c r="AI18" s="837"/>
      <c r="AJ18" s="837"/>
      <c r="AK18" s="837"/>
      <c r="AL18" s="837"/>
      <c r="AM18" s="837"/>
      <c r="AN18" s="837"/>
      <c r="AO18" s="837"/>
      <c r="AP18" s="837"/>
      <c r="AQ18" s="837"/>
      <c r="AR18" s="837"/>
      <c r="AS18" s="837"/>
      <c r="AT18" s="837"/>
      <c r="AU18" s="837"/>
      <c r="AV18" s="837"/>
      <c r="AW18" s="837"/>
      <c r="AX18" s="837"/>
      <c r="AY18" s="837"/>
      <c r="AZ18" s="837"/>
      <c r="BA18" s="837"/>
      <c r="BB18" s="837"/>
      <c r="BC18" s="837"/>
      <c r="BD18" s="837"/>
      <c r="BE18" s="838"/>
      <c r="BF18" s="695"/>
    </row>
    <row r="19" spans="1:58" x14ac:dyDescent="0.45">
      <c r="A19" s="695"/>
      <c r="B19" s="836" t="s">
        <v>85</v>
      </c>
      <c r="C19" s="837"/>
      <c r="D19" s="837"/>
      <c r="E19" s="837"/>
      <c r="F19" s="840" t="s">
        <v>86</v>
      </c>
      <c r="G19" s="837"/>
      <c r="H19" s="841">
        <f>IF('II. Inputs, Baseline Energy Mix'!$N$19=0,0,'II. Inputs, Baseline Energy Mix'!$N$105*'II. Inputs, Baseline Energy Mix'!$N$20*H17)</f>
        <v>7227</v>
      </c>
      <c r="I19" s="841">
        <f>IF('II. Inputs, Baseline Energy Mix'!$N$19=0,0,'II. Inputs, Baseline Energy Mix'!$N$105*'II. Inputs, Baseline Energy Mix'!$N$20*I17)</f>
        <v>7227</v>
      </c>
      <c r="J19" s="841">
        <f>IF('II. Inputs, Baseline Energy Mix'!$N$19=0,0,'II. Inputs, Baseline Energy Mix'!$N$105*'II. Inputs, Baseline Energy Mix'!$N$20*J17)</f>
        <v>7227</v>
      </c>
      <c r="K19" s="841">
        <f>IF('II. Inputs, Baseline Energy Mix'!$N$19=0,0,'II. Inputs, Baseline Energy Mix'!$N$105*'II. Inputs, Baseline Energy Mix'!$N$20*K17)</f>
        <v>7227</v>
      </c>
      <c r="L19" s="841">
        <f>IF('II. Inputs, Baseline Energy Mix'!$N$19=0,0,'II. Inputs, Baseline Energy Mix'!$N$105*'II. Inputs, Baseline Energy Mix'!$N$20*L17)</f>
        <v>7227</v>
      </c>
      <c r="M19" s="841">
        <f>IF('II. Inputs, Baseline Energy Mix'!$N$19=0,0,'II. Inputs, Baseline Energy Mix'!$N$105*'II. Inputs, Baseline Energy Mix'!$N$20*M17)</f>
        <v>7227</v>
      </c>
      <c r="N19" s="841">
        <f>IF('II. Inputs, Baseline Energy Mix'!$N$19=0,0,'II. Inputs, Baseline Energy Mix'!$N$105*'II. Inputs, Baseline Energy Mix'!$N$20*N17)</f>
        <v>7227</v>
      </c>
      <c r="O19" s="841">
        <f>IF('II. Inputs, Baseline Energy Mix'!$N$19=0,0,'II. Inputs, Baseline Energy Mix'!$N$105*'II. Inputs, Baseline Energy Mix'!$N$20*O17)</f>
        <v>7227</v>
      </c>
      <c r="P19" s="841">
        <f>IF('II. Inputs, Baseline Energy Mix'!$N$19=0,0,'II. Inputs, Baseline Energy Mix'!$N$105*'II. Inputs, Baseline Energy Mix'!$N$20*P17)</f>
        <v>7227</v>
      </c>
      <c r="Q19" s="841">
        <f>IF('II. Inputs, Baseline Energy Mix'!$N$19=0,0,'II. Inputs, Baseline Energy Mix'!$N$105*'II. Inputs, Baseline Energy Mix'!$N$20*Q17)</f>
        <v>7227</v>
      </c>
      <c r="R19" s="841">
        <f>IF('II. Inputs, Baseline Energy Mix'!$N$19=0,0,'II. Inputs, Baseline Energy Mix'!$N$105*'II. Inputs, Baseline Energy Mix'!$N$20*R17)</f>
        <v>7227</v>
      </c>
      <c r="S19" s="841">
        <f>IF('II. Inputs, Baseline Energy Mix'!$N$19=0,0,'II. Inputs, Baseline Energy Mix'!$N$105*'II. Inputs, Baseline Energy Mix'!$N$20*S17)</f>
        <v>7227</v>
      </c>
      <c r="T19" s="841">
        <f>IF('II. Inputs, Baseline Energy Mix'!$N$19=0,0,'II. Inputs, Baseline Energy Mix'!$N$105*'II. Inputs, Baseline Energy Mix'!$N$20*T17)</f>
        <v>7227</v>
      </c>
      <c r="U19" s="841">
        <f>IF('II. Inputs, Baseline Energy Mix'!$N$19=0,0,'II. Inputs, Baseline Energy Mix'!$N$105*'II. Inputs, Baseline Energy Mix'!$N$20*U17)</f>
        <v>7227</v>
      </c>
      <c r="V19" s="841">
        <f>IF('II. Inputs, Baseline Energy Mix'!$N$19=0,0,'II. Inputs, Baseline Energy Mix'!$N$105*'II. Inputs, Baseline Energy Mix'!$N$20*V17)</f>
        <v>7227</v>
      </c>
      <c r="W19" s="841">
        <f>IF('II. Inputs, Baseline Energy Mix'!$N$19=0,0,'II. Inputs, Baseline Energy Mix'!$N$105*'II. Inputs, Baseline Energy Mix'!$N$20*W17)</f>
        <v>7227</v>
      </c>
      <c r="X19" s="841">
        <f>IF('II. Inputs, Baseline Energy Mix'!$N$19=0,0,'II. Inputs, Baseline Energy Mix'!$N$105*'II. Inputs, Baseline Energy Mix'!$N$20*X17)</f>
        <v>7227</v>
      </c>
      <c r="Y19" s="841">
        <f>IF('II. Inputs, Baseline Energy Mix'!$N$19=0,0,'II. Inputs, Baseline Energy Mix'!$N$105*'II. Inputs, Baseline Energy Mix'!$N$20*Y17)</f>
        <v>7227</v>
      </c>
      <c r="Z19" s="841">
        <f>IF('II. Inputs, Baseline Energy Mix'!$N$19=0,0,'II. Inputs, Baseline Energy Mix'!$N$105*'II. Inputs, Baseline Energy Mix'!$N$20*Z17)</f>
        <v>7227</v>
      </c>
      <c r="AA19" s="841">
        <f>IF('II. Inputs, Baseline Energy Mix'!$N$19=0,0,'II. Inputs, Baseline Energy Mix'!$N$105*'II. Inputs, Baseline Energy Mix'!$N$20*AA17)</f>
        <v>7227</v>
      </c>
      <c r="AB19" s="841">
        <f>IF('II. Inputs, Baseline Energy Mix'!$N$19=0,0,'II. Inputs, Baseline Energy Mix'!$N$105*'II. Inputs, Baseline Energy Mix'!$N$20*AB17)</f>
        <v>7227</v>
      </c>
      <c r="AC19" s="841">
        <f>IF('II. Inputs, Baseline Energy Mix'!$N$19=0,0,'II. Inputs, Baseline Energy Mix'!$N$105*'II. Inputs, Baseline Energy Mix'!$N$20*AC17)</f>
        <v>7227</v>
      </c>
      <c r="AD19" s="841">
        <f>IF('II. Inputs, Baseline Energy Mix'!$N$19=0,0,'II. Inputs, Baseline Energy Mix'!$N$105*'II. Inputs, Baseline Energy Mix'!$N$20*AD17)</f>
        <v>7227</v>
      </c>
      <c r="AE19" s="841">
        <f>IF('II. Inputs, Baseline Energy Mix'!$N$19=0,0,'II. Inputs, Baseline Energy Mix'!$N$105*'II. Inputs, Baseline Energy Mix'!$N$20*AE17)</f>
        <v>7227</v>
      </c>
      <c r="AF19" s="841">
        <f>IF('II. Inputs, Baseline Energy Mix'!$N$19=0,0,'II. Inputs, Baseline Energy Mix'!$N$105*'II. Inputs, Baseline Energy Mix'!$N$20*AF17)</f>
        <v>7227</v>
      </c>
      <c r="AG19" s="841">
        <f>IF('II. Inputs, Baseline Energy Mix'!$N$19=0,0,'II. Inputs, Baseline Energy Mix'!$N$105*'II. Inputs, Baseline Energy Mix'!$N$20*AG17)</f>
        <v>0</v>
      </c>
      <c r="AH19" s="841">
        <f>IF('II. Inputs, Baseline Energy Mix'!$N$19=0,0,'II. Inputs, Baseline Energy Mix'!$N$105*'II. Inputs, Baseline Energy Mix'!$N$20*AH17)</f>
        <v>0</v>
      </c>
      <c r="AI19" s="841">
        <f>IF('II. Inputs, Baseline Energy Mix'!$N$19=0,0,'II. Inputs, Baseline Energy Mix'!$N$105*'II. Inputs, Baseline Energy Mix'!$N$20*AI17)</f>
        <v>0</v>
      </c>
      <c r="AJ19" s="841">
        <f>IF('II. Inputs, Baseline Energy Mix'!$N$19=0,0,'II. Inputs, Baseline Energy Mix'!$N$105*'II. Inputs, Baseline Energy Mix'!$N$20*AJ17)</f>
        <v>0</v>
      </c>
      <c r="AK19" s="841">
        <f>IF('II. Inputs, Baseline Energy Mix'!$N$19=0,0,'II. Inputs, Baseline Energy Mix'!$N$105*'II. Inputs, Baseline Energy Mix'!$N$20*AK17)</f>
        <v>0</v>
      </c>
      <c r="AL19" s="841">
        <f>IF('II. Inputs, Baseline Energy Mix'!$N$19=0,0,'II. Inputs, Baseline Energy Mix'!$N$105*'II. Inputs, Baseline Energy Mix'!$N$20*AL17)</f>
        <v>0</v>
      </c>
      <c r="AM19" s="841">
        <f>IF('II. Inputs, Baseline Energy Mix'!$N$19=0,0,'II. Inputs, Baseline Energy Mix'!$N$105*'II. Inputs, Baseline Energy Mix'!$N$20*AM17)</f>
        <v>0</v>
      </c>
      <c r="AN19" s="841">
        <f>IF('II. Inputs, Baseline Energy Mix'!$N$19=0,0,'II. Inputs, Baseline Energy Mix'!$N$105*'II. Inputs, Baseline Energy Mix'!$N$20*AN17)</f>
        <v>0</v>
      </c>
      <c r="AO19" s="841">
        <f>IF('II. Inputs, Baseline Energy Mix'!$N$19=0,0,'II. Inputs, Baseline Energy Mix'!$N$105*'II. Inputs, Baseline Energy Mix'!$N$20*AO17)</f>
        <v>0</v>
      </c>
      <c r="AP19" s="841">
        <f>IF('II. Inputs, Baseline Energy Mix'!$N$19=0,0,'II. Inputs, Baseline Energy Mix'!$N$105*'II. Inputs, Baseline Energy Mix'!$N$20*AP17)</f>
        <v>0</v>
      </c>
      <c r="AQ19" s="841">
        <f>IF('II. Inputs, Baseline Energy Mix'!$N$19=0,0,'II. Inputs, Baseline Energy Mix'!$N$105*'II. Inputs, Baseline Energy Mix'!$N$20*AQ17)</f>
        <v>0</v>
      </c>
      <c r="AR19" s="841">
        <f>IF('II. Inputs, Baseline Energy Mix'!$N$19=0,0,'II. Inputs, Baseline Energy Mix'!$N$105*'II. Inputs, Baseline Energy Mix'!$N$20*AR17)</f>
        <v>0</v>
      </c>
      <c r="AS19" s="841">
        <f>IF('II. Inputs, Baseline Energy Mix'!$N$19=0,0,'II. Inputs, Baseline Energy Mix'!$N$105*'II. Inputs, Baseline Energy Mix'!$N$20*AS17)</f>
        <v>0</v>
      </c>
      <c r="AT19" s="841">
        <f>IF('II. Inputs, Baseline Energy Mix'!$N$19=0,0,'II. Inputs, Baseline Energy Mix'!$N$105*'II. Inputs, Baseline Energy Mix'!$N$20*AT17)</f>
        <v>0</v>
      </c>
      <c r="AU19" s="841">
        <f>IF('II. Inputs, Baseline Energy Mix'!$N$19=0,0,'II. Inputs, Baseline Energy Mix'!$N$105*'II. Inputs, Baseline Energy Mix'!$N$20*AU17)</f>
        <v>0</v>
      </c>
      <c r="AV19" s="841">
        <f>IF('II. Inputs, Baseline Energy Mix'!$N$19=0,0,'II. Inputs, Baseline Energy Mix'!$N$105*'II. Inputs, Baseline Energy Mix'!$N$20*AV17)</f>
        <v>0</v>
      </c>
      <c r="AW19" s="841">
        <f>IF('II. Inputs, Baseline Energy Mix'!$N$19=0,0,'II. Inputs, Baseline Energy Mix'!$N$105*'II. Inputs, Baseline Energy Mix'!$N$20*AW17)</f>
        <v>0</v>
      </c>
      <c r="AX19" s="841">
        <f>IF('II. Inputs, Baseline Energy Mix'!$N$19=0,0,'II. Inputs, Baseline Energy Mix'!$N$105*'II. Inputs, Baseline Energy Mix'!$N$20*AX17)</f>
        <v>0</v>
      </c>
      <c r="AY19" s="841">
        <f>IF('II. Inputs, Baseline Energy Mix'!$N$19=0,0,'II. Inputs, Baseline Energy Mix'!$N$105*'II. Inputs, Baseline Energy Mix'!$N$20*AY17)</f>
        <v>0</v>
      </c>
      <c r="AZ19" s="841">
        <f>IF('II. Inputs, Baseline Energy Mix'!$N$19=0,0,'II. Inputs, Baseline Energy Mix'!$N$105*'II. Inputs, Baseline Energy Mix'!$N$20*AZ17)</f>
        <v>0</v>
      </c>
      <c r="BA19" s="841">
        <f>IF('II. Inputs, Baseline Energy Mix'!$N$19=0,0,'II. Inputs, Baseline Energy Mix'!$N$105*'II. Inputs, Baseline Energy Mix'!$N$20*BA17)</f>
        <v>0</v>
      </c>
      <c r="BB19" s="841">
        <f>IF('II. Inputs, Baseline Energy Mix'!$N$19=0,0,'II. Inputs, Baseline Energy Mix'!$N$105*'II. Inputs, Baseline Energy Mix'!$N$20*BB17)</f>
        <v>0</v>
      </c>
      <c r="BC19" s="841">
        <f>IF('II. Inputs, Baseline Energy Mix'!$N$19=0,0,'II. Inputs, Baseline Energy Mix'!$N$105*'II. Inputs, Baseline Energy Mix'!$N$20*BC17)</f>
        <v>0</v>
      </c>
      <c r="BD19" s="841">
        <f>IF('II. Inputs, Baseline Energy Mix'!$N$19=0,0,'II. Inputs, Baseline Energy Mix'!$N$105*'II. Inputs, Baseline Energy Mix'!$N$20*BD17)</f>
        <v>0</v>
      </c>
      <c r="BE19" s="842">
        <f>IF('II. Inputs, Baseline Energy Mix'!$N$19=0,0,'II. Inputs, Baseline Energy Mix'!$N$105*'II. Inputs, Baseline Energy Mix'!$N$20*BE17)</f>
        <v>0</v>
      </c>
      <c r="BF19" s="695"/>
    </row>
    <row r="20" spans="1:58" x14ac:dyDescent="0.45">
      <c r="A20" s="695"/>
      <c r="B20" s="836"/>
      <c r="C20" s="837"/>
      <c r="D20" s="837"/>
      <c r="E20" s="840"/>
      <c r="F20" s="837"/>
      <c r="G20" s="837"/>
      <c r="H20" s="837"/>
      <c r="I20" s="837"/>
      <c r="J20" s="837"/>
      <c r="K20" s="837"/>
      <c r="L20" s="837"/>
      <c r="M20" s="837"/>
      <c r="N20" s="837"/>
      <c r="O20" s="837"/>
      <c r="P20" s="837"/>
      <c r="Q20" s="837"/>
      <c r="R20" s="837"/>
      <c r="S20" s="837"/>
      <c r="T20" s="837"/>
      <c r="U20" s="837"/>
      <c r="V20" s="837"/>
      <c r="W20" s="837"/>
      <c r="X20" s="837"/>
      <c r="Y20" s="837"/>
      <c r="Z20" s="837"/>
      <c r="AA20" s="837"/>
      <c r="AB20" s="837"/>
      <c r="AC20" s="837"/>
      <c r="AD20" s="837"/>
      <c r="AE20" s="837"/>
      <c r="AF20" s="837"/>
      <c r="AG20" s="837"/>
      <c r="AH20" s="837"/>
      <c r="AI20" s="837"/>
      <c r="AJ20" s="837"/>
      <c r="AK20" s="837"/>
      <c r="AL20" s="837"/>
      <c r="AM20" s="837"/>
      <c r="AN20" s="837"/>
      <c r="AO20" s="837"/>
      <c r="AP20" s="837"/>
      <c r="AQ20" s="837"/>
      <c r="AR20" s="837"/>
      <c r="AS20" s="837"/>
      <c r="AT20" s="837"/>
      <c r="AU20" s="837"/>
      <c r="AV20" s="837"/>
      <c r="AW20" s="837"/>
      <c r="AX20" s="837"/>
      <c r="AY20" s="837"/>
      <c r="AZ20" s="837"/>
      <c r="BA20" s="837"/>
      <c r="BB20" s="837"/>
      <c r="BC20" s="837"/>
      <c r="BD20" s="837"/>
      <c r="BE20" s="838"/>
      <c r="BF20" s="695"/>
    </row>
    <row r="21" spans="1:58" ht="13.15" x14ac:dyDescent="0.45">
      <c r="A21" s="695"/>
      <c r="B21" s="843" t="s">
        <v>87</v>
      </c>
      <c r="C21" s="844"/>
      <c r="D21" s="844"/>
      <c r="E21" s="845"/>
      <c r="F21" s="845"/>
      <c r="G21" s="845"/>
      <c r="H21" s="845"/>
      <c r="I21" s="845"/>
      <c r="J21" s="845"/>
      <c r="K21" s="845"/>
      <c r="L21" s="845"/>
      <c r="M21" s="845"/>
      <c r="N21" s="845"/>
      <c r="O21" s="845"/>
      <c r="P21" s="845"/>
      <c r="Q21" s="845"/>
      <c r="R21" s="845"/>
      <c r="S21" s="845"/>
      <c r="T21" s="845"/>
      <c r="U21" s="845"/>
      <c r="V21" s="845"/>
      <c r="W21" s="845"/>
      <c r="X21" s="845"/>
      <c r="Y21" s="845"/>
      <c r="Z21" s="845"/>
      <c r="AA21" s="845"/>
      <c r="AB21" s="845"/>
      <c r="AC21" s="845"/>
      <c r="AD21" s="845"/>
      <c r="AE21" s="845"/>
      <c r="AF21" s="845"/>
      <c r="AG21" s="845"/>
      <c r="AH21" s="845"/>
      <c r="AI21" s="845"/>
      <c r="AJ21" s="845"/>
      <c r="AK21" s="845"/>
      <c r="AL21" s="845"/>
      <c r="AM21" s="845"/>
      <c r="AN21" s="845"/>
      <c r="AO21" s="845"/>
      <c r="AP21" s="845"/>
      <c r="AQ21" s="845"/>
      <c r="AR21" s="845"/>
      <c r="AS21" s="845"/>
      <c r="AT21" s="845"/>
      <c r="AU21" s="845"/>
      <c r="AV21" s="845"/>
      <c r="AW21" s="845"/>
      <c r="AX21" s="845"/>
      <c r="AY21" s="845"/>
      <c r="AZ21" s="845"/>
      <c r="BA21" s="845"/>
      <c r="BB21" s="845"/>
      <c r="BC21" s="845"/>
      <c r="BD21" s="845"/>
      <c r="BE21" s="846"/>
      <c r="BF21" s="695"/>
    </row>
    <row r="22" spans="1:58" x14ac:dyDescent="0.45">
      <c r="A22" s="695"/>
      <c r="B22" s="836"/>
      <c r="C22" s="837"/>
      <c r="D22" s="837"/>
      <c r="E22" s="840"/>
      <c r="F22" s="837"/>
      <c r="G22" s="837"/>
      <c r="H22" s="837"/>
      <c r="I22" s="837"/>
      <c r="J22" s="837"/>
      <c r="K22" s="837"/>
      <c r="L22" s="837"/>
      <c r="M22" s="837"/>
      <c r="N22" s="837"/>
      <c r="O22" s="837"/>
      <c r="P22" s="837"/>
      <c r="Q22" s="837"/>
      <c r="R22" s="837"/>
      <c r="S22" s="837"/>
      <c r="T22" s="837"/>
      <c r="U22" s="837"/>
      <c r="V22" s="837"/>
      <c r="W22" s="837"/>
      <c r="X22" s="837"/>
      <c r="Y22" s="837"/>
      <c r="Z22" s="837"/>
      <c r="AA22" s="837"/>
      <c r="AB22" s="837"/>
      <c r="AC22" s="837"/>
      <c r="AD22" s="837"/>
      <c r="AE22" s="837"/>
      <c r="AF22" s="837"/>
      <c r="AG22" s="837"/>
      <c r="AH22" s="837"/>
      <c r="AI22" s="837"/>
      <c r="AJ22" s="837"/>
      <c r="AK22" s="837"/>
      <c r="AL22" s="837"/>
      <c r="AM22" s="837"/>
      <c r="AN22" s="837"/>
      <c r="AO22" s="837"/>
      <c r="AP22" s="837"/>
      <c r="AQ22" s="837"/>
      <c r="AR22" s="837"/>
      <c r="AS22" s="837"/>
      <c r="AT22" s="837"/>
      <c r="AU22" s="837"/>
      <c r="AV22" s="837"/>
      <c r="AW22" s="837"/>
      <c r="AX22" s="837"/>
      <c r="AY22" s="837"/>
      <c r="AZ22" s="837"/>
      <c r="BA22" s="837"/>
      <c r="BB22" s="837"/>
      <c r="BC22" s="837"/>
      <c r="BD22" s="837"/>
      <c r="BE22" s="838"/>
      <c r="BF22" s="695"/>
    </row>
    <row r="23" spans="1:58" x14ac:dyDescent="0.45">
      <c r="A23" s="695"/>
      <c r="B23" s="836" t="s">
        <v>123</v>
      </c>
      <c r="C23" s="837"/>
      <c r="D23" s="837"/>
      <c r="E23" s="840"/>
      <c r="F23" s="840" t="s">
        <v>748</v>
      </c>
      <c r="G23" s="837"/>
      <c r="H23" s="1541">
        <f>IF('II. Inputs, Baseline Energy Mix'!$N$19=0,0,H17*'II. Inputs, Baseline Energy Mix'!$N$118*(1+'II. Inputs, Baseline Energy Mix'!$N$119)^(H$13-1))</f>
        <v>15313</v>
      </c>
      <c r="I23" s="1541">
        <f>IF('II. Inputs, Baseline Energy Mix'!$N$19=0,0,I17*'II. Inputs, Baseline Energy Mix'!$N$118*(1+'II. Inputs, Baseline Energy Mix'!$N$119)^(I$13-1))</f>
        <v>15619.26</v>
      </c>
      <c r="J23" s="1541">
        <f>IF('II. Inputs, Baseline Energy Mix'!$N$19=0,0,J17*'II. Inputs, Baseline Energy Mix'!$N$118*(1+'II. Inputs, Baseline Energy Mix'!$N$119)^(J$13-1))</f>
        <v>15931.645199999999</v>
      </c>
      <c r="K23" s="1541">
        <f>IF('II. Inputs, Baseline Energy Mix'!$N$19=0,0,K17*'II. Inputs, Baseline Energy Mix'!$N$118*(1+'II. Inputs, Baseline Energy Mix'!$N$119)^(K$13-1))</f>
        <v>16250.278103999999</v>
      </c>
      <c r="L23" s="1541">
        <f>IF('II. Inputs, Baseline Energy Mix'!$N$19=0,0,L17*'II. Inputs, Baseline Energy Mix'!$N$118*(1+'II. Inputs, Baseline Energy Mix'!$N$119)^(L$13-1))</f>
        <v>16575.283666079999</v>
      </c>
      <c r="M23" s="1541">
        <f>IF('II. Inputs, Baseline Energy Mix'!$N$19=0,0,M17*'II. Inputs, Baseline Energy Mix'!$N$118*(1+'II. Inputs, Baseline Energy Mix'!$N$119)^(M$13-1))</f>
        <v>16906.789339401599</v>
      </c>
      <c r="N23" s="1541">
        <f>IF('II. Inputs, Baseline Energy Mix'!$N$19=0,0,N17*'II. Inputs, Baseline Energy Mix'!$N$118*(1+'II. Inputs, Baseline Energy Mix'!$N$119)^(N$13-1))</f>
        <v>17244.925126189632</v>
      </c>
      <c r="O23" s="1541">
        <f>IF('II. Inputs, Baseline Energy Mix'!$N$19=0,0,O17*'II. Inputs, Baseline Energy Mix'!$N$118*(1+'II. Inputs, Baseline Energy Mix'!$N$119)^(O$13-1))</f>
        <v>17589.82362871342</v>
      </c>
      <c r="P23" s="1541">
        <f>IF('II. Inputs, Baseline Energy Mix'!$N$19=0,0,P17*'II. Inputs, Baseline Energy Mix'!$N$118*(1+'II. Inputs, Baseline Energy Mix'!$N$119)^(P$13-1))</f>
        <v>17941.620101287692</v>
      </c>
      <c r="Q23" s="1541">
        <f>IF('II. Inputs, Baseline Energy Mix'!$N$19=0,0,Q17*'II. Inputs, Baseline Energy Mix'!$N$118*(1+'II. Inputs, Baseline Energy Mix'!$N$119)^(Q$13-1))</f>
        <v>18300.452503313445</v>
      </c>
      <c r="R23" s="1541">
        <f>IF('II. Inputs, Baseline Energy Mix'!$N$19=0,0,R17*'II. Inputs, Baseline Energy Mix'!$N$118*(1+'II. Inputs, Baseline Energy Mix'!$N$119)^(R$13-1))</f>
        <v>18666.461553379715</v>
      </c>
      <c r="S23" s="1541">
        <f>IF('II. Inputs, Baseline Energy Mix'!$N$19=0,0,S17*'II. Inputs, Baseline Energy Mix'!$N$118*(1+'II. Inputs, Baseline Energy Mix'!$N$119)^(S$13-1))</f>
        <v>19039.790784447305</v>
      </c>
      <c r="T23" s="1541">
        <f>IF('II. Inputs, Baseline Energy Mix'!$N$19=0,0,T17*'II. Inputs, Baseline Energy Mix'!$N$118*(1+'II. Inputs, Baseline Energy Mix'!$N$119)^(T$13-1))</f>
        <v>19420.586600136256</v>
      </c>
      <c r="U23" s="1541">
        <f>IF('II. Inputs, Baseline Energy Mix'!$N$19=0,0,U17*'II. Inputs, Baseline Energy Mix'!$N$118*(1+'II. Inputs, Baseline Energy Mix'!$N$119)^(U$13-1))</f>
        <v>19808.998332138981</v>
      </c>
      <c r="V23" s="1541">
        <f>IF('II. Inputs, Baseline Energy Mix'!$N$19=0,0,V17*'II. Inputs, Baseline Energy Mix'!$N$118*(1+'II. Inputs, Baseline Energy Mix'!$N$119)^(V$13-1))</f>
        <v>20205.178298781761</v>
      </c>
      <c r="W23" s="1541">
        <f>IF('II. Inputs, Baseline Energy Mix'!$N$19=0,0,W17*'II. Inputs, Baseline Energy Mix'!$N$118*(1+'II. Inputs, Baseline Energy Mix'!$N$119)^(W$13-1))</f>
        <v>20609.281864757391</v>
      </c>
      <c r="X23" s="1541">
        <f>IF('II. Inputs, Baseline Energy Mix'!$N$19=0,0,X17*'II. Inputs, Baseline Energy Mix'!$N$118*(1+'II. Inputs, Baseline Energy Mix'!$N$119)^(X$13-1))</f>
        <v>21021.467502052543</v>
      </c>
      <c r="Y23" s="1541">
        <f>IF('II. Inputs, Baseline Energy Mix'!$N$19=0,0,Y17*'II. Inputs, Baseline Energy Mix'!$N$118*(1+'II. Inputs, Baseline Energy Mix'!$N$119)^(Y$13-1))</f>
        <v>21441.896852093596</v>
      </c>
      <c r="Z23" s="1541">
        <f>IF('II. Inputs, Baseline Energy Mix'!$N$19=0,0,Z17*'II. Inputs, Baseline Energy Mix'!$N$118*(1+'II. Inputs, Baseline Energy Mix'!$N$119)^(Z$13-1))</f>
        <v>21870.734789135466</v>
      </c>
      <c r="AA23" s="1541">
        <f>IF('II. Inputs, Baseline Energy Mix'!$N$19=0,0,AA17*'II. Inputs, Baseline Energy Mix'!$N$118*(1+'II. Inputs, Baseline Energy Mix'!$N$119)^(AA$13-1))</f>
        <v>22308.149484918173</v>
      </c>
      <c r="AB23" s="1541">
        <f>IF('II. Inputs, Baseline Energy Mix'!$N$19=0,0,AB17*'II. Inputs, Baseline Energy Mix'!$N$118*(1+'II. Inputs, Baseline Energy Mix'!$N$119)^(AB$13-1))</f>
        <v>22754.312474616538</v>
      </c>
      <c r="AC23" s="1541">
        <f>IF('II. Inputs, Baseline Energy Mix'!$N$19=0,0,AC17*'II. Inputs, Baseline Energy Mix'!$N$118*(1+'II. Inputs, Baseline Energy Mix'!$N$119)^(AC$13-1))</f>
        <v>23209.398724108869</v>
      </c>
      <c r="AD23" s="1541">
        <f>IF('II. Inputs, Baseline Energy Mix'!$N$19=0,0,AD17*'II. Inputs, Baseline Energy Mix'!$N$118*(1+'II. Inputs, Baseline Energy Mix'!$N$119)^(AD$13-1))</f>
        <v>23673.586698591047</v>
      </c>
      <c r="AE23" s="1541">
        <f>IF('II. Inputs, Baseline Energy Mix'!$N$19=0,0,AE17*'II. Inputs, Baseline Energy Mix'!$N$118*(1+'II. Inputs, Baseline Energy Mix'!$N$119)^(AE$13-1))</f>
        <v>24147.058432562862</v>
      </c>
      <c r="AF23" s="1541">
        <f>IF('II. Inputs, Baseline Energy Mix'!$N$19=0,0,AF17*'II. Inputs, Baseline Energy Mix'!$N$118*(1+'II. Inputs, Baseline Energy Mix'!$N$119)^(AF$13-1))</f>
        <v>24629.99960121412</v>
      </c>
      <c r="AG23" s="1541">
        <f>IF('II. Inputs, Baseline Energy Mix'!$N$19=0,0,AG17*'II. Inputs, Baseline Energy Mix'!$N$118*(1+'II. Inputs, Baseline Energy Mix'!$N$119)^(AG$13-1))</f>
        <v>0</v>
      </c>
      <c r="AH23" s="1541">
        <f>IF('II. Inputs, Baseline Energy Mix'!$N$19=0,0,AH17*'II. Inputs, Baseline Energy Mix'!$N$118*(1+'II. Inputs, Baseline Energy Mix'!$N$119)^(AH$13-1))</f>
        <v>0</v>
      </c>
      <c r="AI23" s="1541">
        <f>IF('II. Inputs, Baseline Energy Mix'!$N$19=0,0,AI17*'II. Inputs, Baseline Energy Mix'!$N$118*(1+'II. Inputs, Baseline Energy Mix'!$N$119)^(AI$13-1))</f>
        <v>0</v>
      </c>
      <c r="AJ23" s="1541">
        <f>IF('II. Inputs, Baseline Energy Mix'!$N$19=0,0,AJ17*'II. Inputs, Baseline Energy Mix'!$N$118*(1+'II. Inputs, Baseline Energy Mix'!$N$119)^(AJ$13-1))</f>
        <v>0</v>
      </c>
      <c r="AK23" s="1541">
        <f>IF('II. Inputs, Baseline Energy Mix'!$N$19=0,0,AK17*'II. Inputs, Baseline Energy Mix'!$N$118*(1+'II. Inputs, Baseline Energy Mix'!$N$119)^(AK$13-1))</f>
        <v>0</v>
      </c>
      <c r="AL23" s="1541">
        <f>IF('II. Inputs, Baseline Energy Mix'!$N$19=0,0,AL17*'II. Inputs, Baseline Energy Mix'!$N$118*(1+'II. Inputs, Baseline Energy Mix'!$N$119)^(AL$13-1))</f>
        <v>0</v>
      </c>
      <c r="AM23" s="1541">
        <f>IF('II. Inputs, Baseline Energy Mix'!$N$19=0,0,AM17*'II. Inputs, Baseline Energy Mix'!$N$118*(1+'II. Inputs, Baseline Energy Mix'!$N$119)^(AM$13-1))</f>
        <v>0</v>
      </c>
      <c r="AN23" s="1541">
        <f>IF('II. Inputs, Baseline Energy Mix'!$N$19=0,0,AN17*'II. Inputs, Baseline Energy Mix'!$N$118*(1+'II. Inputs, Baseline Energy Mix'!$N$119)^(AN$13-1))</f>
        <v>0</v>
      </c>
      <c r="AO23" s="1541">
        <f>IF('II. Inputs, Baseline Energy Mix'!$N$19=0,0,AO17*'II. Inputs, Baseline Energy Mix'!$N$118*(1+'II. Inputs, Baseline Energy Mix'!$N$119)^(AO$13-1))</f>
        <v>0</v>
      </c>
      <c r="AP23" s="1541">
        <f>IF('II. Inputs, Baseline Energy Mix'!$N$19=0,0,AP17*'II. Inputs, Baseline Energy Mix'!$N$118*(1+'II. Inputs, Baseline Energy Mix'!$N$119)^(AP$13-1))</f>
        <v>0</v>
      </c>
      <c r="AQ23" s="1541">
        <f>IF('II. Inputs, Baseline Energy Mix'!$N$19=0,0,AQ17*'II. Inputs, Baseline Energy Mix'!$N$118*(1+'II. Inputs, Baseline Energy Mix'!$N$119)^(AQ$13-1))</f>
        <v>0</v>
      </c>
      <c r="AR23" s="1541">
        <f>IF('II. Inputs, Baseline Energy Mix'!$N$19=0,0,AR17*'II. Inputs, Baseline Energy Mix'!$N$118*(1+'II. Inputs, Baseline Energy Mix'!$N$119)^(AR$13-1))</f>
        <v>0</v>
      </c>
      <c r="AS23" s="1541">
        <f>IF('II. Inputs, Baseline Energy Mix'!$N$19=0,0,AS17*'II. Inputs, Baseline Energy Mix'!$N$118*(1+'II. Inputs, Baseline Energy Mix'!$N$119)^(AS$13-1))</f>
        <v>0</v>
      </c>
      <c r="AT23" s="1541">
        <f>IF('II. Inputs, Baseline Energy Mix'!$N$19=0,0,AT17*'II. Inputs, Baseline Energy Mix'!$N$118*(1+'II. Inputs, Baseline Energy Mix'!$N$119)^(AT$13-1))</f>
        <v>0</v>
      </c>
      <c r="AU23" s="1541">
        <f>IF('II. Inputs, Baseline Energy Mix'!$N$19=0,0,AU17*'II. Inputs, Baseline Energy Mix'!$N$118*(1+'II. Inputs, Baseline Energy Mix'!$N$119)^(AU$13-1))</f>
        <v>0</v>
      </c>
      <c r="AV23" s="1541">
        <f>IF('II. Inputs, Baseline Energy Mix'!$N$19=0,0,AV17*'II. Inputs, Baseline Energy Mix'!$N$118*(1+'II. Inputs, Baseline Energy Mix'!$N$119)^(AV$13-1))</f>
        <v>0</v>
      </c>
      <c r="AW23" s="1541">
        <f>IF('II. Inputs, Baseline Energy Mix'!$N$19=0,0,AW17*'II. Inputs, Baseline Energy Mix'!$N$118*(1+'II. Inputs, Baseline Energy Mix'!$N$119)^(AW$13-1))</f>
        <v>0</v>
      </c>
      <c r="AX23" s="1541">
        <f>IF('II. Inputs, Baseline Energy Mix'!$N$19=0,0,AX17*'II. Inputs, Baseline Energy Mix'!$N$118*(1+'II. Inputs, Baseline Energy Mix'!$N$119)^(AX$13-1))</f>
        <v>0</v>
      </c>
      <c r="AY23" s="1541">
        <f>IF('II. Inputs, Baseline Energy Mix'!$N$19=0,0,AY17*'II. Inputs, Baseline Energy Mix'!$N$118*(1+'II. Inputs, Baseline Energy Mix'!$N$119)^(AY$13-1))</f>
        <v>0</v>
      </c>
      <c r="AZ23" s="1541">
        <f>IF('II. Inputs, Baseline Energy Mix'!$N$19=0,0,AZ17*'II. Inputs, Baseline Energy Mix'!$N$118*(1+'II. Inputs, Baseline Energy Mix'!$N$119)^(AZ$13-1))</f>
        <v>0</v>
      </c>
      <c r="BA23" s="1541">
        <f>IF('II. Inputs, Baseline Energy Mix'!$N$19=0,0,BA17*'II. Inputs, Baseline Energy Mix'!$N$118*(1+'II. Inputs, Baseline Energy Mix'!$N$119)^(BA$13-1))</f>
        <v>0</v>
      </c>
      <c r="BB23" s="1541">
        <f>IF('II. Inputs, Baseline Energy Mix'!$N$19=0,0,BB17*'II. Inputs, Baseline Energy Mix'!$N$118*(1+'II. Inputs, Baseline Energy Mix'!$N$119)^(BB$13-1))</f>
        <v>0</v>
      </c>
      <c r="BC23" s="1541">
        <f>IF('II. Inputs, Baseline Energy Mix'!$N$19=0,0,BC17*'II. Inputs, Baseline Energy Mix'!$N$118*(1+'II. Inputs, Baseline Energy Mix'!$N$119)^(BC$13-1))</f>
        <v>0</v>
      </c>
      <c r="BD23" s="1541">
        <f>IF('II. Inputs, Baseline Energy Mix'!$N$19=0,0,BD17*'II. Inputs, Baseline Energy Mix'!$N$118*(1+'II. Inputs, Baseline Energy Mix'!$N$119)^(BD$13-1))</f>
        <v>0</v>
      </c>
      <c r="BE23" s="1542">
        <f>IF('II. Inputs, Baseline Energy Mix'!$N$19=0,0,BE17*'II. Inputs, Baseline Energy Mix'!$N$118*(1+'II. Inputs, Baseline Energy Mix'!$N$119)^(BE$13-1))</f>
        <v>0</v>
      </c>
      <c r="BF23" s="695"/>
    </row>
    <row r="24" spans="1:58" x14ac:dyDescent="0.45">
      <c r="A24" s="695"/>
      <c r="B24" s="836"/>
      <c r="C24" s="837"/>
      <c r="D24" s="837"/>
      <c r="E24" s="840"/>
      <c r="F24" s="840"/>
      <c r="G24" s="837"/>
      <c r="H24" s="1769"/>
      <c r="I24" s="1541"/>
      <c r="J24" s="1541"/>
      <c r="K24" s="1541"/>
      <c r="L24" s="1541"/>
      <c r="M24" s="1541"/>
      <c r="N24" s="1541"/>
      <c r="O24" s="1541"/>
      <c r="P24" s="1541"/>
      <c r="Q24" s="1541"/>
      <c r="R24" s="1541"/>
      <c r="S24" s="1541"/>
      <c r="T24" s="1541"/>
      <c r="U24" s="1541"/>
      <c r="V24" s="1541"/>
      <c r="W24" s="1541"/>
      <c r="X24" s="1541"/>
      <c r="Y24" s="1541"/>
      <c r="Z24" s="1541"/>
      <c r="AA24" s="1541"/>
      <c r="AB24" s="1541"/>
      <c r="AC24" s="1541"/>
      <c r="AD24" s="1541"/>
      <c r="AE24" s="1541"/>
      <c r="AF24" s="1541"/>
      <c r="AG24" s="1541"/>
      <c r="AH24" s="1541"/>
      <c r="AI24" s="1541"/>
      <c r="AJ24" s="1541"/>
      <c r="AK24" s="1541"/>
      <c r="AL24" s="1541"/>
      <c r="AM24" s="1541"/>
      <c r="AN24" s="1541"/>
      <c r="AO24" s="1541"/>
      <c r="AP24" s="1541"/>
      <c r="AQ24" s="1541"/>
      <c r="AR24" s="1541"/>
      <c r="AS24" s="1541"/>
      <c r="AT24" s="1541"/>
      <c r="AU24" s="1541"/>
      <c r="AV24" s="1541"/>
      <c r="AW24" s="1541"/>
      <c r="AX24" s="1541"/>
      <c r="AY24" s="1541"/>
      <c r="AZ24" s="1541"/>
      <c r="BA24" s="1541"/>
      <c r="BB24" s="1541"/>
      <c r="BC24" s="1541"/>
      <c r="BD24" s="1541"/>
      <c r="BE24" s="1542"/>
      <c r="BF24" s="695"/>
    </row>
    <row r="25" spans="1:58" x14ac:dyDescent="0.45">
      <c r="A25" s="695"/>
      <c r="B25" s="836" t="s">
        <v>33</v>
      </c>
      <c r="C25" s="837"/>
      <c r="D25" s="837"/>
      <c r="E25" s="840"/>
      <c r="F25" s="840" t="s">
        <v>749</v>
      </c>
      <c r="G25" s="837"/>
      <c r="H25" s="1769">
        <f>IF('II. Inputs, Baseline Energy Mix'!$N$109="User-defined, annually adjusted",H26,IF('II. Inputs, Baseline Energy Mix'!$N$109="Manual Entry",H28,H27))</f>
        <v>18.971018759099671</v>
      </c>
      <c r="I25" s="1769">
        <f>IF('II. Inputs, Baseline Energy Mix'!$N$109="User-defined, annually adjusted",I26,IF('II. Inputs, Baseline Energy Mix'!$N$109="Manual Entry",I28,I27))</f>
        <v>19.298105289428978</v>
      </c>
      <c r="J25" s="1769">
        <f>IF('II. Inputs, Baseline Energy Mix'!$N$109="User-defined, annually adjusted",J26,IF('II. Inputs, Baseline Energy Mix'!$N$109="Manual Entry",J28,J27))</f>
        <v>19.298105289428978</v>
      </c>
      <c r="K25" s="1769">
        <f>IF('II. Inputs, Baseline Energy Mix'!$N$109="User-defined, annually adjusted",K26,IF('II. Inputs, Baseline Energy Mix'!$N$109="Manual Entry",K28,K27))</f>
        <v>19.625191819758282</v>
      </c>
      <c r="L25" s="1769">
        <f>IF('II. Inputs, Baseline Energy Mix'!$N$109="User-defined, annually adjusted",L26,IF('II. Inputs, Baseline Energy Mix'!$N$109="Manual Entry",L28,L27))</f>
        <v>19.952278350087585</v>
      </c>
      <c r="M25" s="1769">
        <f>IF('II. Inputs, Baseline Energy Mix'!$N$109="User-defined, annually adjusted",M26,IF('II. Inputs, Baseline Energy Mix'!$N$109="Manual Entry",M28,M27))</f>
        <v>19.952278350087585</v>
      </c>
      <c r="N25" s="1769">
        <f>IF('II. Inputs, Baseline Energy Mix'!$N$109="User-defined, annually adjusted",N26,IF('II. Inputs, Baseline Energy Mix'!$N$109="Manual Entry",N28,N27))</f>
        <v>20.279364880416889</v>
      </c>
      <c r="O25" s="1769">
        <f>IF('II. Inputs, Baseline Energy Mix'!$N$109="User-defined, annually adjusted",O26,IF('II. Inputs, Baseline Energy Mix'!$N$109="Manual Entry",O28,O27))</f>
        <v>20.606451410746192</v>
      </c>
      <c r="P25" s="1769">
        <f>IF('II. Inputs, Baseline Energy Mix'!$N$109="User-defined, annually adjusted",P26,IF('II. Inputs, Baseline Energy Mix'!$N$109="Manual Entry",P28,P27))</f>
        <v>20.716009506730597</v>
      </c>
      <c r="Q25" s="1769">
        <f>IF('II. Inputs, Baseline Energy Mix'!$N$109="User-defined, annually adjusted",Q26,IF('II. Inputs, Baseline Energy Mix'!$N$109="Manual Entry",Q28,Q27))</f>
        <v>20.934673583984331</v>
      </c>
      <c r="R25" s="1769">
        <f>IF('II. Inputs, Baseline Energy Mix'!$N$109="User-defined, annually adjusted",R26,IF('II. Inputs, Baseline Energy Mix'!$N$109="Manual Entry",R28,R27))</f>
        <v>21.155645730205965</v>
      </c>
      <c r="S25" s="1769">
        <f>IF('II. Inputs, Baseline Energy Mix'!$N$109="User-defined, annually adjusted",S26,IF('II. Inputs, Baseline Energy Mix'!$N$109="Manual Entry",S28,S27))</f>
        <v>21.378950307798455</v>
      </c>
      <c r="T25" s="1769">
        <f>IF('II. Inputs, Baseline Energy Mix'!$N$109="User-defined, annually adjusted",T26,IF('II. Inputs, Baseline Energy Mix'!$N$109="Manual Entry",T28,T27))</f>
        <v>21.587711001734107</v>
      </c>
      <c r="U25" s="1769">
        <f>IF('II. Inputs, Baseline Energy Mix'!$N$109="User-defined, annually adjusted",U26,IF('II. Inputs, Baseline Energy Mix'!$N$109="Manual Entry",U28,U27))</f>
        <v>21.832655495186714</v>
      </c>
      <c r="V25" s="1769">
        <f>IF('II. Inputs, Baseline Energy Mix'!$N$109="User-defined, annually adjusted",V26,IF('II. Inputs, Baseline Energy Mix'!$N$109="Manual Entry",V28,V27))</f>
        <v>22.063106126438964</v>
      </c>
      <c r="W25" s="1769">
        <f>IF('II. Inputs, Baseline Energy Mix'!$N$109="User-defined, annually adjusted",W26,IF('II. Inputs, Baseline Energy Mix'!$N$109="Manual Entry",W28,W27))</f>
        <v>22.295989237489938</v>
      </c>
      <c r="X25" s="1769">
        <f>IF('II. Inputs, Baseline Energy Mix'!$N$109="User-defined, annually adjusted",X26,IF('II. Inputs, Baseline Energy Mix'!$N$109="Manual Entry",X28,X27))</f>
        <v>22.531330503938527</v>
      </c>
      <c r="Y25" s="1769">
        <f>IF('II. Inputs, Baseline Energy Mix'!$N$109="User-defined, annually adjusted",Y26,IF('II. Inputs, Baseline Energy Mix'!$N$109="Manual Entry",Y28,Y27))</f>
        <v>22.769155872397732</v>
      </c>
      <c r="Z25" s="1769">
        <f>IF('II. Inputs, Baseline Energy Mix'!$N$109="User-defined, annually adjusted",Z26,IF('II. Inputs, Baseline Energy Mix'!$N$109="Manual Entry",Z28,Z27))</f>
        <v>23.009491563355333</v>
      </c>
      <c r="AA25" s="1769">
        <f>IF('II. Inputs, Baseline Energy Mix'!$N$109="User-defined, annually adjusted",AA26,IF('II. Inputs, Baseline Energy Mix'!$N$109="Manual Entry",AA28,AA27))</f>
        <v>23.252364074064694</v>
      </c>
      <c r="AB25" s="1769">
        <f>IF('II. Inputs, Baseline Energy Mix'!$N$109="User-defined, annually adjusted",AB26,IF('II. Inputs, Baseline Energy Mix'!$N$109="Manual Entry",AB28,AB27))</f>
        <v>23.49780018146614</v>
      </c>
      <c r="AC25" s="1769">
        <f>IF('II. Inputs, Baseline Energy Mix'!$N$109="User-defined, annually adjusted",AC26,IF('II. Inputs, Baseline Energy Mix'!$N$109="Manual Entry",AC28,AC27))</f>
        <v>23.745826945139111</v>
      </c>
      <c r="AD25" s="1769">
        <f>IF('II. Inputs, Baseline Energy Mix'!$N$109="User-defined, annually adjusted",AD26,IF('II. Inputs, Baseline Energy Mix'!$N$109="Manual Entry",AD28,AD27))</f>
        <v>23.996471710285544</v>
      </c>
      <c r="AE25" s="1769">
        <f>IF('II. Inputs, Baseline Energy Mix'!$N$109="User-defined, annually adjusted",AE26,IF('II. Inputs, Baseline Energy Mix'!$N$109="Manual Entry",AE28,AE27))</f>
        <v>24.249762110744676</v>
      </c>
      <c r="AF25" s="1769">
        <f>IF('II. Inputs, Baseline Energy Mix'!$N$109="User-defined, annually adjusted",AF26,IF('II. Inputs, Baseline Energy Mix'!$N$109="Manual Entry",AF28,AF27))</f>
        <v>24.505726072039717</v>
      </c>
      <c r="AG25" s="1769">
        <f>IF('II. Inputs, Baseline Energy Mix'!$N$109="User-defined, annually adjusted",AG26,IF('II. Inputs, Baseline Energy Mix'!$N$109="Manual Entry",AG28,AG27))</f>
        <v>0</v>
      </c>
      <c r="AH25" s="1769">
        <f>IF('II. Inputs, Baseline Energy Mix'!$N$109="User-defined, annually adjusted",AH26,IF('II. Inputs, Baseline Energy Mix'!$N$109="Manual Entry",AH28,AH27))</f>
        <v>0</v>
      </c>
      <c r="AI25" s="1769">
        <f>IF('II. Inputs, Baseline Energy Mix'!$N$109="User-defined, annually adjusted",AI26,IF('II. Inputs, Baseline Energy Mix'!$N$109="Manual Entry",AI28,AI27))</f>
        <v>0</v>
      </c>
      <c r="AJ25" s="1769">
        <f>IF('II. Inputs, Baseline Energy Mix'!$N$109="User-defined, annually adjusted",AJ26,IF('II. Inputs, Baseline Energy Mix'!$N$109="Manual Entry",AJ28,AJ27))</f>
        <v>0</v>
      </c>
      <c r="AK25" s="1769">
        <f>IF('II. Inputs, Baseline Energy Mix'!$N$109="User-defined, annually adjusted",AK26,IF('II. Inputs, Baseline Energy Mix'!$N$109="Manual Entry",AK28,AK27))</f>
        <v>0</v>
      </c>
      <c r="AL25" s="1769">
        <f>IF('II. Inputs, Baseline Energy Mix'!$N$109="User-defined, annually adjusted",AL26,IF('II. Inputs, Baseline Energy Mix'!$N$109="Manual Entry",AL28,AL27))</f>
        <v>0</v>
      </c>
      <c r="AM25" s="1769">
        <f>IF('II. Inputs, Baseline Energy Mix'!$N$109="User-defined, annually adjusted",AM26,IF('II. Inputs, Baseline Energy Mix'!$N$109="Manual Entry",AM28,AM27))</f>
        <v>0</v>
      </c>
      <c r="AN25" s="1769">
        <f>IF('II. Inputs, Baseline Energy Mix'!$N$109="User-defined, annually adjusted",AN26,IF('II. Inputs, Baseline Energy Mix'!$N$109="Manual Entry",AN28,AN27))</f>
        <v>0</v>
      </c>
      <c r="AO25" s="1769">
        <f>IF('II. Inputs, Baseline Energy Mix'!$N$109="User-defined, annually adjusted",AO26,IF('II. Inputs, Baseline Energy Mix'!$N$109="Manual Entry",AO28,AO27))</f>
        <v>0</v>
      </c>
      <c r="AP25" s="1769">
        <f>IF('II. Inputs, Baseline Energy Mix'!$N$109="User-defined, annually adjusted",AP26,IF('II. Inputs, Baseline Energy Mix'!$N$109="Manual Entry",AP28,AP27))</f>
        <v>0</v>
      </c>
      <c r="AQ25" s="1769">
        <f>IF('II. Inputs, Baseline Energy Mix'!$N$109="User-defined, annually adjusted",AQ26,IF('II. Inputs, Baseline Energy Mix'!$N$109="Manual Entry",AQ28,AQ27))</f>
        <v>0</v>
      </c>
      <c r="AR25" s="1769">
        <f>IF('II. Inputs, Baseline Energy Mix'!$N$109="User-defined, annually adjusted",AR26,IF('II. Inputs, Baseline Energy Mix'!$N$109="Manual Entry",AR28,AR27))</f>
        <v>0</v>
      </c>
      <c r="AS25" s="1769">
        <f>IF('II. Inputs, Baseline Energy Mix'!$N$109="User-defined, annually adjusted",AS26,IF('II. Inputs, Baseline Energy Mix'!$N$109="Manual Entry",AS28,AS27))</f>
        <v>0</v>
      </c>
      <c r="AT25" s="1769">
        <f>IF('II. Inputs, Baseline Energy Mix'!$N$109="User-defined, annually adjusted",AT26,IF('II. Inputs, Baseline Energy Mix'!$N$109="Manual Entry",AT28,AT27))</f>
        <v>0</v>
      </c>
      <c r="AU25" s="1769">
        <f>IF('II. Inputs, Baseline Energy Mix'!$N$109="User-defined, annually adjusted",AU26,IF('II. Inputs, Baseline Energy Mix'!$N$109="Manual Entry",AU28,AU27))</f>
        <v>0</v>
      </c>
      <c r="AV25" s="1769">
        <f>IF('II. Inputs, Baseline Energy Mix'!$N$109="User-defined, annually adjusted",AV26,IF('II. Inputs, Baseline Energy Mix'!$N$109="Manual Entry",AV28,AV27))</f>
        <v>0</v>
      </c>
      <c r="AW25" s="1769">
        <f>IF('II. Inputs, Baseline Energy Mix'!$N$109="User-defined, annually adjusted",AW26,IF('II. Inputs, Baseline Energy Mix'!$N$109="Manual Entry",AW28,AW27))</f>
        <v>0</v>
      </c>
      <c r="AX25" s="1769">
        <f>IF('II. Inputs, Baseline Energy Mix'!$N$109="User-defined, annually adjusted",AX26,IF('II. Inputs, Baseline Energy Mix'!$N$109="Manual Entry",AX28,AX27))</f>
        <v>0</v>
      </c>
      <c r="AY25" s="1769">
        <f>IF('II. Inputs, Baseline Energy Mix'!$N$109="User-defined, annually adjusted",AY26,IF('II. Inputs, Baseline Energy Mix'!$N$109="Manual Entry",AY28,AY27))</f>
        <v>0</v>
      </c>
      <c r="AZ25" s="1769">
        <f>IF('II. Inputs, Baseline Energy Mix'!$N$109="User-defined, annually adjusted",AZ26,IF('II. Inputs, Baseline Energy Mix'!$N$109="Manual Entry",AZ28,AZ27))</f>
        <v>0</v>
      </c>
      <c r="BA25" s="1769">
        <f>IF('II. Inputs, Baseline Energy Mix'!$N$109="User-defined, annually adjusted",BA26,IF('II. Inputs, Baseline Energy Mix'!$N$109="Manual Entry",BA28,BA27))</f>
        <v>0</v>
      </c>
      <c r="BB25" s="1769">
        <f>IF('II. Inputs, Baseline Energy Mix'!$N$109="User-defined, annually adjusted",BB26,IF('II. Inputs, Baseline Energy Mix'!$N$109="Manual Entry",BB28,BB27))</f>
        <v>0</v>
      </c>
      <c r="BC25" s="1769">
        <f>IF('II. Inputs, Baseline Energy Mix'!$N$109="User-defined, annually adjusted",BC26,IF('II. Inputs, Baseline Energy Mix'!$N$109="Manual Entry",BC28,BC27))</f>
        <v>0</v>
      </c>
      <c r="BD25" s="1769">
        <f>IF('II. Inputs, Baseline Energy Mix'!$N$109="User-defined, annually adjusted",BD26,IF('II. Inputs, Baseline Energy Mix'!$N$109="Manual Entry",BD28,BD27))</f>
        <v>0</v>
      </c>
      <c r="BE25" s="1770">
        <f>IF('II. Inputs, Baseline Energy Mix'!$N$109="User-defined, annually adjusted",BE26,IF('II. Inputs, Baseline Energy Mix'!$N$109="Manual Entry",BE28,BE27))</f>
        <v>0</v>
      </c>
      <c r="BF25" s="695"/>
    </row>
    <row r="26" spans="1:58" outlineLevel="1" x14ac:dyDescent="0.45">
      <c r="A26" s="695"/>
      <c r="B26" s="836"/>
      <c r="C26" s="837" t="s">
        <v>620</v>
      </c>
      <c r="D26" s="837"/>
      <c r="E26" s="840"/>
      <c r="F26" s="840"/>
      <c r="G26" s="837"/>
      <c r="H26" s="1769">
        <f xml:space="preserve"> H$17*VLOOKUP(H$13,'II. Inputs, Baseline Energy Mix'!$F$133:$T$182,3, FALSE)</f>
        <v>0</v>
      </c>
      <c r="I26" s="1769">
        <f xml:space="preserve"> I$17*VLOOKUP(I$13,'II. Inputs, Baseline Energy Mix'!$F$133:$T$182,3, FALSE)</f>
        <v>0</v>
      </c>
      <c r="J26" s="1769">
        <f xml:space="preserve"> J$17*VLOOKUP(J$13,'II. Inputs, Baseline Energy Mix'!$F$133:$T$182,3, FALSE)</f>
        <v>0</v>
      </c>
      <c r="K26" s="1769">
        <f xml:space="preserve"> K$17*VLOOKUP(K$13,'II. Inputs, Baseline Energy Mix'!$F$133:$T$182,3, FALSE)</f>
        <v>0</v>
      </c>
      <c r="L26" s="1769">
        <f xml:space="preserve"> L$17*VLOOKUP(L$13,'II. Inputs, Baseline Energy Mix'!$F$133:$T$182,3, FALSE)</f>
        <v>0</v>
      </c>
      <c r="M26" s="1769">
        <f xml:space="preserve"> M$17*VLOOKUP(M$13,'II. Inputs, Baseline Energy Mix'!$F$133:$T$182,3, FALSE)</f>
        <v>0</v>
      </c>
      <c r="N26" s="1769">
        <f xml:space="preserve"> N$17*VLOOKUP(N$13,'II. Inputs, Baseline Energy Mix'!$F$133:$T$182,3, FALSE)</f>
        <v>0</v>
      </c>
      <c r="O26" s="1769">
        <f xml:space="preserve"> O$17*VLOOKUP(O$13,'II. Inputs, Baseline Energy Mix'!$F$133:$T$182,3, FALSE)</f>
        <v>0</v>
      </c>
      <c r="P26" s="1769">
        <f xml:space="preserve"> P$17*VLOOKUP(P$13,'II. Inputs, Baseline Energy Mix'!$F$133:$T$182,3, FALSE)</f>
        <v>0</v>
      </c>
      <c r="Q26" s="1769">
        <f xml:space="preserve"> Q$17*VLOOKUP(Q$13,'II. Inputs, Baseline Energy Mix'!$F$133:$T$182,3, FALSE)</f>
        <v>0</v>
      </c>
      <c r="R26" s="1769">
        <f xml:space="preserve"> R$17*VLOOKUP(R$13,'II. Inputs, Baseline Energy Mix'!$F$133:$T$182,3, FALSE)</f>
        <v>0</v>
      </c>
      <c r="S26" s="1769">
        <f xml:space="preserve"> S$17*VLOOKUP(S$13,'II. Inputs, Baseline Energy Mix'!$F$133:$T$182,3, FALSE)</f>
        <v>0</v>
      </c>
      <c r="T26" s="1769">
        <f xml:space="preserve"> T$17*VLOOKUP(T$13,'II. Inputs, Baseline Energy Mix'!$F$133:$T$182,3, FALSE)</f>
        <v>0</v>
      </c>
      <c r="U26" s="1769">
        <f xml:space="preserve"> U$17*VLOOKUP(U$13,'II. Inputs, Baseline Energy Mix'!$F$133:$T$182,3, FALSE)</f>
        <v>0</v>
      </c>
      <c r="V26" s="1769">
        <f xml:space="preserve"> V$17*VLOOKUP(V$13,'II. Inputs, Baseline Energy Mix'!$F$133:$T$182,3, FALSE)</f>
        <v>0</v>
      </c>
      <c r="W26" s="1769">
        <f xml:space="preserve"> W$17*VLOOKUP(W$13,'II. Inputs, Baseline Energy Mix'!$F$133:$T$182,3, FALSE)</f>
        <v>0</v>
      </c>
      <c r="X26" s="1769">
        <f xml:space="preserve"> X$17*VLOOKUP(X$13,'II. Inputs, Baseline Energy Mix'!$F$133:$T$182,3, FALSE)</f>
        <v>0</v>
      </c>
      <c r="Y26" s="1769">
        <f xml:space="preserve"> Y$17*VLOOKUP(Y$13,'II. Inputs, Baseline Energy Mix'!$F$133:$T$182,3, FALSE)</f>
        <v>0</v>
      </c>
      <c r="Z26" s="1769">
        <f xml:space="preserve"> Z$17*VLOOKUP(Z$13,'II. Inputs, Baseline Energy Mix'!$F$133:$T$182,3, FALSE)</f>
        <v>0</v>
      </c>
      <c r="AA26" s="1769">
        <f xml:space="preserve"> AA$17*VLOOKUP(AA$13,'II. Inputs, Baseline Energy Mix'!$F$133:$T$182,3, FALSE)</f>
        <v>0</v>
      </c>
      <c r="AB26" s="1769">
        <f xml:space="preserve"> AB$17*VLOOKUP(AB$13,'II. Inputs, Baseline Energy Mix'!$F$133:$T$182,3, FALSE)</f>
        <v>0</v>
      </c>
      <c r="AC26" s="1769">
        <f xml:space="preserve"> AC$17*VLOOKUP(AC$13,'II. Inputs, Baseline Energy Mix'!$F$133:$T$182,3, FALSE)</f>
        <v>0</v>
      </c>
      <c r="AD26" s="1769">
        <f xml:space="preserve"> AD$17*VLOOKUP(AD$13,'II. Inputs, Baseline Energy Mix'!$F$133:$T$182,3, FALSE)</f>
        <v>0</v>
      </c>
      <c r="AE26" s="1769">
        <f xml:space="preserve"> AE$17*VLOOKUP(AE$13,'II. Inputs, Baseline Energy Mix'!$F$133:$T$182,3, FALSE)</f>
        <v>0</v>
      </c>
      <c r="AF26" s="1769">
        <f xml:space="preserve"> AF$17*VLOOKUP(AF$13,'II. Inputs, Baseline Energy Mix'!$F$133:$T$182,3, FALSE)</f>
        <v>0</v>
      </c>
      <c r="AG26" s="1769">
        <f xml:space="preserve"> AG$17*VLOOKUP(AG$13,'II. Inputs, Baseline Energy Mix'!$F$133:$T$182,3, FALSE)</f>
        <v>0</v>
      </c>
      <c r="AH26" s="1769">
        <f xml:space="preserve"> AH$17*VLOOKUP(AH$13,'II. Inputs, Baseline Energy Mix'!$F$133:$T$182,3, FALSE)</f>
        <v>0</v>
      </c>
      <c r="AI26" s="1769">
        <f xml:space="preserve"> AI$17*VLOOKUP(AI$13,'II. Inputs, Baseline Energy Mix'!$F$133:$T$182,3, FALSE)</f>
        <v>0</v>
      </c>
      <c r="AJ26" s="1769">
        <f xml:space="preserve"> AJ$17*VLOOKUP(AJ$13,'II. Inputs, Baseline Energy Mix'!$F$133:$T$182,3, FALSE)</f>
        <v>0</v>
      </c>
      <c r="AK26" s="1769">
        <f xml:space="preserve"> AK$17*VLOOKUP(AK$13,'II. Inputs, Baseline Energy Mix'!$F$133:$T$182,3, FALSE)</f>
        <v>0</v>
      </c>
      <c r="AL26" s="1769">
        <f xml:space="preserve"> AL$17*VLOOKUP(AL$13,'II. Inputs, Baseline Energy Mix'!$F$133:$T$182,3, FALSE)</f>
        <v>0</v>
      </c>
      <c r="AM26" s="1769">
        <f xml:space="preserve"> AM$17*VLOOKUP(AM$13,'II. Inputs, Baseline Energy Mix'!$F$133:$T$182,3, FALSE)</f>
        <v>0</v>
      </c>
      <c r="AN26" s="1769">
        <f xml:space="preserve"> AN$17*VLOOKUP(AN$13,'II. Inputs, Baseline Energy Mix'!$F$133:$T$182,3, FALSE)</f>
        <v>0</v>
      </c>
      <c r="AO26" s="1769">
        <f xml:space="preserve"> AO$17*VLOOKUP(AO$13,'II. Inputs, Baseline Energy Mix'!$F$133:$T$182,3, FALSE)</f>
        <v>0</v>
      </c>
      <c r="AP26" s="1769">
        <f xml:space="preserve"> AP$17*VLOOKUP(AP$13,'II. Inputs, Baseline Energy Mix'!$F$133:$T$182,3, FALSE)</f>
        <v>0</v>
      </c>
      <c r="AQ26" s="1769">
        <f xml:space="preserve"> AQ$17*VLOOKUP(AQ$13,'II. Inputs, Baseline Energy Mix'!$F$133:$T$182,3, FALSE)</f>
        <v>0</v>
      </c>
      <c r="AR26" s="1769">
        <f xml:space="preserve"> AR$17*VLOOKUP(AR$13,'II. Inputs, Baseline Energy Mix'!$F$133:$T$182,3, FALSE)</f>
        <v>0</v>
      </c>
      <c r="AS26" s="1769">
        <f xml:space="preserve"> AS$17*VLOOKUP(AS$13,'II. Inputs, Baseline Energy Mix'!$F$133:$T$182,3, FALSE)</f>
        <v>0</v>
      </c>
      <c r="AT26" s="1769">
        <f xml:space="preserve"> AT$17*VLOOKUP(AT$13,'II. Inputs, Baseline Energy Mix'!$F$133:$T$182,3, FALSE)</f>
        <v>0</v>
      </c>
      <c r="AU26" s="1769">
        <f xml:space="preserve"> AU$17*VLOOKUP(AU$13,'II. Inputs, Baseline Energy Mix'!$F$133:$T$182,3, FALSE)</f>
        <v>0</v>
      </c>
      <c r="AV26" s="1769">
        <f xml:space="preserve"> AV$17*VLOOKUP(AV$13,'II. Inputs, Baseline Energy Mix'!$F$133:$T$182,3, FALSE)</f>
        <v>0</v>
      </c>
      <c r="AW26" s="1769">
        <f xml:space="preserve"> AW$17*VLOOKUP(AW$13,'II. Inputs, Baseline Energy Mix'!$F$133:$T$182,3, FALSE)</f>
        <v>0</v>
      </c>
      <c r="AX26" s="1769">
        <f xml:space="preserve"> AX$17*VLOOKUP(AX$13,'II. Inputs, Baseline Energy Mix'!$F$133:$T$182,3, FALSE)</f>
        <v>0</v>
      </c>
      <c r="AY26" s="1769">
        <f xml:space="preserve"> AY$17*VLOOKUP(AY$13,'II. Inputs, Baseline Energy Mix'!$F$133:$T$182,3, FALSE)</f>
        <v>0</v>
      </c>
      <c r="AZ26" s="1769">
        <f xml:space="preserve"> AZ$17*VLOOKUP(AZ$13,'II. Inputs, Baseline Energy Mix'!$F$133:$T$182,3, FALSE)</f>
        <v>0</v>
      </c>
      <c r="BA26" s="1769">
        <f xml:space="preserve"> BA$17*VLOOKUP(BA$13,'II. Inputs, Baseline Energy Mix'!$F$133:$T$182,3, FALSE)</f>
        <v>0</v>
      </c>
      <c r="BB26" s="1769">
        <f xml:space="preserve"> BB$17*VLOOKUP(BB$13,'II. Inputs, Baseline Energy Mix'!$F$133:$T$182,3, FALSE)</f>
        <v>0</v>
      </c>
      <c r="BC26" s="1769">
        <f xml:space="preserve"> BC$17*VLOOKUP(BC$13,'II. Inputs, Baseline Energy Mix'!$F$133:$T$182,3, FALSE)</f>
        <v>0</v>
      </c>
      <c r="BD26" s="1769">
        <f xml:space="preserve"> BD$17*VLOOKUP(BD$13,'II. Inputs, Baseline Energy Mix'!$F$133:$T$182,3, FALSE)</f>
        <v>0</v>
      </c>
      <c r="BE26" s="1770">
        <f xml:space="preserve"> BE$17*VLOOKUP(BE$13,'II. Inputs, Baseline Energy Mix'!$F$133:$T$182,3, FALSE)</f>
        <v>0</v>
      </c>
      <c r="BF26" s="695"/>
    </row>
    <row r="27" spans="1:58" outlineLevel="1" x14ac:dyDescent="0.45">
      <c r="A27" s="695"/>
      <c r="B27" s="836"/>
      <c r="C27" s="837" t="s">
        <v>621</v>
      </c>
      <c r="D27" s="837"/>
      <c r="E27" s="840"/>
      <c r="F27" s="840"/>
      <c r="G27" s="837"/>
      <c r="H27" s="1769">
        <f xml:space="preserve"> H$17*VLOOKUP(H$13,'II. Inputs, Baseline Energy Mix'!$F$133:$T$182,9, FALSE)</f>
        <v>0</v>
      </c>
      <c r="I27" s="1769">
        <f xml:space="preserve"> I$17*VLOOKUP(I$13,'II. Inputs, Baseline Energy Mix'!$F$133:$T$182,9, FALSE)</f>
        <v>0</v>
      </c>
      <c r="J27" s="1769">
        <f xml:space="preserve"> J$17*VLOOKUP(J$13,'II. Inputs, Baseline Energy Mix'!$F$133:$T$182,9, FALSE)</f>
        <v>0</v>
      </c>
      <c r="K27" s="1769">
        <f xml:space="preserve"> K$17*VLOOKUP(K$13,'II. Inputs, Baseline Energy Mix'!$F$133:$T$182,9, FALSE)</f>
        <v>0</v>
      </c>
      <c r="L27" s="1769">
        <f xml:space="preserve"> L$17*VLOOKUP(L$13,'II. Inputs, Baseline Energy Mix'!$F$133:$T$182,9, FALSE)</f>
        <v>0</v>
      </c>
      <c r="M27" s="1769">
        <f xml:space="preserve"> M$17*VLOOKUP(M$13,'II. Inputs, Baseline Energy Mix'!$F$133:$T$182,9, FALSE)</f>
        <v>0</v>
      </c>
      <c r="N27" s="1769">
        <f xml:space="preserve"> N$17*VLOOKUP(N$13,'II. Inputs, Baseline Energy Mix'!$F$133:$T$182,9, FALSE)</f>
        <v>0</v>
      </c>
      <c r="O27" s="1769">
        <f xml:space="preserve"> O$17*VLOOKUP(O$13,'II. Inputs, Baseline Energy Mix'!$F$133:$T$182,9, FALSE)</f>
        <v>0</v>
      </c>
      <c r="P27" s="1769">
        <f xml:space="preserve"> P$17*VLOOKUP(P$13,'II. Inputs, Baseline Energy Mix'!$F$133:$T$182,9, FALSE)</f>
        <v>0</v>
      </c>
      <c r="Q27" s="1769">
        <f xml:space="preserve"> Q$17*VLOOKUP(Q$13,'II. Inputs, Baseline Energy Mix'!$F$133:$T$182,9, FALSE)</f>
        <v>0</v>
      </c>
      <c r="R27" s="1769">
        <f xml:space="preserve"> R$17*VLOOKUP(R$13,'II. Inputs, Baseline Energy Mix'!$F$133:$T$182,9, FALSE)</f>
        <v>0</v>
      </c>
      <c r="S27" s="1769">
        <f xml:space="preserve"> S$17*VLOOKUP(S$13,'II. Inputs, Baseline Energy Mix'!$F$133:$T$182,9, FALSE)</f>
        <v>0</v>
      </c>
      <c r="T27" s="1769">
        <f xml:space="preserve"> T$17*VLOOKUP(T$13,'II. Inputs, Baseline Energy Mix'!$F$133:$T$182,9, FALSE)</f>
        <v>0</v>
      </c>
      <c r="U27" s="1769">
        <f xml:space="preserve"> U$17*VLOOKUP(U$13,'II. Inputs, Baseline Energy Mix'!$F$133:$T$182,9, FALSE)</f>
        <v>0</v>
      </c>
      <c r="V27" s="1769">
        <f xml:space="preserve"> V$17*VLOOKUP(V$13,'II. Inputs, Baseline Energy Mix'!$F$133:$T$182,9, FALSE)</f>
        <v>0</v>
      </c>
      <c r="W27" s="1769">
        <f xml:space="preserve"> W$17*VLOOKUP(W$13,'II. Inputs, Baseline Energy Mix'!$F$133:$T$182,9, FALSE)</f>
        <v>0</v>
      </c>
      <c r="X27" s="1769">
        <f xml:space="preserve"> X$17*VLOOKUP(X$13,'II. Inputs, Baseline Energy Mix'!$F$133:$T$182,9, FALSE)</f>
        <v>0</v>
      </c>
      <c r="Y27" s="1769">
        <f xml:space="preserve"> Y$17*VLOOKUP(Y$13,'II. Inputs, Baseline Energy Mix'!$F$133:$T$182,9, FALSE)</f>
        <v>0</v>
      </c>
      <c r="Z27" s="1769">
        <f xml:space="preserve"> Z$17*VLOOKUP(Z$13,'II. Inputs, Baseline Energy Mix'!$F$133:$T$182,9, FALSE)</f>
        <v>0</v>
      </c>
      <c r="AA27" s="1769">
        <f xml:space="preserve"> AA$17*VLOOKUP(AA$13,'II. Inputs, Baseline Energy Mix'!$F$133:$T$182,9, FALSE)</f>
        <v>0</v>
      </c>
      <c r="AB27" s="1769">
        <f xml:space="preserve"> AB$17*VLOOKUP(AB$13,'II. Inputs, Baseline Energy Mix'!$F$133:$T$182,9, FALSE)</f>
        <v>0</v>
      </c>
      <c r="AC27" s="1769">
        <f xml:space="preserve"> AC$17*VLOOKUP(AC$13,'II. Inputs, Baseline Energy Mix'!$F$133:$T$182,9, FALSE)</f>
        <v>0</v>
      </c>
      <c r="AD27" s="1769">
        <f xml:space="preserve"> AD$17*VLOOKUP(AD$13,'II. Inputs, Baseline Energy Mix'!$F$133:$T$182,9, FALSE)</f>
        <v>0</v>
      </c>
      <c r="AE27" s="1769">
        <f xml:space="preserve"> AE$17*VLOOKUP(AE$13,'II. Inputs, Baseline Energy Mix'!$F$133:$T$182,9, FALSE)</f>
        <v>0</v>
      </c>
      <c r="AF27" s="1769">
        <f xml:space="preserve"> AF$17*VLOOKUP(AF$13,'II. Inputs, Baseline Energy Mix'!$F$133:$T$182,9, FALSE)</f>
        <v>0</v>
      </c>
      <c r="AG27" s="1769">
        <f xml:space="preserve"> AG$17*VLOOKUP(AG$13,'II. Inputs, Baseline Energy Mix'!$F$133:$T$182,9, FALSE)</f>
        <v>0</v>
      </c>
      <c r="AH27" s="1769">
        <f xml:space="preserve"> AH$17*VLOOKUP(AH$13,'II. Inputs, Baseline Energy Mix'!$F$133:$T$182,9, FALSE)</f>
        <v>0</v>
      </c>
      <c r="AI27" s="1769">
        <f xml:space="preserve"> AI$17*VLOOKUP(AI$13,'II. Inputs, Baseline Energy Mix'!$F$133:$T$182,9, FALSE)</f>
        <v>0</v>
      </c>
      <c r="AJ27" s="1769">
        <f xml:space="preserve"> AJ$17*VLOOKUP(AJ$13,'II. Inputs, Baseline Energy Mix'!$F$133:$T$182,9, FALSE)</f>
        <v>0</v>
      </c>
      <c r="AK27" s="1769">
        <f xml:space="preserve"> AK$17*VLOOKUP(AK$13,'II. Inputs, Baseline Energy Mix'!$F$133:$T$182,9, FALSE)</f>
        <v>0</v>
      </c>
      <c r="AL27" s="1769">
        <f xml:space="preserve"> AL$17*VLOOKUP(AL$13,'II. Inputs, Baseline Energy Mix'!$F$133:$T$182,9, FALSE)</f>
        <v>0</v>
      </c>
      <c r="AM27" s="1769">
        <f xml:space="preserve"> AM$17*VLOOKUP(AM$13,'II. Inputs, Baseline Energy Mix'!$F$133:$T$182,9, FALSE)</f>
        <v>0</v>
      </c>
      <c r="AN27" s="1769">
        <f xml:space="preserve"> AN$17*VLOOKUP(AN$13,'II. Inputs, Baseline Energy Mix'!$F$133:$T$182,9, FALSE)</f>
        <v>0</v>
      </c>
      <c r="AO27" s="1769">
        <f xml:space="preserve"> AO$17*VLOOKUP(AO$13,'II. Inputs, Baseline Energy Mix'!$F$133:$T$182,9, FALSE)</f>
        <v>0</v>
      </c>
      <c r="AP27" s="1769">
        <f xml:space="preserve"> AP$17*VLOOKUP(AP$13,'II. Inputs, Baseline Energy Mix'!$F$133:$T$182,9, FALSE)</f>
        <v>0</v>
      </c>
      <c r="AQ27" s="1769">
        <f xml:space="preserve"> AQ$17*VLOOKUP(AQ$13,'II. Inputs, Baseline Energy Mix'!$F$133:$T$182,9, FALSE)</f>
        <v>0</v>
      </c>
      <c r="AR27" s="1769">
        <f xml:space="preserve"> AR$17*VLOOKUP(AR$13,'II. Inputs, Baseline Energy Mix'!$F$133:$T$182,9, FALSE)</f>
        <v>0</v>
      </c>
      <c r="AS27" s="1769">
        <f xml:space="preserve"> AS$17*VLOOKUP(AS$13,'II. Inputs, Baseline Energy Mix'!$F$133:$T$182,9, FALSE)</f>
        <v>0</v>
      </c>
      <c r="AT27" s="1769">
        <f xml:space="preserve"> AT$17*VLOOKUP(AT$13,'II. Inputs, Baseline Energy Mix'!$F$133:$T$182,9, FALSE)</f>
        <v>0</v>
      </c>
      <c r="AU27" s="1769">
        <f xml:space="preserve"> AU$17*VLOOKUP(AU$13,'II. Inputs, Baseline Energy Mix'!$F$133:$T$182,9, FALSE)</f>
        <v>0</v>
      </c>
      <c r="AV27" s="1769">
        <f xml:space="preserve"> AV$17*VLOOKUP(AV$13,'II. Inputs, Baseline Energy Mix'!$F$133:$T$182,9, FALSE)</f>
        <v>0</v>
      </c>
      <c r="AW27" s="1769">
        <f xml:space="preserve"> AW$17*VLOOKUP(AW$13,'II. Inputs, Baseline Energy Mix'!$F$133:$T$182,9, FALSE)</f>
        <v>0</v>
      </c>
      <c r="AX27" s="1769">
        <f xml:space="preserve"> AX$17*VLOOKUP(AX$13,'II. Inputs, Baseline Energy Mix'!$F$133:$T$182,9, FALSE)</f>
        <v>0</v>
      </c>
      <c r="AY27" s="1769">
        <f xml:space="preserve"> AY$17*VLOOKUP(AY$13,'II. Inputs, Baseline Energy Mix'!$F$133:$T$182,9, FALSE)</f>
        <v>0</v>
      </c>
      <c r="AZ27" s="1769">
        <f xml:space="preserve"> AZ$17*VLOOKUP(AZ$13,'II. Inputs, Baseline Energy Mix'!$F$133:$T$182,9, FALSE)</f>
        <v>0</v>
      </c>
      <c r="BA27" s="1769">
        <f xml:space="preserve"> BA$17*VLOOKUP(BA$13,'II. Inputs, Baseline Energy Mix'!$F$133:$T$182,9, FALSE)</f>
        <v>0</v>
      </c>
      <c r="BB27" s="1769">
        <f xml:space="preserve"> BB$17*VLOOKUP(BB$13,'II. Inputs, Baseline Energy Mix'!$F$133:$T$182,9, FALSE)</f>
        <v>0</v>
      </c>
      <c r="BC27" s="1769">
        <f xml:space="preserve"> BC$17*VLOOKUP(BC$13,'II. Inputs, Baseline Energy Mix'!$F$133:$T$182,9, FALSE)</f>
        <v>0</v>
      </c>
      <c r="BD27" s="1769">
        <f xml:space="preserve"> BD$17*VLOOKUP(BD$13,'II. Inputs, Baseline Energy Mix'!$F$133:$T$182,9, FALSE)</f>
        <v>0</v>
      </c>
      <c r="BE27" s="1770">
        <f xml:space="preserve"> BE$17*VLOOKUP(BE$13,'II. Inputs, Baseline Energy Mix'!$F$133:$T$182,9, FALSE)</f>
        <v>0</v>
      </c>
      <c r="BF27" s="695"/>
    </row>
    <row r="28" spans="1:58" outlineLevel="1" x14ac:dyDescent="0.45">
      <c r="A28" s="695"/>
      <c r="B28" s="836"/>
      <c r="C28" s="837" t="s">
        <v>622</v>
      </c>
      <c r="D28" s="837"/>
      <c r="E28" s="840"/>
      <c r="F28" s="840"/>
      <c r="G28" s="837"/>
      <c r="H28" s="1769">
        <f xml:space="preserve"> H$17*VLOOKUP(H$13,'II. Inputs, Baseline Energy Mix'!$F$133:$T$182,15, FALSE)</f>
        <v>18.971018759099671</v>
      </c>
      <c r="I28" s="1769">
        <f xml:space="preserve"> I$17*VLOOKUP(I$13,'II. Inputs, Baseline Energy Mix'!$F$133:$T$182,15, FALSE)</f>
        <v>19.298105289428978</v>
      </c>
      <c r="J28" s="1769">
        <f xml:space="preserve"> J$17*VLOOKUP(J$13,'II. Inputs, Baseline Energy Mix'!$F$133:$T$182,15, FALSE)</f>
        <v>19.298105289428978</v>
      </c>
      <c r="K28" s="1769">
        <f xml:space="preserve"> K$17*VLOOKUP(K$13,'II. Inputs, Baseline Energy Mix'!$F$133:$T$182,15, FALSE)</f>
        <v>19.625191819758282</v>
      </c>
      <c r="L28" s="1769">
        <f xml:space="preserve"> L$17*VLOOKUP(L$13,'II. Inputs, Baseline Energy Mix'!$F$133:$T$182,15, FALSE)</f>
        <v>19.952278350087585</v>
      </c>
      <c r="M28" s="1769">
        <f xml:space="preserve"> M$17*VLOOKUP(M$13,'II. Inputs, Baseline Energy Mix'!$F$133:$T$182,15, FALSE)</f>
        <v>19.952278350087585</v>
      </c>
      <c r="N28" s="1769">
        <f xml:space="preserve"> N$17*VLOOKUP(N$13,'II. Inputs, Baseline Energy Mix'!$F$133:$T$182,15, FALSE)</f>
        <v>20.279364880416889</v>
      </c>
      <c r="O28" s="1769">
        <f xml:space="preserve"> O$17*VLOOKUP(O$13,'II. Inputs, Baseline Energy Mix'!$F$133:$T$182,15, FALSE)</f>
        <v>20.606451410746192</v>
      </c>
      <c r="P28" s="1769">
        <f xml:space="preserve"> P$17*VLOOKUP(P$13,'II. Inputs, Baseline Energy Mix'!$F$133:$T$182,15, FALSE)</f>
        <v>20.716009506730597</v>
      </c>
      <c r="Q28" s="1769">
        <f xml:space="preserve"> Q$17*VLOOKUP(Q$13,'II. Inputs, Baseline Energy Mix'!$F$133:$T$182,15, FALSE)</f>
        <v>20.934673583984331</v>
      </c>
      <c r="R28" s="1769">
        <f xml:space="preserve"> R$17*VLOOKUP(R$13,'II. Inputs, Baseline Energy Mix'!$F$133:$T$182,15, FALSE)</f>
        <v>21.155645730205965</v>
      </c>
      <c r="S28" s="1769">
        <f xml:space="preserve"> S$17*VLOOKUP(S$13,'II. Inputs, Baseline Energy Mix'!$F$133:$T$182,15, FALSE)</f>
        <v>21.378950307798455</v>
      </c>
      <c r="T28" s="1769">
        <f xml:space="preserve"> T$17*VLOOKUP(T$13,'II. Inputs, Baseline Energy Mix'!$F$133:$T$182,15, FALSE)</f>
        <v>21.587711001734107</v>
      </c>
      <c r="U28" s="1769">
        <f xml:space="preserve"> U$17*VLOOKUP(U$13,'II. Inputs, Baseline Energy Mix'!$F$133:$T$182,15, FALSE)</f>
        <v>21.832655495186714</v>
      </c>
      <c r="V28" s="1769">
        <f xml:space="preserve"> V$17*VLOOKUP(V$13,'II. Inputs, Baseline Energy Mix'!$F$133:$T$182,15, FALSE)</f>
        <v>22.063106126438964</v>
      </c>
      <c r="W28" s="1769">
        <f xml:space="preserve"> W$17*VLOOKUP(W$13,'II. Inputs, Baseline Energy Mix'!$F$133:$T$182,15, FALSE)</f>
        <v>22.295989237489938</v>
      </c>
      <c r="X28" s="1769">
        <f xml:space="preserve"> X$17*VLOOKUP(X$13,'II. Inputs, Baseline Energy Mix'!$F$133:$T$182,15, FALSE)</f>
        <v>22.531330503938527</v>
      </c>
      <c r="Y28" s="1769">
        <f xml:space="preserve"> Y$17*VLOOKUP(Y$13,'II. Inputs, Baseline Energy Mix'!$F$133:$T$182,15, FALSE)</f>
        <v>22.769155872397732</v>
      </c>
      <c r="Z28" s="1769">
        <f xml:space="preserve"> Z$17*VLOOKUP(Z$13,'II. Inputs, Baseline Energy Mix'!$F$133:$T$182,15, FALSE)</f>
        <v>23.009491563355333</v>
      </c>
      <c r="AA28" s="1769">
        <f xml:space="preserve"> AA$17*VLOOKUP(AA$13,'II. Inputs, Baseline Energy Mix'!$F$133:$T$182,15, FALSE)</f>
        <v>23.252364074064694</v>
      </c>
      <c r="AB28" s="1769">
        <f xml:space="preserve"> AB$17*VLOOKUP(AB$13,'II. Inputs, Baseline Energy Mix'!$F$133:$T$182,15, FALSE)</f>
        <v>23.49780018146614</v>
      </c>
      <c r="AC28" s="1769">
        <f xml:space="preserve"> AC$17*VLOOKUP(AC$13,'II. Inputs, Baseline Energy Mix'!$F$133:$T$182,15, FALSE)</f>
        <v>23.745826945139111</v>
      </c>
      <c r="AD28" s="1769">
        <f xml:space="preserve"> AD$17*VLOOKUP(AD$13,'II. Inputs, Baseline Energy Mix'!$F$133:$T$182,15, FALSE)</f>
        <v>23.996471710285544</v>
      </c>
      <c r="AE28" s="1769">
        <f xml:space="preserve"> AE$17*VLOOKUP(AE$13,'II. Inputs, Baseline Energy Mix'!$F$133:$T$182,15, FALSE)</f>
        <v>24.249762110744676</v>
      </c>
      <c r="AF28" s="1769">
        <f xml:space="preserve"> AF$17*VLOOKUP(AF$13,'II. Inputs, Baseline Energy Mix'!$F$133:$T$182,15, FALSE)</f>
        <v>24.505726072039717</v>
      </c>
      <c r="AG28" s="1769">
        <f xml:space="preserve"> AG$17*VLOOKUP(AG$13,'II. Inputs, Baseline Energy Mix'!$F$133:$T$182,15, FALSE)</f>
        <v>0</v>
      </c>
      <c r="AH28" s="1769">
        <f xml:space="preserve"> AH$17*VLOOKUP(AH$13,'II. Inputs, Baseline Energy Mix'!$F$133:$T$182,15, FALSE)</f>
        <v>0</v>
      </c>
      <c r="AI28" s="1769">
        <f xml:space="preserve"> AI$17*VLOOKUP(AI$13,'II. Inputs, Baseline Energy Mix'!$F$133:$T$182,15, FALSE)</f>
        <v>0</v>
      </c>
      <c r="AJ28" s="1769">
        <f xml:space="preserve"> AJ$17*VLOOKUP(AJ$13,'II. Inputs, Baseline Energy Mix'!$F$133:$T$182,15, FALSE)</f>
        <v>0</v>
      </c>
      <c r="AK28" s="1769">
        <f xml:space="preserve"> AK$17*VLOOKUP(AK$13,'II. Inputs, Baseline Energy Mix'!$F$133:$T$182,15, FALSE)</f>
        <v>0</v>
      </c>
      <c r="AL28" s="1769">
        <f xml:space="preserve"> AL$17*VLOOKUP(AL$13,'II. Inputs, Baseline Energy Mix'!$F$133:$T$182,15, FALSE)</f>
        <v>0</v>
      </c>
      <c r="AM28" s="1769">
        <f xml:space="preserve"> AM$17*VLOOKUP(AM$13,'II. Inputs, Baseline Energy Mix'!$F$133:$T$182,15, FALSE)</f>
        <v>0</v>
      </c>
      <c r="AN28" s="1769">
        <f xml:space="preserve"> AN$17*VLOOKUP(AN$13,'II. Inputs, Baseline Energy Mix'!$F$133:$T$182,15, FALSE)</f>
        <v>0</v>
      </c>
      <c r="AO28" s="1769">
        <f xml:space="preserve"> AO$17*VLOOKUP(AO$13,'II. Inputs, Baseline Energy Mix'!$F$133:$T$182,15, FALSE)</f>
        <v>0</v>
      </c>
      <c r="AP28" s="1769">
        <f xml:space="preserve"> AP$17*VLOOKUP(AP$13,'II. Inputs, Baseline Energy Mix'!$F$133:$T$182,15, FALSE)</f>
        <v>0</v>
      </c>
      <c r="AQ28" s="1769">
        <f xml:space="preserve"> AQ$17*VLOOKUP(AQ$13,'II. Inputs, Baseline Energy Mix'!$F$133:$T$182,15, FALSE)</f>
        <v>0</v>
      </c>
      <c r="AR28" s="1769">
        <f xml:space="preserve"> AR$17*VLOOKUP(AR$13,'II. Inputs, Baseline Energy Mix'!$F$133:$T$182,15, FALSE)</f>
        <v>0</v>
      </c>
      <c r="AS28" s="1769">
        <f xml:space="preserve"> AS$17*VLOOKUP(AS$13,'II. Inputs, Baseline Energy Mix'!$F$133:$T$182,15, FALSE)</f>
        <v>0</v>
      </c>
      <c r="AT28" s="1769">
        <f xml:space="preserve"> AT$17*VLOOKUP(AT$13,'II. Inputs, Baseline Energy Mix'!$F$133:$T$182,15, FALSE)</f>
        <v>0</v>
      </c>
      <c r="AU28" s="1769">
        <f xml:space="preserve"> AU$17*VLOOKUP(AU$13,'II. Inputs, Baseline Energy Mix'!$F$133:$T$182,15, FALSE)</f>
        <v>0</v>
      </c>
      <c r="AV28" s="1769">
        <f xml:space="preserve"> AV$17*VLOOKUP(AV$13,'II. Inputs, Baseline Energy Mix'!$F$133:$T$182,15, FALSE)</f>
        <v>0</v>
      </c>
      <c r="AW28" s="1769">
        <f xml:space="preserve"> AW$17*VLOOKUP(AW$13,'II. Inputs, Baseline Energy Mix'!$F$133:$T$182,15, FALSE)</f>
        <v>0</v>
      </c>
      <c r="AX28" s="1769">
        <f xml:space="preserve"> AX$17*VLOOKUP(AX$13,'II. Inputs, Baseline Energy Mix'!$F$133:$T$182,15, FALSE)</f>
        <v>0</v>
      </c>
      <c r="AY28" s="1769">
        <f xml:space="preserve"> AY$17*VLOOKUP(AY$13,'II. Inputs, Baseline Energy Mix'!$F$133:$T$182,15, FALSE)</f>
        <v>0</v>
      </c>
      <c r="AZ28" s="1769">
        <f xml:space="preserve"> AZ$17*VLOOKUP(AZ$13,'II. Inputs, Baseline Energy Mix'!$F$133:$T$182,15, FALSE)</f>
        <v>0</v>
      </c>
      <c r="BA28" s="1769">
        <f xml:space="preserve"> BA$17*VLOOKUP(BA$13,'II. Inputs, Baseline Energy Mix'!$F$133:$T$182,15, FALSE)</f>
        <v>0</v>
      </c>
      <c r="BB28" s="1769">
        <f xml:space="preserve"> BB$17*VLOOKUP(BB$13,'II. Inputs, Baseline Energy Mix'!$F$133:$T$182,15, FALSE)</f>
        <v>0</v>
      </c>
      <c r="BC28" s="1769">
        <f xml:space="preserve"> BC$17*VLOOKUP(BC$13,'II. Inputs, Baseline Energy Mix'!$F$133:$T$182,15, FALSE)</f>
        <v>0</v>
      </c>
      <c r="BD28" s="1769">
        <f xml:space="preserve"> BD$17*VLOOKUP(BD$13,'II. Inputs, Baseline Energy Mix'!$F$133:$T$182,15, FALSE)</f>
        <v>0</v>
      </c>
      <c r="BE28" s="1770">
        <f xml:space="preserve"> BE$17*VLOOKUP(BE$13,'II. Inputs, Baseline Energy Mix'!$F$133:$T$182,15, FALSE)</f>
        <v>0</v>
      </c>
      <c r="BF28" s="695"/>
    </row>
    <row r="29" spans="1:58" outlineLevel="1" x14ac:dyDescent="0.45">
      <c r="A29" s="695"/>
      <c r="B29" s="836"/>
      <c r="C29" s="837"/>
      <c r="D29" s="837"/>
      <c r="E29" s="840"/>
      <c r="F29" s="840"/>
      <c r="G29" s="837"/>
      <c r="H29" s="847"/>
      <c r="I29" s="847"/>
      <c r="J29" s="847"/>
      <c r="K29" s="847"/>
      <c r="L29" s="847"/>
      <c r="M29" s="847"/>
      <c r="N29" s="847"/>
      <c r="O29" s="847"/>
      <c r="P29" s="847"/>
      <c r="Q29" s="847"/>
      <c r="R29" s="847"/>
      <c r="S29" s="847"/>
      <c r="T29" s="847"/>
      <c r="U29" s="847"/>
      <c r="V29" s="847"/>
      <c r="W29" s="847"/>
      <c r="X29" s="847"/>
      <c r="Y29" s="847"/>
      <c r="Z29" s="847"/>
      <c r="AA29" s="847"/>
      <c r="AB29" s="847"/>
      <c r="AC29" s="847"/>
      <c r="AD29" s="847"/>
      <c r="AE29" s="847"/>
      <c r="AF29" s="847"/>
      <c r="AG29" s="847"/>
      <c r="AH29" s="847"/>
      <c r="AI29" s="847"/>
      <c r="AJ29" s="847"/>
      <c r="AK29" s="847"/>
      <c r="AL29" s="847"/>
      <c r="AM29" s="847"/>
      <c r="AN29" s="847"/>
      <c r="AO29" s="847"/>
      <c r="AP29" s="847"/>
      <c r="AQ29" s="847"/>
      <c r="AR29" s="847"/>
      <c r="AS29" s="847"/>
      <c r="AT29" s="847"/>
      <c r="AU29" s="847"/>
      <c r="AV29" s="847"/>
      <c r="AW29" s="847"/>
      <c r="AX29" s="847"/>
      <c r="AY29" s="847"/>
      <c r="AZ29" s="847"/>
      <c r="BA29" s="847"/>
      <c r="BB29" s="847"/>
      <c r="BC29" s="847"/>
      <c r="BD29" s="847"/>
      <c r="BE29" s="848"/>
      <c r="BF29" s="695"/>
    </row>
    <row r="30" spans="1:58" x14ac:dyDescent="0.45">
      <c r="A30" s="695"/>
      <c r="B30" s="836" t="s">
        <v>124</v>
      </c>
      <c r="C30" s="837"/>
      <c r="D30" s="837"/>
      <c r="E30" s="840"/>
      <c r="F30" s="840" t="s">
        <v>748</v>
      </c>
      <c r="G30" s="1543"/>
      <c r="H30" s="1541">
        <f>H25*H19*H17/'II. Inputs, Baseline Energy Mix'!$N$104</f>
        <v>253895.46772595056</v>
      </c>
      <c r="I30" s="1541">
        <f>I25*I19*I17/'II. Inputs, Baseline Energy Mix'!$N$104</f>
        <v>258272.97579019115</v>
      </c>
      <c r="J30" s="1541">
        <f>J25*J19*J17/'II. Inputs, Baseline Energy Mix'!$N$104</f>
        <v>258272.97579019115</v>
      </c>
      <c r="K30" s="1541">
        <f>K25*K19*K17/'II. Inputs, Baseline Energy Mix'!$N$104</f>
        <v>262650.48385443166</v>
      </c>
      <c r="L30" s="1541">
        <f>L25*L19*L17/'II. Inputs, Baseline Energy Mix'!$N$104</f>
        <v>267027.99191867217</v>
      </c>
      <c r="M30" s="1541">
        <f>M25*M19*M17/'II. Inputs, Baseline Energy Mix'!$N$104</f>
        <v>267027.99191867217</v>
      </c>
      <c r="N30" s="1541">
        <f>N25*N19*N17/'II. Inputs, Baseline Energy Mix'!$N$104</f>
        <v>271405.49998291268</v>
      </c>
      <c r="O30" s="1541">
        <f>O25*O19*O17/'II. Inputs, Baseline Energy Mix'!$N$104</f>
        <v>275783.00804715318</v>
      </c>
      <c r="P30" s="1541">
        <f>P25*P19*P17/'II. Inputs, Baseline Energy Mix'!$N$104</f>
        <v>277249.26056507777</v>
      </c>
      <c r="Q30" s="1541">
        <f>Q25*Q19*Q17/'II. Inputs, Baseline Energy Mix'!$N$104</f>
        <v>280175.71479899029</v>
      </c>
      <c r="R30" s="1541">
        <f>R25*R19*R17/'II. Inputs, Baseline Energy Mix'!$N$104</f>
        <v>283133.05868925649</v>
      </c>
      <c r="S30" s="1541">
        <f>S25*S19*S17/'II. Inputs, Baseline Energy Mix'!$N$104</f>
        <v>286121.61828603595</v>
      </c>
      <c r="T30" s="1541">
        <f>T25*T19*T17/'II. Inputs, Baseline Energy Mix'!$N$104</f>
        <v>288915.53223987477</v>
      </c>
      <c r="U30" s="1541">
        <f>U25*U19*U17/'II. Inputs, Baseline Energy Mix'!$N$104</f>
        <v>292193.70604391547</v>
      </c>
      <c r="V30" s="1541">
        <f>V25*V19*V17/'II. Inputs, Baseline Energy Mix'!$N$104</f>
        <v>295277.90365884145</v>
      </c>
      <c r="W30" s="1541">
        <f>W25*W19*W17/'II. Inputs, Baseline Energy Mix'!$N$104</f>
        <v>298394.6559617403</v>
      </c>
      <c r="X30" s="1541">
        <f>X25*X19*X17/'II. Inputs, Baseline Energy Mix'!$N$104</f>
        <v>301544.30657771061</v>
      </c>
      <c r="Y30" s="1541">
        <f>Y25*Y19*Y17/'II. Inputs, Baseline Energy Mix'!$N$104</f>
        <v>304727.20275892294</v>
      </c>
      <c r="Z30" s="1541">
        <f>Z25*Z19*Z17/'II. Inputs, Baseline Energy Mix'!$N$104</f>
        <v>307943.6954229055</v>
      </c>
      <c r="AA30" s="1541">
        <f>AA25*AA19*AA17/'II. Inputs, Baseline Energy Mix'!$N$104</f>
        <v>311194.13919123251</v>
      </c>
      <c r="AB30" s="1541">
        <f>AB25*AB19*AB17/'II. Inputs, Baseline Energy Mix'!$N$104</f>
        <v>314478.89242862182</v>
      </c>
      <c r="AC30" s="1541">
        <f>AC25*AC19*AC17/'II. Inputs, Baseline Energy Mix'!$N$104</f>
        <v>317798.31728244509</v>
      </c>
      <c r="AD30" s="1541">
        <f>AD25*AD19*AD17/'II. Inputs, Baseline Energy Mix'!$N$104</f>
        <v>321152.77972265484</v>
      </c>
      <c r="AE30" s="1541">
        <f>AE25*AE19*AE17/'II. Inputs, Baseline Energy Mix'!$N$104</f>
        <v>324542.64958213287</v>
      </c>
      <c r="AF30" s="1541">
        <f>AF25*AF19*AF17/'II. Inputs, Baseline Energy Mix'!$N$104</f>
        <v>327968.3005974649</v>
      </c>
      <c r="AG30" s="1541">
        <f>AG25*AG19*AG17/'II. Inputs, Baseline Energy Mix'!$N$104</f>
        <v>0</v>
      </c>
      <c r="AH30" s="1541">
        <f>AH25*AH19*AH17/'II. Inputs, Baseline Energy Mix'!$N$104</f>
        <v>0</v>
      </c>
      <c r="AI30" s="1541">
        <f>AI25*AI19*AI17/'II. Inputs, Baseline Energy Mix'!$N$104</f>
        <v>0</v>
      </c>
      <c r="AJ30" s="1541">
        <f>AJ25*AJ19*AJ17/'II. Inputs, Baseline Energy Mix'!$N$104</f>
        <v>0</v>
      </c>
      <c r="AK30" s="1541">
        <f>AK25*AK19*AK17/'II. Inputs, Baseline Energy Mix'!$N$104</f>
        <v>0</v>
      </c>
      <c r="AL30" s="1541">
        <f>AL25*AL19*AL17/'II. Inputs, Baseline Energy Mix'!$N$104</f>
        <v>0</v>
      </c>
      <c r="AM30" s="1541">
        <f>AM25*AM19*AM17/'II. Inputs, Baseline Energy Mix'!$N$104</f>
        <v>0</v>
      </c>
      <c r="AN30" s="1541">
        <f>AN25*AN19*AN17/'II. Inputs, Baseline Energy Mix'!$N$104</f>
        <v>0</v>
      </c>
      <c r="AO30" s="1541">
        <f>AO25*AO19*AO17/'II. Inputs, Baseline Energy Mix'!$N$104</f>
        <v>0</v>
      </c>
      <c r="AP30" s="1541">
        <f>AP25*AP19*AP17/'II. Inputs, Baseline Energy Mix'!$N$104</f>
        <v>0</v>
      </c>
      <c r="AQ30" s="1541">
        <f>AQ25*AQ19*AQ17/'II. Inputs, Baseline Energy Mix'!$N$104</f>
        <v>0</v>
      </c>
      <c r="AR30" s="1541">
        <f>AR25*AR19*AR17/'II. Inputs, Baseline Energy Mix'!$N$104</f>
        <v>0</v>
      </c>
      <c r="AS30" s="1541">
        <f>AS25*AS19*AS17/'II. Inputs, Baseline Energy Mix'!$N$104</f>
        <v>0</v>
      </c>
      <c r="AT30" s="1541">
        <f>AT25*AT19*AT17/'II. Inputs, Baseline Energy Mix'!$N$104</f>
        <v>0</v>
      </c>
      <c r="AU30" s="1541">
        <f>AU25*AU19*AU17/'II. Inputs, Baseline Energy Mix'!$N$104</f>
        <v>0</v>
      </c>
      <c r="AV30" s="1541">
        <f>AV25*AV19*AV17/'II. Inputs, Baseline Energy Mix'!$N$104</f>
        <v>0</v>
      </c>
      <c r="AW30" s="1541">
        <f>AW25*AW19*AW17/'II. Inputs, Baseline Energy Mix'!$N$104</f>
        <v>0</v>
      </c>
      <c r="AX30" s="1541">
        <f>AX25*AX19*AX17/'II. Inputs, Baseline Energy Mix'!$N$104</f>
        <v>0</v>
      </c>
      <c r="AY30" s="1541">
        <f>AY25*AY19*AY17/'II. Inputs, Baseline Energy Mix'!$N$104</f>
        <v>0</v>
      </c>
      <c r="AZ30" s="1541">
        <f>AZ25*AZ19*AZ17/'II. Inputs, Baseline Energy Mix'!$N$104</f>
        <v>0</v>
      </c>
      <c r="BA30" s="1541">
        <f>BA25*BA19*BA17/'II. Inputs, Baseline Energy Mix'!$N$104</f>
        <v>0</v>
      </c>
      <c r="BB30" s="1541">
        <f>BB25*BB19*BB17/'II. Inputs, Baseline Energy Mix'!$N$104</f>
        <v>0</v>
      </c>
      <c r="BC30" s="1541">
        <f>BC25*BC19*BC17/'II. Inputs, Baseline Energy Mix'!$N$104</f>
        <v>0</v>
      </c>
      <c r="BD30" s="1541">
        <f>BD25*BD19*BD17/'II. Inputs, Baseline Energy Mix'!$N$104</f>
        <v>0</v>
      </c>
      <c r="BE30" s="1542">
        <f>BE25*BE19*BE17/'II. Inputs, Baseline Energy Mix'!$N$104</f>
        <v>0</v>
      </c>
      <c r="BF30" s="695"/>
    </row>
    <row r="31" spans="1:58" x14ac:dyDescent="0.45">
      <c r="A31" s="695"/>
      <c r="B31" s="836"/>
      <c r="C31" s="837"/>
      <c r="D31" s="837"/>
      <c r="E31" s="840"/>
      <c r="F31" s="840"/>
      <c r="G31" s="1543"/>
      <c r="H31" s="1541"/>
      <c r="I31" s="1543"/>
      <c r="J31" s="1543"/>
      <c r="K31" s="1543"/>
      <c r="L31" s="1543"/>
      <c r="M31" s="1543"/>
      <c r="N31" s="1543"/>
      <c r="O31" s="1543"/>
      <c r="P31" s="1543"/>
      <c r="Q31" s="1543"/>
      <c r="R31" s="1543"/>
      <c r="S31" s="1543"/>
      <c r="T31" s="1543"/>
      <c r="U31" s="1543"/>
      <c r="V31" s="1543"/>
      <c r="W31" s="1543"/>
      <c r="X31" s="1543"/>
      <c r="Y31" s="1543"/>
      <c r="Z31" s="1543"/>
      <c r="AA31" s="1543"/>
      <c r="AB31" s="1543"/>
      <c r="AC31" s="1543"/>
      <c r="AD31" s="1543"/>
      <c r="AE31" s="1543"/>
      <c r="AF31" s="1543"/>
      <c r="AG31" s="1543"/>
      <c r="AH31" s="1543"/>
      <c r="AI31" s="1543"/>
      <c r="AJ31" s="1543"/>
      <c r="AK31" s="1543"/>
      <c r="AL31" s="1543"/>
      <c r="AM31" s="1543"/>
      <c r="AN31" s="1543"/>
      <c r="AO31" s="1543"/>
      <c r="AP31" s="1543"/>
      <c r="AQ31" s="1543"/>
      <c r="AR31" s="1543"/>
      <c r="AS31" s="1543"/>
      <c r="AT31" s="1543"/>
      <c r="AU31" s="1543"/>
      <c r="AV31" s="1543"/>
      <c r="AW31" s="1543"/>
      <c r="AX31" s="1543"/>
      <c r="AY31" s="1543"/>
      <c r="AZ31" s="1543"/>
      <c r="BA31" s="1543"/>
      <c r="BB31" s="1543"/>
      <c r="BC31" s="1543"/>
      <c r="BD31" s="1543"/>
      <c r="BE31" s="1544"/>
      <c r="BF31" s="695"/>
    </row>
    <row r="32" spans="1:58" x14ac:dyDescent="0.45">
      <c r="A32" s="695"/>
      <c r="B32" s="836" t="s">
        <v>89</v>
      </c>
      <c r="C32" s="837"/>
      <c r="D32" s="837"/>
      <c r="E32" s="840"/>
      <c r="F32" s="840" t="s">
        <v>748</v>
      </c>
      <c r="G32" s="1543"/>
      <c r="H32" s="1543">
        <f>H769</f>
        <v>25747.88</v>
      </c>
      <c r="I32" s="1543">
        <f t="shared" ref="I32:O32" si="0">I769</f>
        <v>25747.88</v>
      </c>
      <c r="J32" s="1543">
        <f t="shared" si="0"/>
        <v>25747.88</v>
      </c>
      <c r="K32" s="1543">
        <f t="shared" si="0"/>
        <v>25747.88</v>
      </c>
      <c r="L32" s="1543">
        <f t="shared" si="0"/>
        <v>25747.88</v>
      </c>
      <c r="M32" s="1543">
        <f t="shared" si="0"/>
        <v>25747.88</v>
      </c>
      <c r="N32" s="1543">
        <f t="shared" si="0"/>
        <v>25747.88</v>
      </c>
      <c r="O32" s="1543">
        <f t="shared" si="0"/>
        <v>25747.88</v>
      </c>
      <c r="P32" s="1543">
        <f t="shared" ref="P32:BE32" si="1">P769</f>
        <v>25747.88</v>
      </c>
      <c r="Q32" s="1543">
        <f t="shared" si="1"/>
        <v>25747.88</v>
      </c>
      <c r="R32" s="1543">
        <f t="shared" si="1"/>
        <v>25747.88</v>
      </c>
      <c r="S32" s="1543">
        <f t="shared" si="1"/>
        <v>25747.88</v>
      </c>
      <c r="T32" s="1543">
        <f t="shared" si="1"/>
        <v>25747.88</v>
      </c>
      <c r="U32" s="1543">
        <f t="shared" si="1"/>
        <v>25747.88</v>
      </c>
      <c r="V32" s="1543">
        <f t="shared" si="1"/>
        <v>25747.88</v>
      </c>
      <c r="W32" s="1543">
        <f t="shared" si="1"/>
        <v>25747.88</v>
      </c>
      <c r="X32" s="1543">
        <f t="shared" si="1"/>
        <v>25747.88</v>
      </c>
      <c r="Y32" s="1543">
        <f t="shared" si="1"/>
        <v>25747.88</v>
      </c>
      <c r="Z32" s="1543">
        <f t="shared" si="1"/>
        <v>25747.88</v>
      </c>
      <c r="AA32" s="1543">
        <f t="shared" si="1"/>
        <v>25747.88</v>
      </c>
      <c r="AB32" s="1543">
        <f t="shared" si="1"/>
        <v>25747.88</v>
      </c>
      <c r="AC32" s="1543">
        <f t="shared" si="1"/>
        <v>25747.88</v>
      </c>
      <c r="AD32" s="1543">
        <f t="shared" si="1"/>
        <v>25747.88</v>
      </c>
      <c r="AE32" s="1543">
        <f t="shared" si="1"/>
        <v>25747.88</v>
      </c>
      <c r="AF32" s="1543">
        <f t="shared" si="1"/>
        <v>25747.88</v>
      </c>
      <c r="AG32" s="1543">
        <f t="shared" si="1"/>
        <v>0</v>
      </c>
      <c r="AH32" s="1543">
        <f t="shared" si="1"/>
        <v>0</v>
      </c>
      <c r="AI32" s="1543">
        <f t="shared" si="1"/>
        <v>0</v>
      </c>
      <c r="AJ32" s="1543">
        <f t="shared" si="1"/>
        <v>0</v>
      </c>
      <c r="AK32" s="1543">
        <f t="shared" si="1"/>
        <v>0</v>
      </c>
      <c r="AL32" s="1543">
        <f t="shared" si="1"/>
        <v>0</v>
      </c>
      <c r="AM32" s="1543">
        <f t="shared" si="1"/>
        <v>0</v>
      </c>
      <c r="AN32" s="1543">
        <f t="shared" si="1"/>
        <v>0</v>
      </c>
      <c r="AO32" s="1543">
        <f t="shared" si="1"/>
        <v>0</v>
      </c>
      <c r="AP32" s="1543">
        <f t="shared" si="1"/>
        <v>0</v>
      </c>
      <c r="AQ32" s="1543">
        <f t="shared" si="1"/>
        <v>0</v>
      </c>
      <c r="AR32" s="1543">
        <f t="shared" si="1"/>
        <v>0</v>
      </c>
      <c r="AS32" s="1543">
        <f t="shared" si="1"/>
        <v>0</v>
      </c>
      <c r="AT32" s="1543">
        <f t="shared" si="1"/>
        <v>0</v>
      </c>
      <c r="AU32" s="1543">
        <f t="shared" si="1"/>
        <v>0</v>
      </c>
      <c r="AV32" s="1543">
        <f t="shared" si="1"/>
        <v>0</v>
      </c>
      <c r="AW32" s="1543">
        <f t="shared" si="1"/>
        <v>0</v>
      </c>
      <c r="AX32" s="1543">
        <f t="shared" si="1"/>
        <v>0</v>
      </c>
      <c r="AY32" s="1543">
        <f t="shared" si="1"/>
        <v>0</v>
      </c>
      <c r="AZ32" s="1543">
        <f t="shared" si="1"/>
        <v>0</v>
      </c>
      <c r="BA32" s="1543">
        <f t="shared" si="1"/>
        <v>0</v>
      </c>
      <c r="BB32" s="1543">
        <f t="shared" si="1"/>
        <v>0</v>
      </c>
      <c r="BC32" s="1543">
        <f t="shared" si="1"/>
        <v>0</v>
      </c>
      <c r="BD32" s="1543">
        <f t="shared" si="1"/>
        <v>0</v>
      </c>
      <c r="BE32" s="1544">
        <f t="shared" si="1"/>
        <v>0</v>
      </c>
      <c r="BF32" s="695"/>
    </row>
    <row r="33" spans="1:58" x14ac:dyDescent="0.45">
      <c r="A33" s="695"/>
      <c r="B33" s="836"/>
      <c r="C33" s="837"/>
      <c r="D33" s="837"/>
      <c r="E33" s="840"/>
      <c r="F33" s="840"/>
      <c r="G33" s="1543"/>
      <c r="H33" s="1543"/>
      <c r="I33" s="1543"/>
      <c r="J33" s="1543"/>
      <c r="K33" s="1543"/>
      <c r="L33" s="1543"/>
      <c r="M33" s="1543"/>
      <c r="N33" s="1543"/>
      <c r="O33" s="1543"/>
      <c r="P33" s="1543"/>
      <c r="Q33" s="1543"/>
      <c r="R33" s="1543"/>
      <c r="S33" s="1543"/>
      <c r="T33" s="1543"/>
      <c r="U33" s="1543"/>
      <c r="V33" s="1543"/>
      <c r="W33" s="1543"/>
      <c r="X33" s="1543"/>
      <c r="Y33" s="1543"/>
      <c r="Z33" s="1543"/>
      <c r="AA33" s="1543"/>
      <c r="AB33" s="1543"/>
      <c r="AC33" s="1543"/>
      <c r="AD33" s="1543"/>
      <c r="AE33" s="1543"/>
      <c r="AF33" s="1543"/>
      <c r="AG33" s="1543"/>
      <c r="AH33" s="1543"/>
      <c r="AI33" s="1543"/>
      <c r="AJ33" s="1543"/>
      <c r="AK33" s="1543"/>
      <c r="AL33" s="1543"/>
      <c r="AM33" s="1543"/>
      <c r="AN33" s="1543"/>
      <c r="AO33" s="1543"/>
      <c r="AP33" s="1543"/>
      <c r="AQ33" s="1543"/>
      <c r="AR33" s="1543"/>
      <c r="AS33" s="1543"/>
      <c r="AT33" s="1543"/>
      <c r="AU33" s="1543"/>
      <c r="AV33" s="1543"/>
      <c r="AW33" s="1543"/>
      <c r="AX33" s="1543"/>
      <c r="AY33" s="1543"/>
      <c r="AZ33" s="1543"/>
      <c r="BA33" s="1543"/>
      <c r="BB33" s="1543"/>
      <c r="BC33" s="1543"/>
      <c r="BD33" s="1543"/>
      <c r="BE33" s="1544"/>
      <c r="BF33" s="695"/>
    </row>
    <row r="34" spans="1:58" x14ac:dyDescent="0.45">
      <c r="A34" s="695"/>
      <c r="B34" s="836" t="s">
        <v>219</v>
      </c>
      <c r="C34" s="837"/>
      <c r="D34" s="837"/>
      <c r="E34" s="840"/>
      <c r="F34" s="840" t="s">
        <v>748</v>
      </c>
      <c r="G34" s="1543"/>
      <c r="H34" s="1543">
        <f t="shared" ref="H34:P34" si="2">H302</f>
        <v>0</v>
      </c>
      <c r="I34" s="1543">
        <f t="shared" si="2"/>
        <v>0</v>
      </c>
      <c r="J34" s="1543">
        <f t="shared" si="2"/>
        <v>0</v>
      </c>
      <c r="K34" s="1543">
        <f t="shared" si="2"/>
        <v>0</v>
      </c>
      <c r="L34" s="1543">
        <f t="shared" si="2"/>
        <v>0</v>
      </c>
      <c r="M34" s="1543">
        <f t="shared" si="2"/>
        <v>0</v>
      </c>
      <c r="N34" s="1543">
        <f t="shared" si="2"/>
        <v>0</v>
      </c>
      <c r="O34" s="1543">
        <f t="shared" si="2"/>
        <v>0</v>
      </c>
      <c r="P34" s="1543">
        <f t="shared" si="2"/>
        <v>0</v>
      </c>
      <c r="Q34" s="1543">
        <f t="shared" ref="Q34:BE34" si="3">Q302</f>
        <v>0</v>
      </c>
      <c r="R34" s="1543">
        <f t="shared" si="3"/>
        <v>0</v>
      </c>
      <c r="S34" s="1543">
        <f t="shared" si="3"/>
        <v>0</v>
      </c>
      <c r="T34" s="1543">
        <f t="shared" si="3"/>
        <v>0</v>
      </c>
      <c r="U34" s="1543">
        <f t="shared" si="3"/>
        <v>0</v>
      </c>
      <c r="V34" s="1543">
        <f t="shared" si="3"/>
        <v>0</v>
      </c>
      <c r="W34" s="1543">
        <f t="shared" si="3"/>
        <v>0</v>
      </c>
      <c r="X34" s="1543">
        <f t="shared" si="3"/>
        <v>0</v>
      </c>
      <c r="Y34" s="1543">
        <f t="shared" si="3"/>
        <v>0</v>
      </c>
      <c r="Z34" s="1543">
        <f t="shared" si="3"/>
        <v>0</v>
      </c>
      <c r="AA34" s="1543">
        <f t="shared" si="3"/>
        <v>0</v>
      </c>
      <c r="AB34" s="1543">
        <f t="shared" si="3"/>
        <v>0</v>
      </c>
      <c r="AC34" s="1543">
        <f t="shared" si="3"/>
        <v>0</v>
      </c>
      <c r="AD34" s="1543">
        <f t="shared" si="3"/>
        <v>0</v>
      </c>
      <c r="AE34" s="1543">
        <f t="shared" si="3"/>
        <v>0</v>
      </c>
      <c r="AF34" s="1543">
        <f t="shared" si="3"/>
        <v>0</v>
      </c>
      <c r="AG34" s="1543">
        <f t="shared" si="3"/>
        <v>0</v>
      </c>
      <c r="AH34" s="1543">
        <f t="shared" si="3"/>
        <v>0</v>
      </c>
      <c r="AI34" s="1543">
        <f t="shared" si="3"/>
        <v>0</v>
      </c>
      <c r="AJ34" s="1543">
        <f t="shared" si="3"/>
        <v>0</v>
      </c>
      <c r="AK34" s="1543">
        <f t="shared" si="3"/>
        <v>0</v>
      </c>
      <c r="AL34" s="1543">
        <f t="shared" si="3"/>
        <v>0</v>
      </c>
      <c r="AM34" s="1543">
        <f t="shared" si="3"/>
        <v>0</v>
      </c>
      <c r="AN34" s="1543">
        <f t="shared" si="3"/>
        <v>0</v>
      </c>
      <c r="AO34" s="1543">
        <f t="shared" si="3"/>
        <v>0</v>
      </c>
      <c r="AP34" s="1543">
        <f t="shared" si="3"/>
        <v>0</v>
      </c>
      <c r="AQ34" s="1543">
        <f t="shared" si="3"/>
        <v>0</v>
      </c>
      <c r="AR34" s="1543">
        <f t="shared" si="3"/>
        <v>0</v>
      </c>
      <c r="AS34" s="1543">
        <f t="shared" si="3"/>
        <v>0</v>
      </c>
      <c r="AT34" s="1543">
        <f t="shared" si="3"/>
        <v>0</v>
      </c>
      <c r="AU34" s="1543">
        <f t="shared" si="3"/>
        <v>0</v>
      </c>
      <c r="AV34" s="1543">
        <f t="shared" si="3"/>
        <v>0</v>
      </c>
      <c r="AW34" s="1543">
        <f t="shared" si="3"/>
        <v>0</v>
      </c>
      <c r="AX34" s="1543">
        <f t="shared" si="3"/>
        <v>0</v>
      </c>
      <c r="AY34" s="1543">
        <f t="shared" si="3"/>
        <v>0</v>
      </c>
      <c r="AZ34" s="1543">
        <f t="shared" si="3"/>
        <v>0</v>
      </c>
      <c r="BA34" s="1543">
        <f t="shared" si="3"/>
        <v>0</v>
      </c>
      <c r="BB34" s="1543">
        <f t="shared" si="3"/>
        <v>0</v>
      </c>
      <c r="BC34" s="1543">
        <f t="shared" si="3"/>
        <v>0</v>
      </c>
      <c r="BD34" s="1543">
        <f t="shared" si="3"/>
        <v>0</v>
      </c>
      <c r="BE34" s="1544">
        <f t="shared" si="3"/>
        <v>0</v>
      </c>
      <c r="BF34" s="695"/>
    </row>
    <row r="35" spans="1:58" x14ac:dyDescent="0.45">
      <c r="A35" s="695"/>
      <c r="B35" s="836" t="s">
        <v>160</v>
      </c>
      <c r="C35" s="837"/>
      <c r="D35" s="837"/>
      <c r="E35" s="840"/>
      <c r="F35" s="840" t="s">
        <v>748</v>
      </c>
      <c r="G35" s="1543"/>
      <c r="H35" s="1543">
        <f t="shared" ref="H35:P35" si="4">+H323</f>
        <v>0</v>
      </c>
      <c r="I35" s="1543">
        <f t="shared" si="4"/>
        <v>0</v>
      </c>
      <c r="J35" s="1543">
        <f t="shared" si="4"/>
        <v>0</v>
      </c>
      <c r="K35" s="1543">
        <f t="shared" si="4"/>
        <v>0</v>
      </c>
      <c r="L35" s="1543">
        <f t="shared" si="4"/>
        <v>0</v>
      </c>
      <c r="M35" s="1543">
        <f t="shared" si="4"/>
        <v>0</v>
      </c>
      <c r="N35" s="1543">
        <f t="shared" si="4"/>
        <v>0</v>
      </c>
      <c r="O35" s="1543">
        <f t="shared" si="4"/>
        <v>0</v>
      </c>
      <c r="P35" s="1543">
        <f t="shared" si="4"/>
        <v>0</v>
      </c>
      <c r="Q35" s="1543">
        <f t="shared" ref="Q35:BE35" si="5">+Q323</f>
        <v>0</v>
      </c>
      <c r="R35" s="1543">
        <f t="shared" si="5"/>
        <v>0</v>
      </c>
      <c r="S35" s="1543">
        <f t="shared" si="5"/>
        <v>0</v>
      </c>
      <c r="T35" s="1543">
        <f t="shared" si="5"/>
        <v>0</v>
      </c>
      <c r="U35" s="1543">
        <f t="shared" si="5"/>
        <v>0</v>
      </c>
      <c r="V35" s="1543">
        <f t="shared" si="5"/>
        <v>0</v>
      </c>
      <c r="W35" s="1543">
        <f t="shared" si="5"/>
        <v>0</v>
      </c>
      <c r="X35" s="1543">
        <f t="shared" si="5"/>
        <v>0</v>
      </c>
      <c r="Y35" s="1543">
        <f t="shared" si="5"/>
        <v>0</v>
      </c>
      <c r="Z35" s="1543">
        <f t="shared" si="5"/>
        <v>0</v>
      </c>
      <c r="AA35" s="1543">
        <f t="shared" si="5"/>
        <v>0</v>
      </c>
      <c r="AB35" s="1543">
        <f t="shared" si="5"/>
        <v>0</v>
      </c>
      <c r="AC35" s="1543">
        <f t="shared" si="5"/>
        <v>0</v>
      </c>
      <c r="AD35" s="1543">
        <f t="shared" si="5"/>
        <v>0</v>
      </c>
      <c r="AE35" s="1543">
        <f t="shared" si="5"/>
        <v>0</v>
      </c>
      <c r="AF35" s="1543">
        <f t="shared" si="5"/>
        <v>0</v>
      </c>
      <c r="AG35" s="1543">
        <f t="shared" si="5"/>
        <v>0</v>
      </c>
      <c r="AH35" s="1543">
        <f t="shared" si="5"/>
        <v>0</v>
      </c>
      <c r="AI35" s="1543">
        <f t="shared" si="5"/>
        <v>0</v>
      </c>
      <c r="AJ35" s="1543">
        <f t="shared" si="5"/>
        <v>0</v>
      </c>
      <c r="AK35" s="1543">
        <f t="shared" si="5"/>
        <v>0</v>
      </c>
      <c r="AL35" s="1543">
        <f t="shared" si="5"/>
        <v>0</v>
      </c>
      <c r="AM35" s="1543">
        <f t="shared" si="5"/>
        <v>0</v>
      </c>
      <c r="AN35" s="1543">
        <f t="shared" si="5"/>
        <v>0</v>
      </c>
      <c r="AO35" s="1543">
        <f t="shared" si="5"/>
        <v>0</v>
      </c>
      <c r="AP35" s="1543">
        <f t="shared" si="5"/>
        <v>0</v>
      </c>
      <c r="AQ35" s="1543">
        <f t="shared" si="5"/>
        <v>0</v>
      </c>
      <c r="AR35" s="1543">
        <f t="shared" si="5"/>
        <v>0</v>
      </c>
      <c r="AS35" s="1543">
        <f t="shared" si="5"/>
        <v>0</v>
      </c>
      <c r="AT35" s="1543">
        <f t="shared" si="5"/>
        <v>0</v>
      </c>
      <c r="AU35" s="1543">
        <f t="shared" si="5"/>
        <v>0</v>
      </c>
      <c r="AV35" s="1543">
        <f t="shared" si="5"/>
        <v>0</v>
      </c>
      <c r="AW35" s="1543">
        <f t="shared" si="5"/>
        <v>0</v>
      </c>
      <c r="AX35" s="1543">
        <f t="shared" si="5"/>
        <v>0</v>
      </c>
      <c r="AY35" s="1543">
        <f t="shared" si="5"/>
        <v>0</v>
      </c>
      <c r="AZ35" s="1543">
        <f t="shared" si="5"/>
        <v>0</v>
      </c>
      <c r="BA35" s="1543">
        <f t="shared" si="5"/>
        <v>0</v>
      </c>
      <c r="BB35" s="1543">
        <f t="shared" si="5"/>
        <v>0</v>
      </c>
      <c r="BC35" s="1543">
        <f t="shared" si="5"/>
        <v>0</v>
      </c>
      <c r="BD35" s="1543">
        <f t="shared" si="5"/>
        <v>0</v>
      </c>
      <c r="BE35" s="1544">
        <f t="shared" si="5"/>
        <v>0</v>
      </c>
      <c r="BF35" s="695"/>
    </row>
    <row r="36" spans="1:58" x14ac:dyDescent="0.45">
      <c r="A36" s="695"/>
      <c r="B36" s="836" t="s">
        <v>161</v>
      </c>
      <c r="C36" s="837"/>
      <c r="D36" s="837"/>
      <c r="E36" s="840"/>
      <c r="F36" s="840" t="s">
        <v>748</v>
      </c>
      <c r="G36" s="1543"/>
      <c r="H36" s="1543">
        <f t="shared" ref="H36:P36" si="6">+H344</f>
        <v>32828.547000000006</v>
      </c>
      <c r="I36" s="1543">
        <f t="shared" si="6"/>
        <v>31078.8362329107</v>
      </c>
      <c r="J36" s="1543">
        <f t="shared" si="6"/>
        <v>29210.145133659338</v>
      </c>
      <c r="K36" s="1543">
        <f t="shared" si="6"/>
        <v>27214.383039658878</v>
      </c>
      <c r="L36" s="1543">
        <f t="shared" si="6"/>
        <v>25082.909123266389</v>
      </c>
      <c r="M36" s="1543">
        <f t="shared" si="6"/>
        <v>22806.494980559204</v>
      </c>
      <c r="N36" s="1543">
        <f t="shared" si="6"/>
        <v>20375.284676147941</v>
      </c>
      <c r="O36" s="1543">
        <f t="shared" si="6"/>
        <v>17778.752071036706</v>
      </c>
      <c r="P36" s="1543">
        <f t="shared" si="6"/>
        <v>15005.655248777908</v>
      </c>
      <c r="Q36" s="1543">
        <f t="shared" ref="Q36:BE36" si="7">+Q344</f>
        <v>12043.987842605515</v>
      </c>
      <c r="R36" s="1543">
        <f t="shared" si="7"/>
        <v>8880.9270528133929</v>
      </c>
      <c r="S36" s="1543">
        <f t="shared" si="7"/>
        <v>5502.7781293154121</v>
      </c>
      <c r="T36" s="1543">
        <f t="shared" si="7"/>
        <v>0</v>
      </c>
      <c r="U36" s="1543">
        <f t="shared" si="7"/>
        <v>0</v>
      </c>
      <c r="V36" s="1543">
        <f t="shared" si="7"/>
        <v>0</v>
      </c>
      <c r="W36" s="1543">
        <f t="shared" si="7"/>
        <v>0</v>
      </c>
      <c r="X36" s="1543">
        <f t="shared" si="7"/>
        <v>0</v>
      </c>
      <c r="Y36" s="1543">
        <f t="shared" si="7"/>
        <v>0</v>
      </c>
      <c r="Z36" s="1543">
        <f t="shared" si="7"/>
        <v>0</v>
      </c>
      <c r="AA36" s="1543">
        <f t="shared" si="7"/>
        <v>0</v>
      </c>
      <c r="AB36" s="1543">
        <f t="shared" si="7"/>
        <v>0</v>
      </c>
      <c r="AC36" s="1543">
        <f t="shared" si="7"/>
        <v>0</v>
      </c>
      <c r="AD36" s="1543">
        <f t="shared" si="7"/>
        <v>0</v>
      </c>
      <c r="AE36" s="1543">
        <f t="shared" si="7"/>
        <v>0</v>
      </c>
      <c r="AF36" s="1543">
        <f t="shared" si="7"/>
        <v>0</v>
      </c>
      <c r="AG36" s="1543">
        <f t="shared" si="7"/>
        <v>0</v>
      </c>
      <c r="AH36" s="1543">
        <f t="shared" si="7"/>
        <v>0</v>
      </c>
      <c r="AI36" s="1543">
        <f t="shared" si="7"/>
        <v>0</v>
      </c>
      <c r="AJ36" s="1543">
        <f t="shared" si="7"/>
        <v>0</v>
      </c>
      <c r="AK36" s="1543">
        <f t="shared" si="7"/>
        <v>0</v>
      </c>
      <c r="AL36" s="1543">
        <f t="shared" si="7"/>
        <v>0</v>
      </c>
      <c r="AM36" s="1543">
        <f t="shared" si="7"/>
        <v>0</v>
      </c>
      <c r="AN36" s="1543">
        <f t="shared" si="7"/>
        <v>0</v>
      </c>
      <c r="AO36" s="1543">
        <f t="shared" si="7"/>
        <v>0</v>
      </c>
      <c r="AP36" s="1543">
        <f t="shared" si="7"/>
        <v>0</v>
      </c>
      <c r="AQ36" s="1543">
        <f t="shared" si="7"/>
        <v>0</v>
      </c>
      <c r="AR36" s="1543">
        <f t="shared" si="7"/>
        <v>0</v>
      </c>
      <c r="AS36" s="1543">
        <f t="shared" si="7"/>
        <v>0</v>
      </c>
      <c r="AT36" s="1543">
        <f t="shared" si="7"/>
        <v>0</v>
      </c>
      <c r="AU36" s="1543">
        <f t="shared" si="7"/>
        <v>0</v>
      </c>
      <c r="AV36" s="1543">
        <f t="shared" si="7"/>
        <v>0</v>
      </c>
      <c r="AW36" s="1543">
        <f t="shared" si="7"/>
        <v>0</v>
      </c>
      <c r="AX36" s="1543">
        <f t="shared" si="7"/>
        <v>0</v>
      </c>
      <c r="AY36" s="1543">
        <f t="shared" si="7"/>
        <v>0</v>
      </c>
      <c r="AZ36" s="1543">
        <f t="shared" si="7"/>
        <v>0</v>
      </c>
      <c r="BA36" s="1543">
        <f t="shared" si="7"/>
        <v>0</v>
      </c>
      <c r="BB36" s="1543">
        <f t="shared" si="7"/>
        <v>0</v>
      </c>
      <c r="BC36" s="1543">
        <f t="shared" si="7"/>
        <v>0</v>
      </c>
      <c r="BD36" s="1543">
        <f t="shared" si="7"/>
        <v>0</v>
      </c>
      <c r="BE36" s="1544">
        <f t="shared" si="7"/>
        <v>0</v>
      </c>
      <c r="BF36" s="695"/>
    </row>
    <row r="37" spans="1:58" x14ac:dyDescent="0.45">
      <c r="A37" s="695"/>
      <c r="B37" s="836" t="s">
        <v>120</v>
      </c>
      <c r="C37" s="837"/>
      <c r="D37" s="837"/>
      <c r="E37" s="840"/>
      <c r="F37" s="840" t="s">
        <v>748</v>
      </c>
      <c r="G37" s="1543"/>
      <c r="H37" s="1543">
        <f t="shared" ref="H37:P37" si="8">(H313+H334+H355)</f>
        <v>0</v>
      </c>
      <c r="I37" s="1543">
        <f t="shared" si="8"/>
        <v>0</v>
      </c>
      <c r="J37" s="1543">
        <f t="shared" si="8"/>
        <v>0</v>
      </c>
      <c r="K37" s="1543">
        <f t="shared" si="8"/>
        <v>0</v>
      </c>
      <c r="L37" s="1543">
        <f t="shared" si="8"/>
        <v>0</v>
      </c>
      <c r="M37" s="1543">
        <f t="shared" si="8"/>
        <v>0</v>
      </c>
      <c r="N37" s="1543">
        <f t="shared" si="8"/>
        <v>0</v>
      </c>
      <c r="O37" s="1543">
        <f t="shared" si="8"/>
        <v>0</v>
      </c>
      <c r="P37" s="1543">
        <f t="shared" si="8"/>
        <v>0</v>
      </c>
      <c r="Q37" s="1543">
        <f t="shared" ref="Q37:BE37" si="9">(Q313+Q334+Q355)</f>
        <v>0</v>
      </c>
      <c r="R37" s="1543">
        <f t="shared" si="9"/>
        <v>0</v>
      </c>
      <c r="S37" s="1543">
        <f t="shared" si="9"/>
        <v>0</v>
      </c>
      <c r="T37" s="1543">
        <f t="shared" si="9"/>
        <v>0</v>
      </c>
      <c r="U37" s="1543">
        <f t="shared" si="9"/>
        <v>0</v>
      </c>
      <c r="V37" s="1543">
        <f t="shared" si="9"/>
        <v>0</v>
      </c>
      <c r="W37" s="1543">
        <f t="shared" si="9"/>
        <v>0</v>
      </c>
      <c r="X37" s="1543">
        <f t="shared" si="9"/>
        <v>0</v>
      </c>
      <c r="Y37" s="1543">
        <f t="shared" si="9"/>
        <v>0</v>
      </c>
      <c r="Z37" s="1543">
        <f t="shared" si="9"/>
        <v>0</v>
      </c>
      <c r="AA37" s="1543">
        <f t="shared" si="9"/>
        <v>0</v>
      </c>
      <c r="AB37" s="1543">
        <f t="shared" si="9"/>
        <v>0</v>
      </c>
      <c r="AC37" s="1543">
        <f t="shared" si="9"/>
        <v>0</v>
      </c>
      <c r="AD37" s="1543">
        <f t="shared" si="9"/>
        <v>0</v>
      </c>
      <c r="AE37" s="1543">
        <f t="shared" si="9"/>
        <v>0</v>
      </c>
      <c r="AF37" s="1543">
        <f t="shared" si="9"/>
        <v>0</v>
      </c>
      <c r="AG37" s="1543">
        <f t="shared" si="9"/>
        <v>0</v>
      </c>
      <c r="AH37" s="1543">
        <f t="shared" si="9"/>
        <v>0</v>
      </c>
      <c r="AI37" s="1543">
        <f t="shared" si="9"/>
        <v>0</v>
      </c>
      <c r="AJ37" s="1543">
        <f t="shared" si="9"/>
        <v>0</v>
      </c>
      <c r="AK37" s="1543">
        <f t="shared" si="9"/>
        <v>0</v>
      </c>
      <c r="AL37" s="1543">
        <f t="shared" si="9"/>
        <v>0</v>
      </c>
      <c r="AM37" s="1543">
        <f t="shared" si="9"/>
        <v>0</v>
      </c>
      <c r="AN37" s="1543">
        <f t="shared" si="9"/>
        <v>0</v>
      </c>
      <c r="AO37" s="1543">
        <f t="shared" si="9"/>
        <v>0</v>
      </c>
      <c r="AP37" s="1543">
        <f t="shared" si="9"/>
        <v>0</v>
      </c>
      <c r="AQ37" s="1543">
        <f t="shared" si="9"/>
        <v>0</v>
      </c>
      <c r="AR37" s="1543">
        <f t="shared" si="9"/>
        <v>0</v>
      </c>
      <c r="AS37" s="1543">
        <f t="shared" si="9"/>
        <v>0</v>
      </c>
      <c r="AT37" s="1543">
        <f t="shared" si="9"/>
        <v>0</v>
      </c>
      <c r="AU37" s="1543">
        <f t="shared" si="9"/>
        <v>0</v>
      </c>
      <c r="AV37" s="1543">
        <f t="shared" si="9"/>
        <v>0</v>
      </c>
      <c r="AW37" s="1543">
        <f t="shared" si="9"/>
        <v>0</v>
      </c>
      <c r="AX37" s="1543">
        <f t="shared" si="9"/>
        <v>0</v>
      </c>
      <c r="AY37" s="1543">
        <f t="shared" si="9"/>
        <v>0</v>
      </c>
      <c r="AZ37" s="1543">
        <f t="shared" si="9"/>
        <v>0</v>
      </c>
      <c r="BA37" s="1543">
        <f t="shared" si="9"/>
        <v>0</v>
      </c>
      <c r="BB37" s="1543">
        <f t="shared" si="9"/>
        <v>0</v>
      </c>
      <c r="BC37" s="1543">
        <f t="shared" si="9"/>
        <v>0</v>
      </c>
      <c r="BD37" s="1543">
        <f t="shared" si="9"/>
        <v>0</v>
      </c>
      <c r="BE37" s="1544">
        <f t="shared" si="9"/>
        <v>0</v>
      </c>
      <c r="BF37" s="695"/>
    </row>
    <row r="38" spans="1:58" x14ac:dyDescent="0.45">
      <c r="A38" s="695"/>
      <c r="B38" s="836" t="s">
        <v>162</v>
      </c>
      <c r="C38" s="837"/>
      <c r="D38" s="837"/>
      <c r="E38" s="840"/>
      <c r="F38" s="840" t="s">
        <v>748</v>
      </c>
      <c r="G38" s="1543"/>
      <c r="H38" s="1543">
        <f t="shared" ref="H38:P38" si="10">(H335+H336)</f>
        <v>0</v>
      </c>
      <c r="I38" s="1543">
        <f t="shared" si="10"/>
        <v>0</v>
      </c>
      <c r="J38" s="1543">
        <f t="shared" si="10"/>
        <v>0</v>
      </c>
      <c r="K38" s="1543">
        <f t="shared" si="10"/>
        <v>0</v>
      </c>
      <c r="L38" s="1543">
        <f t="shared" si="10"/>
        <v>0</v>
      </c>
      <c r="M38" s="1543">
        <f t="shared" si="10"/>
        <v>0</v>
      </c>
      <c r="N38" s="1543">
        <f t="shared" si="10"/>
        <v>0</v>
      </c>
      <c r="O38" s="1543">
        <f t="shared" si="10"/>
        <v>0</v>
      </c>
      <c r="P38" s="1543">
        <f t="shared" si="10"/>
        <v>0</v>
      </c>
      <c r="Q38" s="1543">
        <f t="shared" ref="Q38:BE38" si="11">(Q335+Q336)</f>
        <v>0</v>
      </c>
      <c r="R38" s="1543">
        <f t="shared" si="11"/>
        <v>0</v>
      </c>
      <c r="S38" s="1543">
        <f t="shared" si="11"/>
        <v>0</v>
      </c>
      <c r="T38" s="1543">
        <f t="shared" si="11"/>
        <v>0</v>
      </c>
      <c r="U38" s="1543">
        <f t="shared" si="11"/>
        <v>0</v>
      </c>
      <c r="V38" s="1543">
        <f t="shared" si="11"/>
        <v>0</v>
      </c>
      <c r="W38" s="1543">
        <f t="shared" si="11"/>
        <v>0</v>
      </c>
      <c r="X38" s="1543">
        <f t="shared" si="11"/>
        <v>0</v>
      </c>
      <c r="Y38" s="1543">
        <f t="shared" si="11"/>
        <v>0</v>
      </c>
      <c r="Z38" s="1543">
        <f t="shared" si="11"/>
        <v>0</v>
      </c>
      <c r="AA38" s="1543">
        <f t="shared" si="11"/>
        <v>0</v>
      </c>
      <c r="AB38" s="1543">
        <f t="shared" si="11"/>
        <v>0</v>
      </c>
      <c r="AC38" s="1543">
        <f t="shared" si="11"/>
        <v>0</v>
      </c>
      <c r="AD38" s="1543">
        <f t="shared" si="11"/>
        <v>0</v>
      </c>
      <c r="AE38" s="1543">
        <f t="shared" si="11"/>
        <v>0</v>
      </c>
      <c r="AF38" s="1543">
        <f t="shared" si="11"/>
        <v>0</v>
      </c>
      <c r="AG38" s="1543">
        <f t="shared" si="11"/>
        <v>0</v>
      </c>
      <c r="AH38" s="1543">
        <f t="shared" si="11"/>
        <v>0</v>
      </c>
      <c r="AI38" s="1543">
        <f t="shared" si="11"/>
        <v>0</v>
      </c>
      <c r="AJ38" s="1543">
        <f t="shared" si="11"/>
        <v>0</v>
      </c>
      <c r="AK38" s="1543">
        <f t="shared" si="11"/>
        <v>0</v>
      </c>
      <c r="AL38" s="1543">
        <f t="shared" si="11"/>
        <v>0</v>
      </c>
      <c r="AM38" s="1543">
        <f t="shared" si="11"/>
        <v>0</v>
      </c>
      <c r="AN38" s="1543">
        <f t="shared" si="11"/>
        <v>0</v>
      </c>
      <c r="AO38" s="1543">
        <f t="shared" si="11"/>
        <v>0</v>
      </c>
      <c r="AP38" s="1543">
        <f t="shared" si="11"/>
        <v>0</v>
      </c>
      <c r="AQ38" s="1543">
        <f t="shared" si="11"/>
        <v>0</v>
      </c>
      <c r="AR38" s="1543">
        <f t="shared" si="11"/>
        <v>0</v>
      </c>
      <c r="AS38" s="1543">
        <f t="shared" si="11"/>
        <v>0</v>
      </c>
      <c r="AT38" s="1543">
        <f t="shared" si="11"/>
        <v>0</v>
      </c>
      <c r="AU38" s="1543">
        <f t="shared" si="11"/>
        <v>0</v>
      </c>
      <c r="AV38" s="1543">
        <f t="shared" si="11"/>
        <v>0</v>
      </c>
      <c r="AW38" s="1543">
        <f t="shared" si="11"/>
        <v>0</v>
      </c>
      <c r="AX38" s="1543">
        <f t="shared" si="11"/>
        <v>0</v>
      </c>
      <c r="AY38" s="1543">
        <f t="shared" si="11"/>
        <v>0</v>
      </c>
      <c r="AZ38" s="1543">
        <f t="shared" si="11"/>
        <v>0</v>
      </c>
      <c r="BA38" s="1543">
        <f t="shared" si="11"/>
        <v>0</v>
      </c>
      <c r="BB38" s="1543">
        <f t="shared" si="11"/>
        <v>0</v>
      </c>
      <c r="BC38" s="1543">
        <f t="shared" si="11"/>
        <v>0</v>
      </c>
      <c r="BD38" s="1543">
        <f t="shared" si="11"/>
        <v>0</v>
      </c>
      <c r="BE38" s="1544">
        <f t="shared" si="11"/>
        <v>0</v>
      </c>
      <c r="BF38" s="695"/>
    </row>
    <row r="39" spans="1:58" x14ac:dyDescent="0.45">
      <c r="A39" s="695"/>
      <c r="B39" s="836" t="s">
        <v>121</v>
      </c>
      <c r="C39" s="837"/>
      <c r="D39" s="837"/>
      <c r="E39" s="840"/>
      <c r="F39" s="840" t="s">
        <v>748</v>
      </c>
      <c r="G39" s="1543"/>
      <c r="H39" s="1543">
        <f t="shared" ref="H39:P39" si="12">(H365+H366)</f>
        <v>0</v>
      </c>
      <c r="I39" s="1543">
        <f t="shared" si="12"/>
        <v>0</v>
      </c>
      <c r="J39" s="1543">
        <f t="shared" si="12"/>
        <v>0</v>
      </c>
      <c r="K39" s="1543">
        <f t="shared" si="12"/>
        <v>0</v>
      </c>
      <c r="L39" s="1543">
        <f t="shared" si="12"/>
        <v>0</v>
      </c>
      <c r="M39" s="1543">
        <f t="shared" si="12"/>
        <v>0</v>
      </c>
      <c r="N39" s="1543">
        <f t="shared" si="12"/>
        <v>0</v>
      </c>
      <c r="O39" s="1543">
        <f t="shared" si="12"/>
        <v>0</v>
      </c>
      <c r="P39" s="1543">
        <f t="shared" si="12"/>
        <v>0</v>
      </c>
      <c r="Q39" s="1543">
        <f t="shared" ref="Q39:BE39" si="13">(Q365+Q366)</f>
        <v>0</v>
      </c>
      <c r="R39" s="1543">
        <f t="shared" si="13"/>
        <v>0</v>
      </c>
      <c r="S39" s="1543">
        <f t="shared" si="13"/>
        <v>0</v>
      </c>
      <c r="T39" s="1543">
        <f t="shared" si="13"/>
        <v>0</v>
      </c>
      <c r="U39" s="1543">
        <f t="shared" si="13"/>
        <v>0</v>
      </c>
      <c r="V39" s="1543">
        <f t="shared" si="13"/>
        <v>0</v>
      </c>
      <c r="W39" s="1543">
        <f t="shared" si="13"/>
        <v>0</v>
      </c>
      <c r="X39" s="1543">
        <f t="shared" si="13"/>
        <v>0</v>
      </c>
      <c r="Y39" s="1543">
        <f t="shared" si="13"/>
        <v>0</v>
      </c>
      <c r="Z39" s="1543">
        <f t="shared" si="13"/>
        <v>0</v>
      </c>
      <c r="AA39" s="1543">
        <f t="shared" si="13"/>
        <v>0</v>
      </c>
      <c r="AB39" s="1543">
        <f t="shared" si="13"/>
        <v>0</v>
      </c>
      <c r="AC39" s="1543">
        <f t="shared" si="13"/>
        <v>0</v>
      </c>
      <c r="AD39" s="1543">
        <f t="shared" si="13"/>
        <v>0</v>
      </c>
      <c r="AE39" s="1543">
        <f t="shared" si="13"/>
        <v>0</v>
      </c>
      <c r="AF39" s="1543">
        <f t="shared" si="13"/>
        <v>0</v>
      </c>
      <c r="AG39" s="1543">
        <f t="shared" si="13"/>
        <v>0</v>
      </c>
      <c r="AH39" s="1543">
        <f t="shared" si="13"/>
        <v>0</v>
      </c>
      <c r="AI39" s="1543">
        <f t="shared" si="13"/>
        <v>0</v>
      </c>
      <c r="AJ39" s="1543">
        <f t="shared" si="13"/>
        <v>0</v>
      </c>
      <c r="AK39" s="1543">
        <f t="shared" si="13"/>
        <v>0</v>
      </c>
      <c r="AL39" s="1543">
        <f t="shared" si="13"/>
        <v>0</v>
      </c>
      <c r="AM39" s="1543">
        <f t="shared" si="13"/>
        <v>0</v>
      </c>
      <c r="AN39" s="1543">
        <f t="shared" si="13"/>
        <v>0</v>
      </c>
      <c r="AO39" s="1543">
        <f t="shared" si="13"/>
        <v>0</v>
      </c>
      <c r="AP39" s="1543">
        <f t="shared" si="13"/>
        <v>0</v>
      </c>
      <c r="AQ39" s="1543">
        <f t="shared" si="13"/>
        <v>0</v>
      </c>
      <c r="AR39" s="1543">
        <f t="shared" si="13"/>
        <v>0</v>
      </c>
      <c r="AS39" s="1543">
        <f t="shared" si="13"/>
        <v>0</v>
      </c>
      <c r="AT39" s="1543">
        <f t="shared" si="13"/>
        <v>0</v>
      </c>
      <c r="AU39" s="1543">
        <f t="shared" si="13"/>
        <v>0</v>
      </c>
      <c r="AV39" s="1543">
        <f t="shared" si="13"/>
        <v>0</v>
      </c>
      <c r="AW39" s="1543">
        <f t="shared" si="13"/>
        <v>0</v>
      </c>
      <c r="AX39" s="1543">
        <f t="shared" si="13"/>
        <v>0</v>
      </c>
      <c r="AY39" s="1543">
        <f t="shared" si="13"/>
        <v>0</v>
      </c>
      <c r="AZ39" s="1543">
        <f t="shared" si="13"/>
        <v>0</v>
      </c>
      <c r="BA39" s="1543">
        <f t="shared" si="13"/>
        <v>0</v>
      </c>
      <c r="BB39" s="1543">
        <f t="shared" si="13"/>
        <v>0</v>
      </c>
      <c r="BC39" s="1543">
        <f t="shared" si="13"/>
        <v>0</v>
      </c>
      <c r="BD39" s="1543">
        <f t="shared" si="13"/>
        <v>0</v>
      </c>
      <c r="BE39" s="1544">
        <f t="shared" si="13"/>
        <v>0</v>
      </c>
      <c r="BF39" s="695"/>
    </row>
    <row r="40" spans="1:58" x14ac:dyDescent="0.45">
      <c r="A40" s="695"/>
      <c r="B40" s="836"/>
      <c r="C40" s="837"/>
      <c r="D40" s="837"/>
      <c r="E40" s="840"/>
      <c r="F40" s="840"/>
      <c r="G40" s="1543"/>
      <c r="H40" s="1543"/>
      <c r="I40" s="1543"/>
      <c r="J40" s="1543"/>
      <c r="K40" s="1543"/>
      <c r="L40" s="1543"/>
      <c r="M40" s="1543"/>
      <c r="N40" s="1543"/>
      <c r="O40" s="1543"/>
      <c r="P40" s="1543"/>
      <c r="Q40" s="1543"/>
      <c r="R40" s="1543"/>
      <c r="S40" s="1543"/>
      <c r="T40" s="1543"/>
      <c r="U40" s="1543"/>
      <c r="V40" s="1543"/>
      <c r="W40" s="1543"/>
      <c r="X40" s="1543"/>
      <c r="Y40" s="1543"/>
      <c r="Z40" s="1543"/>
      <c r="AA40" s="1543"/>
      <c r="AB40" s="1543"/>
      <c r="AC40" s="1543"/>
      <c r="AD40" s="1543"/>
      <c r="AE40" s="1543"/>
      <c r="AF40" s="1543"/>
      <c r="AG40" s="1543"/>
      <c r="AH40" s="1543"/>
      <c r="AI40" s="1543"/>
      <c r="AJ40" s="1543"/>
      <c r="AK40" s="1543"/>
      <c r="AL40" s="1543"/>
      <c r="AM40" s="1543"/>
      <c r="AN40" s="1543"/>
      <c r="AO40" s="1543"/>
      <c r="AP40" s="1543"/>
      <c r="AQ40" s="1543"/>
      <c r="AR40" s="1543"/>
      <c r="AS40" s="1543"/>
      <c r="AT40" s="1543"/>
      <c r="AU40" s="1543"/>
      <c r="AV40" s="1543"/>
      <c r="AW40" s="1543"/>
      <c r="AX40" s="1543"/>
      <c r="AY40" s="1543"/>
      <c r="AZ40" s="1543"/>
      <c r="BA40" s="1543"/>
      <c r="BB40" s="1543"/>
      <c r="BC40" s="1543"/>
      <c r="BD40" s="1543"/>
      <c r="BE40" s="1544"/>
      <c r="BF40" s="695"/>
    </row>
    <row r="41" spans="1:58" x14ac:dyDescent="0.45">
      <c r="A41" s="695"/>
      <c r="B41" s="836"/>
      <c r="C41" s="837"/>
      <c r="D41" s="837"/>
      <c r="E41" s="840"/>
      <c r="F41" s="840"/>
      <c r="G41" s="1543"/>
      <c r="H41" s="1543"/>
      <c r="I41" s="1543"/>
      <c r="J41" s="1543"/>
      <c r="K41" s="1543"/>
      <c r="L41" s="1543"/>
      <c r="M41" s="1543"/>
      <c r="N41" s="1543"/>
      <c r="O41" s="1543"/>
      <c r="P41" s="1543"/>
      <c r="Q41" s="1543"/>
      <c r="R41" s="1543"/>
      <c r="S41" s="1543"/>
      <c r="T41" s="1543"/>
      <c r="U41" s="1543"/>
      <c r="V41" s="1543"/>
      <c r="W41" s="1543"/>
      <c r="X41" s="1543"/>
      <c r="Y41" s="1543"/>
      <c r="Z41" s="1543"/>
      <c r="AA41" s="1543"/>
      <c r="AB41" s="1543"/>
      <c r="AC41" s="1543"/>
      <c r="AD41" s="1543"/>
      <c r="AE41" s="1543"/>
      <c r="AF41" s="1543"/>
      <c r="AG41" s="1543"/>
      <c r="AH41" s="1543"/>
      <c r="AI41" s="1543"/>
      <c r="AJ41" s="1543"/>
      <c r="AK41" s="1543"/>
      <c r="AL41" s="1543"/>
      <c r="AM41" s="1543"/>
      <c r="AN41" s="1543"/>
      <c r="AO41" s="1543"/>
      <c r="AP41" s="1543"/>
      <c r="AQ41" s="1543"/>
      <c r="AR41" s="1543"/>
      <c r="AS41" s="1543"/>
      <c r="AT41" s="1543"/>
      <c r="AU41" s="1543"/>
      <c r="AV41" s="1543"/>
      <c r="AW41" s="1543"/>
      <c r="AX41" s="1543"/>
      <c r="AY41" s="1543"/>
      <c r="AZ41" s="1543"/>
      <c r="BA41" s="1543"/>
      <c r="BB41" s="1543"/>
      <c r="BC41" s="1543"/>
      <c r="BD41" s="1543"/>
      <c r="BE41" s="1544"/>
      <c r="BF41" s="695"/>
    </row>
    <row r="42" spans="1:58" ht="13.15" x14ac:dyDescent="0.45">
      <c r="A42" s="695"/>
      <c r="B42" s="849" t="s">
        <v>460</v>
      </c>
      <c r="C42" s="837"/>
      <c r="D42" s="837"/>
      <c r="E42" s="840"/>
      <c r="F42" s="840"/>
      <c r="G42" s="1543"/>
      <c r="H42" s="1543"/>
      <c r="I42" s="1543"/>
      <c r="J42" s="1543"/>
      <c r="K42" s="1543"/>
      <c r="L42" s="1543"/>
      <c r="M42" s="1543"/>
      <c r="N42" s="1543"/>
      <c r="O42" s="1543"/>
      <c r="P42" s="1543"/>
      <c r="Q42" s="1543"/>
      <c r="R42" s="1543"/>
      <c r="S42" s="1543"/>
      <c r="T42" s="1543"/>
      <c r="U42" s="1543"/>
      <c r="V42" s="1543"/>
      <c r="W42" s="1543"/>
      <c r="X42" s="1543"/>
      <c r="Y42" s="1543"/>
      <c r="Z42" s="1543"/>
      <c r="AA42" s="1543"/>
      <c r="AB42" s="1543"/>
      <c r="AC42" s="1543"/>
      <c r="AD42" s="1543"/>
      <c r="AE42" s="1543"/>
      <c r="AF42" s="1543"/>
      <c r="AG42" s="1543"/>
      <c r="AH42" s="1543"/>
      <c r="AI42" s="1543"/>
      <c r="AJ42" s="1543"/>
      <c r="AK42" s="1543"/>
      <c r="AL42" s="1543"/>
      <c r="AM42" s="1543"/>
      <c r="AN42" s="1543"/>
      <c r="AO42" s="1543"/>
      <c r="AP42" s="1543"/>
      <c r="AQ42" s="1543"/>
      <c r="AR42" s="1543"/>
      <c r="AS42" s="1543"/>
      <c r="AT42" s="1543"/>
      <c r="AU42" s="1543"/>
      <c r="AV42" s="1543"/>
      <c r="AW42" s="1543"/>
      <c r="AX42" s="1543"/>
      <c r="AY42" s="1543"/>
      <c r="AZ42" s="1543"/>
      <c r="BA42" s="1543"/>
      <c r="BB42" s="1543"/>
      <c r="BC42" s="1543"/>
      <c r="BD42" s="1543"/>
      <c r="BE42" s="1544"/>
      <c r="BF42" s="695"/>
    </row>
    <row r="43" spans="1:58" x14ac:dyDescent="0.45">
      <c r="A43" s="695"/>
      <c r="B43" s="836"/>
      <c r="C43" s="837"/>
      <c r="D43" s="837"/>
      <c r="E43" s="840"/>
      <c r="F43" s="840"/>
      <c r="G43" s="1543"/>
      <c r="H43" s="1543"/>
      <c r="I43" s="1543"/>
      <c r="J43" s="1543"/>
      <c r="K43" s="1543"/>
      <c r="L43" s="1543"/>
      <c r="M43" s="1543"/>
      <c r="N43" s="1543"/>
      <c r="O43" s="1543"/>
      <c r="P43" s="1543"/>
      <c r="Q43" s="1543"/>
      <c r="R43" s="1543"/>
      <c r="S43" s="1543"/>
      <c r="T43" s="1543"/>
      <c r="U43" s="1543"/>
      <c r="V43" s="1543"/>
      <c r="W43" s="1543"/>
      <c r="X43" s="1543"/>
      <c r="Y43" s="1543"/>
      <c r="Z43" s="1543"/>
      <c r="AA43" s="1543"/>
      <c r="AB43" s="1543"/>
      <c r="AC43" s="1543"/>
      <c r="AD43" s="1543"/>
      <c r="AE43" s="1543"/>
      <c r="AF43" s="1543"/>
      <c r="AG43" s="1543"/>
      <c r="AH43" s="1543"/>
      <c r="AI43" s="1543"/>
      <c r="AJ43" s="1543"/>
      <c r="AK43" s="1543"/>
      <c r="AL43" s="1543"/>
      <c r="AM43" s="1543"/>
      <c r="AN43" s="1543"/>
      <c r="AO43" s="1543"/>
      <c r="AP43" s="1543"/>
      <c r="AQ43" s="1543"/>
      <c r="AR43" s="1543"/>
      <c r="AS43" s="1543"/>
      <c r="AT43" s="1543"/>
      <c r="AU43" s="1543"/>
      <c r="AV43" s="1543"/>
      <c r="AW43" s="1543"/>
      <c r="AX43" s="1543"/>
      <c r="AY43" s="1543"/>
      <c r="AZ43" s="1543"/>
      <c r="BA43" s="1543"/>
      <c r="BB43" s="1543"/>
      <c r="BC43" s="1543"/>
      <c r="BD43" s="1543"/>
      <c r="BE43" s="1544"/>
      <c r="BF43" s="695"/>
    </row>
    <row r="44" spans="1:58" x14ac:dyDescent="0.45">
      <c r="A44" s="695"/>
      <c r="B44" s="836" t="str">
        <f>B23</f>
        <v>Operations &amp; Maintenance Expenses, excluding fuel cost</v>
      </c>
      <c r="C44" s="837"/>
      <c r="D44" s="837"/>
      <c r="E44" s="840"/>
      <c r="F44" s="840" t="s">
        <v>748</v>
      </c>
      <c r="G44" s="1543"/>
      <c r="H44" s="1543">
        <f t="shared" ref="H44:AM44" si="14">-H23</f>
        <v>-15313</v>
      </c>
      <c r="I44" s="1543">
        <f t="shared" si="14"/>
        <v>-15619.26</v>
      </c>
      <c r="J44" s="1543">
        <f t="shared" si="14"/>
        <v>-15931.645199999999</v>
      </c>
      <c r="K44" s="1543">
        <f t="shared" si="14"/>
        <v>-16250.278103999999</v>
      </c>
      <c r="L44" s="1543">
        <f t="shared" si="14"/>
        <v>-16575.283666079999</v>
      </c>
      <c r="M44" s="1543">
        <f t="shared" si="14"/>
        <v>-16906.789339401599</v>
      </c>
      <c r="N44" s="1543">
        <f t="shared" si="14"/>
        <v>-17244.925126189632</v>
      </c>
      <c r="O44" s="1543">
        <f t="shared" si="14"/>
        <v>-17589.82362871342</v>
      </c>
      <c r="P44" s="1543">
        <f t="shared" si="14"/>
        <v>-17941.620101287692</v>
      </c>
      <c r="Q44" s="1543">
        <f t="shared" si="14"/>
        <v>-18300.452503313445</v>
      </c>
      <c r="R44" s="1543">
        <f t="shared" si="14"/>
        <v>-18666.461553379715</v>
      </c>
      <c r="S44" s="1543">
        <f t="shared" si="14"/>
        <v>-19039.790784447305</v>
      </c>
      <c r="T44" s="1543">
        <f t="shared" si="14"/>
        <v>-19420.586600136256</v>
      </c>
      <c r="U44" s="1543">
        <f t="shared" si="14"/>
        <v>-19808.998332138981</v>
      </c>
      <c r="V44" s="1543">
        <f t="shared" si="14"/>
        <v>-20205.178298781761</v>
      </c>
      <c r="W44" s="1543">
        <f t="shared" si="14"/>
        <v>-20609.281864757391</v>
      </c>
      <c r="X44" s="1543">
        <f t="shared" si="14"/>
        <v>-21021.467502052543</v>
      </c>
      <c r="Y44" s="1543">
        <f t="shared" si="14"/>
        <v>-21441.896852093596</v>
      </c>
      <c r="Z44" s="1543">
        <f t="shared" si="14"/>
        <v>-21870.734789135466</v>
      </c>
      <c r="AA44" s="1543">
        <f t="shared" si="14"/>
        <v>-22308.149484918173</v>
      </c>
      <c r="AB44" s="1543">
        <f t="shared" si="14"/>
        <v>-22754.312474616538</v>
      </c>
      <c r="AC44" s="1543">
        <f t="shared" si="14"/>
        <v>-23209.398724108869</v>
      </c>
      <c r="AD44" s="1543">
        <f t="shared" si="14"/>
        <v>-23673.586698591047</v>
      </c>
      <c r="AE44" s="1543">
        <f t="shared" si="14"/>
        <v>-24147.058432562862</v>
      </c>
      <c r="AF44" s="1543">
        <f t="shared" si="14"/>
        <v>-24629.99960121412</v>
      </c>
      <c r="AG44" s="1543">
        <f t="shared" si="14"/>
        <v>0</v>
      </c>
      <c r="AH44" s="1543">
        <f t="shared" si="14"/>
        <v>0</v>
      </c>
      <c r="AI44" s="1543">
        <f t="shared" si="14"/>
        <v>0</v>
      </c>
      <c r="AJ44" s="1543">
        <f t="shared" si="14"/>
        <v>0</v>
      </c>
      <c r="AK44" s="1543">
        <f t="shared" si="14"/>
        <v>0</v>
      </c>
      <c r="AL44" s="1543">
        <f t="shared" si="14"/>
        <v>0</v>
      </c>
      <c r="AM44" s="1543">
        <f t="shared" si="14"/>
        <v>0</v>
      </c>
      <c r="AN44" s="1543">
        <f t="shared" ref="AN44:BE44" si="15">-AN23</f>
        <v>0</v>
      </c>
      <c r="AO44" s="1543">
        <f t="shared" si="15"/>
        <v>0</v>
      </c>
      <c r="AP44" s="1543">
        <f t="shared" si="15"/>
        <v>0</v>
      </c>
      <c r="AQ44" s="1543">
        <f t="shared" si="15"/>
        <v>0</v>
      </c>
      <c r="AR44" s="1543">
        <f t="shared" si="15"/>
        <v>0</v>
      </c>
      <c r="AS44" s="1543">
        <f t="shared" si="15"/>
        <v>0</v>
      </c>
      <c r="AT44" s="1543">
        <f t="shared" si="15"/>
        <v>0</v>
      </c>
      <c r="AU44" s="1543">
        <f t="shared" si="15"/>
        <v>0</v>
      </c>
      <c r="AV44" s="1543">
        <f t="shared" si="15"/>
        <v>0</v>
      </c>
      <c r="AW44" s="1543">
        <f t="shared" si="15"/>
        <v>0</v>
      </c>
      <c r="AX44" s="1543">
        <f t="shared" si="15"/>
        <v>0</v>
      </c>
      <c r="AY44" s="1543">
        <f t="shared" si="15"/>
        <v>0</v>
      </c>
      <c r="AZ44" s="1543">
        <f t="shared" si="15"/>
        <v>0</v>
      </c>
      <c r="BA44" s="1543">
        <f t="shared" si="15"/>
        <v>0</v>
      </c>
      <c r="BB44" s="1543">
        <f t="shared" si="15"/>
        <v>0</v>
      </c>
      <c r="BC44" s="1543">
        <f t="shared" si="15"/>
        <v>0</v>
      </c>
      <c r="BD44" s="1543">
        <f t="shared" si="15"/>
        <v>0</v>
      </c>
      <c r="BE44" s="1544">
        <f t="shared" si="15"/>
        <v>0</v>
      </c>
      <c r="BF44" s="695"/>
    </row>
    <row r="45" spans="1:58" x14ac:dyDescent="0.45">
      <c r="A45" s="695"/>
      <c r="B45" s="836" t="s">
        <v>35</v>
      </c>
      <c r="C45" s="837"/>
      <c r="D45" s="837"/>
      <c r="E45" s="840"/>
      <c r="F45" s="840" t="s">
        <v>748</v>
      </c>
      <c r="G45" s="1543"/>
      <c r="H45" s="1543">
        <f>-H30</f>
        <v>-253895.46772595056</v>
      </c>
      <c r="I45" s="1543">
        <f t="shared" ref="I45:BE45" si="16">-I30</f>
        <v>-258272.97579019115</v>
      </c>
      <c r="J45" s="1543">
        <f t="shared" si="16"/>
        <v>-258272.97579019115</v>
      </c>
      <c r="K45" s="1543">
        <f t="shared" si="16"/>
        <v>-262650.48385443166</v>
      </c>
      <c r="L45" s="1543">
        <f t="shared" si="16"/>
        <v>-267027.99191867217</v>
      </c>
      <c r="M45" s="1543">
        <f t="shared" si="16"/>
        <v>-267027.99191867217</v>
      </c>
      <c r="N45" s="1543">
        <f t="shared" si="16"/>
        <v>-271405.49998291268</v>
      </c>
      <c r="O45" s="1543">
        <f t="shared" si="16"/>
        <v>-275783.00804715318</v>
      </c>
      <c r="P45" s="1543">
        <f t="shared" si="16"/>
        <v>-277249.26056507777</v>
      </c>
      <c r="Q45" s="1543">
        <f t="shared" si="16"/>
        <v>-280175.71479899029</v>
      </c>
      <c r="R45" s="1543">
        <f t="shared" si="16"/>
        <v>-283133.05868925649</v>
      </c>
      <c r="S45" s="1543">
        <f t="shared" si="16"/>
        <v>-286121.61828603595</v>
      </c>
      <c r="T45" s="1543">
        <f t="shared" si="16"/>
        <v>-288915.53223987477</v>
      </c>
      <c r="U45" s="1543">
        <f t="shared" si="16"/>
        <v>-292193.70604391547</v>
      </c>
      <c r="V45" s="1543">
        <f t="shared" si="16"/>
        <v>-295277.90365884145</v>
      </c>
      <c r="W45" s="1543">
        <f t="shared" si="16"/>
        <v>-298394.6559617403</v>
      </c>
      <c r="X45" s="1543">
        <f t="shared" si="16"/>
        <v>-301544.30657771061</v>
      </c>
      <c r="Y45" s="1543">
        <f t="shared" si="16"/>
        <v>-304727.20275892294</v>
      </c>
      <c r="Z45" s="1543">
        <f t="shared" si="16"/>
        <v>-307943.6954229055</v>
      </c>
      <c r="AA45" s="1543">
        <f t="shared" si="16"/>
        <v>-311194.13919123251</v>
      </c>
      <c r="AB45" s="1543">
        <f t="shared" si="16"/>
        <v>-314478.89242862182</v>
      </c>
      <c r="AC45" s="1543">
        <f t="shared" si="16"/>
        <v>-317798.31728244509</v>
      </c>
      <c r="AD45" s="1543">
        <f t="shared" si="16"/>
        <v>-321152.77972265484</v>
      </c>
      <c r="AE45" s="1543">
        <f t="shared" si="16"/>
        <v>-324542.64958213287</v>
      </c>
      <c r="AF45" s="1543">
        <f t="shared" si="16"/>
        <v>-327968.3005974649</v>
      </c>
      <c r="AG45" s="1543">
        <f t="shared" si="16"/>
        <v>0</v>
      </c>
      <c r="AH45" s="1543">
        <f t="shared" si="16"/>
        <v>0</v>
      </c>
      <c r="AI45" s="1543">
        <f t="shared" si="16"/>
        <v>0</v>
      </c>
      <c r="AJ45" s="1543">
        <f t="shared" si="16"/>
        <v>0</v>
      </c>
      <c r="AK45" s="1543">
        <f t="shared" si="16"/>
        <v>0</v>
      </c>
      <c r="AL45" s="1543">
        <f t="shared" si="16"/>
        <v>0</v>
      </c>
      <c r="AM45" s="1543">
        <f t="shared" si="16"/>
        <v>0</v>
      </c>
      <c r="AN45" s="1543">
        <f t="shared" si="16"/>
        <v>0</v>
      </c>
      <c r="AO45" s="1543">
        <f t="shared" si="16"/>
        <v>0</v>
      </c>
      <c r="AP45" s="1543">
        <f t="shared" si="16"/>
        <v>0</v>
      </c>
      <c r="AQ45" s="1543">
        <f t="shared" si="16"/>
        <v>0</v>
      </c>
      <c r="AR45" s="1543">
        <f t="shared" si="16"/>
        <v>0</v>
      </c>
      <c r="AS45" s="1543">
        <f t="shared" si="16"/>
        <v>0</v>
      </c>
      <c r="AT45" s="1543">
        <f t="shared" si="16"/>
        <v>0</v>
      </c>
      <c r="AU45" s="1543">
        <f t="shared" si="16"/>
        <v>0</v>
      </c>
      <c r="AV45" s="1543">
        <f t="shared" si="16"/>
        <v>0</v>
      </c>
      <c r="AW45" s="1543">
        <f t="shared" si="16"/>
        <v>0</v>
      </c>
      <c r="AX45" s="1543">
        <f t="shared" si="16"/>
        <v>0</v>
      </c>
      <c r="AY45" s="1543">
        <f t="shared" si="16"/>
        <v>0</v>
      </c>
      <c r="AZ45" s="1543">
        <f t="shared" si="16"/>
        <v>0</v>
      </c>
      <c r="BA45" s="1543">
        <f t="shared" si="16"/>
        <v>0</v>
      </c>
      <c r="BB45" s="1543">
        <f t="shared" si="16"/>
        <v>0</v>
      </c>
      <c r="BC45" s="1543">
        <f t="shared" si="16"/>
        <v>0</v>
      </c>
      <c r="BD45" s="1543">
        <f t="shared" si="16"/>
        <v>0</v>
      </c>
      <c r="BE45" s="1544">
        <f t="shared" si="16"/>
        <v>0</v>
      </c>
      <c r="BF45" s="695"/>
    </row>
    <row r="46" spans="1:58" x14ac:dyDescent="0.45">
      <c r="A46" s="695"/>
      <c r="B46" s="836" t="str">
        <f>B37</f>
        <v xml:space="preserve">Front-end Fees </v>
      </c>
      <c r="C46" s="837"/>
      <c r="D46" s="837"/>
      <c r="E46" s="840"/>
      <c r="F46" s="840" t="s">
        <v>748</v>
      </c>
      <c r="G46" s="1543"/>
      <c r="H46" s="1543">
        <f t="shared" ref="H46:P46" si="17">-H37</f>
        <v>0</v>
      </c>
      <c r="I46" s="1543">
        <f t="shared" si="17"/>
        <v>0</v>
      </c>
      <c r="J46" s="1543">
        <f t="shared" si="17"/>
        <v>0</v>
      </c>
      <c r="K46" s="1543">
        <f t="shared" si="17"/>
        <v>0</v>
      </c>
      <c r="L46" s="1543">
        <f t="shared" si="17"/>
        <v>0</v>
      </c>
      <c r="M46" s="1543">
        <f t="shared" si="17"/>
        <v>0</v>
      </c>
      <c r="N46" s="1543">
        <f t="shared" si="17"/>
        <v>0</v>
      </c>
      <c r="O46" s="1543">
        <f t="shared" si="17"/>
        <v>0</v>
      </c>
      <c r="P46" s="1543">
        <f t="shared" si="17"/>
        <v>0</v>
      </c>
      <c r="Q46" s="1543">
        <f t="shared" ref="Q46:BE46" si="18">-Q37</f>
        <v>0</v>
      </c>
      <c r="R46" s="1543">
        <f t="shared" si="18"/>
        <v>0</v>
      </c>
      <c r="S46" s="1543">
        <f t="shared" si="18"/>
        <v>0</v>
      </c>
      <c r="T46" s="1543">
        <f t="shared" si="18"/>
        <v>0</v>
      </c>
      <c r="U46" s="1543">
        <f t="shared" si="18"/>
        <v>0</v>
      </c>
      <c r="V46" s="1543">
        <f t="shared" si="18"/>
        <v>0</v>
      </c>
      <c r="W46" s="1543">
        <f t="shared" si="18"/>
        <v>0</v>
      </c>
      <c r="X46" s="1543">
        <f t="shared" si="18"/>
        <v>0</v>
      </c>
      <c r="Y46" s="1543">
        <f t="shared" si="18"/>
        <v>0</v>
      </c>
      <c r="Z46" s="1543">
        <f t="shared" si="18"/>
        <v>0</v>
      </c>
      <c r="AA46" s="1543">
        <f t="shared" si="18"/>
        <v>0</v>
      </c>
      <c r="AB46" s="1543">
        <f t="shared" si="18"/>
        <v>0</v>
      </c>
      <c r="AC46" s="1543">
        <f t="shared" si="18"/>
        <v>0</v>
      </c>
      <c r="AD46" s="1543">
        <f t="shared" si="18"/>
        <v>0</v>
      </c>
      <c r="AE46" s="1543">
        <f t="shared" si="18"/>
        <v>0</v>
      </c>
      <c r="AF46" s="1543">
        <f t="shared" si="18"/>
        <v>0</v>
      </c>
      <c r="AG46" s="1543">
        <f t="shared" si="18"/>
        <v>0</v>
      </c>
      <c r="AH46" s="1543">
        <f t="shared" si="18"/>
        <v>0</v>
      </c>
      <c r="AI46" s="1543">
        <f t="shared" si="18"/>
        <v>0</v>
      </c>
      <c r="AJ46" s="1543">
        <f t="shared" si="18"/>
        <v>0</v>
      </c>
      <c r="AK46" s="1543">
        <f t="shared" si="18"/>
        <v>0</v>
      </c>
      <c r="AL46" s="1543">
        <f t="shared" si="18"/>
        <v>0</v>
      </c>
      <c r="AM46" s="1543">
        <f t="shared" si="18"/>
        <v>0</v>
      </c>
      <c r="AN46" s="1543">
        <f t="shared" si="18"/>
        <v>0</v>
      </c>
      <c r="AO46" s="1543">
        <f t="shared" si="18"/>
        <v>0</v>
      </c>
      <c r="AP46" s="1543">
        <f t="shared" si="18"/>
        <v>0</v>
      </c>
      <c r="AQ46" s="1543">
        <f t="shared" si="18"/>
        <v>0</v>
      </c>
      <c r="AR46" s="1543">
        <f t="shared" si="18"/>
        <v>0</v>
      </c>
      <c r="AS46" s="1543">
        <f t="shared" si="18"/>
        <v>0</v>
      </c>
      <c r="AT46" s="1543">
        <f t="shared" si="18"/>
        <v>0</v>
      </c>
      <c r="AU46" s="1543">
        <f t="shared" si="18"/>
        <v>0</v>
      </c>
      <c r="AV46" s="1543">
        <f t="shared" si="18"/>
        <v>0</v>
      </c>
      <c r="AW46" s="1543">
        <f t="shared" si="18"/>
        <v>0</v>
      </c>
      <c r="AX46" s="1543">
        <f t="shared" si="18"/>
        <v>0</v>
      </c>
      <c r="AY46" s="1543">
        <f t="shared" si="18"/>
        <v>0</v>
      </c>
      <c r="AZ46" s="1543">
        <f t="shared" si="18"/>
        <v>0</v>
      </c>
      <c r="BA46" s="1543">
        <f t="shared" si="18"/>
        <v>0</v>
      </c>
      <c r="BB46" s="1543">
        <f t="shared" si="18"/>
        <v>0</v>
      </c>
      <c r="BC46" s="1543">
        <f t="shared" si="18"/>
        <v>0</v>
      </c>
      <c r="BD46" s="1543">
        <f t="shared" si="18"/>
        <v>0</v>
      </c>
      <c r="BE46" s="1544">
        <f t="shared" si="18"/>
        <v>0</v>
      </c>
      <c r="BF46" s="695"/>
    </row>
    <row r="47" spans="1:58" x14ac:dyDescent="0.45">
      <c r="A47" s="695"/>
      <c r="B47" s="836" t="str">
        <f>B38</f>
        <v xml:space="preserve">Public Guarantee Fees </v>
      </c>
      <c r="C47" s="837"/>
      <c r="D47" s="837"/>
      <c r="E47" s="840"/>
      <c r="F47" s="840" t="s">
        <v>748</v>
      </c>
      <c r="G47" s="1543"/>
      <c r="H47" s="1543">
        <f t="shared" ref="H47:P47" si="19">-H38</f>
        <v>0</v>
      </c>
      <c r="I47" s="1543">
        <f t="shared" si="19"/>
        <v>0</v>
      </c>
      <c r="J47" s="1543">
        <f t="shared" si="19"/>
        <v>0</v>
      </c>
      <c r="K47" s="1543">
        <f t="shared" si="19"/>
        <v>0</v>
      </c>
      <c r="L47" s="1543">
        <f t="shared" si="19"/>
        <v>0</v>
      </c>
      <c r="M47" s="1543">
        <f t="shared" si="19"/>
        <v>0</v>
      </c>
      <c r="N47" s="1543">
        <f t="shared" si="19"/>
        <v>0</v>
      </c>
      <c r="O47" s="1543">
        <f t="shared" si="19"/>
        <v>0</v>
      </c>
      <c r="P47" s="1543">
        <f t="shared" si="19"/>
        <v>0</v>
      </c>
      <c r="Q47" s="1543">
        <f t="shared" ref="Q47:BE47" si="20">-Q38</f>
        <v>0</v>
      </c>
      <c r="R47" s="1543">
        <f t="shared" si="20"/>
        <v>0</v>
      </c>
      <c r="S47" s="1543">
        <f t="shared" si="20"/>
        <v>0</v>
      </c>
      <c r="T47" s="1543">
        <f t="shared" si="20"/>
        <v>0</v>
      </c>
      <c r="U47" s="1543">
        <f t="shared" si="20"/>
        <v>0</v>
      </c>
      <c r="V47" s="1543">
        <f t="shared" si="20"/>
        <v>0</v>
      </c>
      <c r="W47" s="1543">
        <f t="shared" si="20"/>
        <v>0</v>
      </c>
      <c r="X47" s="1543">
        <f t="shared" si="20"/>
        <v>0</v>
      </c>
      <c r="Y47" s="1543">
        <f t="shared" si="20"/>
        <v>0</v>
      </c>
      <c r="Z47" s="1543">
        <f t="shared" si="20"/>
        <v>0</v>
      </c>
      <c r="AA47" s="1543">
        <f t="shared" si="20"/>
        <v>0</v>
      </c>
      <c r="AB47" s="1543">
        <f t="shared" si="20"/>
        <v>0</v>
      </c>
      <c r="AC47" s="1543">
        <f t="shared" si="20"/>
        <v>0</v>
      </c>
      <c r="AD47" s="1543">
        <f t="shared" si="20"/>
        <v>0</v>
      </c>
      <c r="AE47" s="1543">
        <f t="shared" si="20"/>
        <v>0</v>
      </c>
      <c r="AF47" s="1543">
        <f t="shared" si="20"/>
        <v>0</v>
      </c>
      <c r="AG47" s="1543">
        <f t="shared" si="20"/>
        <v>0</v>
      </c>
      <c r="AH47" s="1543">
        <f t="shared" si="20"/>
        <v>0</v>
      </c>
      <c r="AI47" s="1543">
        <f t="shared" si="20"/>
        <v>0</v>
      </c>
      <c r="AJ47" s="1543">
        <f t="shared" si="20"/>
        <v>0</v>
      </c>
      <c r="AK47" s="1543">
        <f t="shared" si="20"/>
        <v>0</v>
      </c>
      <c r="AL47" s="1543">
        <f t="shared" si="20"/>
        <v>0</v>
      </c>
      <c r="AM47" s="1543">
        <f t="shared" si="20"/>
        <v>0</v>
      </c>
      <c r="AN47" s="1543">
        <f t="shared" si="20"/>
        <v>0</v>
      </c>
      <c r="AO47" s="1543">
        <f t="shared" si="20"/>
        <v>0</v>
      </c>
      <c r="AP47" s="1543">
        <f t="shared" si="20"/>
        <v>0</v>
      </c>
      <c r="AQ47" s="1543">
        <f t="shared" si="20"/>
        <v>0</v>
      </c>
      <c r="AR47" s="1543">
        <f t="shared" si="20"/>
        <v>0</v>
      </c>
      <c r="AS47" s="1543">
        <f t="shared" si="20"/>
        <v>0</v>
      </c>
      <c r="AT47" s="1543">
        <f t="shared" si="20"/>
        <v>0</v>
      </c>
      <c r="AU47" s="1543">
        <f t="shared" si="20"/>
        <v>0</v>
      </c>
      <c r="AV47" s="1543">
        <f t="shared" si="20"/>
        <v>0</v>
      </c>
      <c r="AW47" s="1543">
        <f t="shared" si="20"/>
        <v>0</v>
      </c>
      <c r="AX47" s="1543">
        <f t="shared" si="20"/>
        <v>0</v>
      </c>
      <c r="AY47" s="1543">
        <f t="shared" si="20"/>
        <v>0</v>
      </c>
      <c r="AZ47" s="1543">
        <f t="shared" si="20"/>
        <v>0</v>
      </c>
      <c r="BA47" s="1543">
        <f t="shared" si="20"/>
        <v>0</v>
      </c>
      <c r="BB47" s="1543">
        <f t="shared" si="20"/>
        <v>0</v>
      </c>
      <c r="BC47" s="1543">
        <f t="shared" si="20"/>
        <v>0</v>
      </c>
      <c r="BD47" s="1543">
        <f t="shared" si="20"/>
        <v>0</v>
      </c>
      <c r="BE47" s="1544">
        <f t="shared" si="20"/>
        <v>0</v>
      </c>
      <c r="BF47" s="695"/>
    </row>
    <row r="48" spans="1:58" x14ac:dyDescent="0.45">
      <c r="A48" s="695"/>
      <c r="B48" s="836" t="str">
        <f>B39</f>
        <v>Political Risk Insurance - Fees &amp; Annual Premium Payments</v>
      </c>
      <c r="C48" s="837"/>
      <c r="D48" s="837"/>
      <c r="E48" s="840"/>
      <c r="F48" s="840" t="s">
        <v>748</v>
      </c>
      <c r="G48" s="1543"/>
      <c r="H48" s="1543">
        <f t="shared" ref="H48:P48" si="21">-H39</f>
        <v>0</v>
      </c>
      <c r="I48" s="1543">
        <f t="shared" si="21"/>
        <v>0</v>
      </c>
      <c r="J48" s="1543">
        <f t="shared" si="21"/>
        <v>0</v>
      </c>
      <c r="K48" s="1543">
        <f t="shared" si="21"/>
        <v>0</v>
      </c>
      <c r="L48" s="1543">
        <f t="shared" si="21"/>
        <v>0</v>
      </c>
      <c r="M48" s="1543">
        <f t="shared" si="21"/>
        <v>0</v>
      </c>
      <c r="N48" s="1543">
        <f t="shared" si="21"/>
        <v>0</v>
      </c>
      <c r="O48" s="1543">
        <f t="shared" si="21"/>
        <v>0</v>
      </c>
      <c r="P48" s="1543">
        <f t="shared" si="21"/>
        <v>0</v>
      </c>
      <c r="Q48" s="1543">
        <f t="shared" ref="Q48:BE48" si="22">-Q39</f>
        <v>0</v>
      </c>
      <c r="R48" s="1543">
        <f t="shared" si="22"/>
        <v>0</v>
      </c>
      <c r="S48" s="1543">
        <f t="shared" si="22"/>
        <v>0</v>
      </c>
      <c r="T48" s="1543">
        <f t="shared" si="22"/>
        <v>0</v>
      </c>
      <c r="U48" s="1543">
        <f t="shared" si="22"/>
        <v>0</v>
      </c>
      <c r="V48" s="1543">
        <f t="shared" si="22"/>
        <v>0</v>
      </c>
      <c r="W48" s="1543">
        <f t="shared" si="22"/>
        <v>0</v>
      </c>
      <c r="X48" s="1543">
        <f t="shared" si="22"/>
        <v>0</v>
      </c>
      <c r="Y48" s="1543">
        <f t="shared" si="22"/>
        <v>0</v>
      </c>
      <c r="Z48" s="1543">
        <f t="shared" si="22"/>
        <v>0</v>
      </c>
      <c r="AA48" s="1543">
        <f t="shared" si="22"/>
        <v>0</v>
      </c>
      <c r="AB48" s="1543">
        <f t="shared" si="22"/>
        <v>0</v>
      </c>
      <c r="AC48" s="1543">
        <f t="shared" si="22"/>
        <v>0</v>
      </c>
      <c r="AD48" s="1543">
        <f t="shared" si="22"/>
        <v>0</v>
      </c>
      <c r="AE48" s="1543">
        <f t="shared" si="22"/>
        <v>0</v>
      </c>
      <c r="AF48" s="1543">
        <f t="shared" si="22"/>
        <v>0</v>
      </c>
      <c r="AG48" s="1543">
        <f t="shared" si="22"/>
        <v>0</v>
      </c>
      <c r="AH48" s="1543">
        <f t="shared" si="22"/>
        <v>0</v>
      </c>
      <c r="AI48" s="1543">
        <f t="shared" si="22"/>
        <v>0</v>
      </c>
      <c r="AJ48" s="1543">
        <f t="shared" si="22"/>
        <v>0</v>
      </c>
      <c r="AK48" s="1543">
        <f t="shared" si="22"/>
        <v>0</v>
      </c>
      <c r="AL48" s="1543">
        <f t="shared" si="22"/>
        <v>0</v>
      </c>
      <c r="AM48" s="1543">
        <f t="shared" si="22"/>
        <v>0</v>
      </c>
      <c r="AN48" s="1543">
        <f t="shared" si="22"/>
        <v>0</v>
      </c>
      <c r="AO48" s="1543">
        <f t="shared" si="22"/>
        <v>0</v>
      </c>
      <c r="AP48" s="1543">
        <f t="shared" si="22"/>
        <v>0</v>
      </c>
      <c r="AQ48" s="1543">
        <f t="shared" si="22"/>
        <v>0</v>
      </c>
      <c r="AR48" s="1543">
        <f t="shared" si="22"/>
        <v>0</v>
      </c>
      <c r="AS48" s="1543">
        <f t="shared" si="22"/>
        <v>0</v>
      </c>
      <c r="AT48" s="1543">
        <f t="shared" si="22"/>
        <v>0</v>
      </c>
      <c r="AU48" s="1543">
        <f t="shared" si="22"/>
        <v>0</v>
      </c>
      <c r="AV48" s="1543">
        <f t="shared" si="22"/>
        <v>0</v>
      </c>
      <c r="AW48" s="1543">
        <f t="shared" si="22"/>
        <v>0</v>
      </c>
      <c r="AX48" s="1543">
        <f t="shared" si="22"/>
        <v>0</v>
      </c>
      <c r="AY48" s="1543">
        <f t="shared" si="22"/>
        <v>0</v>
      </c>
      <c r="AZ48" s="1543">
        <f t="shared" si="22"/>
        <v>0</v>
      </c>
      <c r="BA48" s="1543">
        <f t="shared" si="22"/>
        <v>0</v>
      </c>
      <c r="BB48" s="1543">
        <f t="shared" si="22"/>
        <v>0</v>
      </c>
      <c r="BC48" s="1543">
        <f t="shared" si="22"/>
        <v>0</v>
      </c>
      <c r="BD48" s="1543">
        <f t="shared" si="22"/>
        <v>0</v>
      </c>
      <c r="BE48" s="1544">
        <f t="shared" si="22"/>
        <v>0</v>
      </c>
      <c r="BF48" s="695"/>
    </row>
    <row r="49" spans="1:16384" x14ac:dyDescent="0.45">
      <c r="A49" s="695"/>
      <c r="B49" s="836" t="s">
        <v>90</v>
      </c>
      <c r="C49" s="837"/>
      <c r="D49" s="837"/>
      <c r="E49" s="840"/>
      <c r="F49" s="840" t="s">
        <v>748</v>
      </c>
      <c r="G49" s="1543"/>
      <c r="H49" s="1543">
        <f t="shared" ref="H49:P49" si="23">-(H304+H325+H346)</f>
        <v>-58559.587692489622</v>
      </c>
      <c r="I49" s="1543">
        <f t="shared" si="23"/>
        <v>-58559.587692489615</v>
      </c>
      <c r="J49" s="1543">
        <f t="shared" si="23"/>
        <v>-58559.587692489615</v>
      </c>
      <c r="K49" s="1543">
        <f t="shared" si="23"/>
        <v>-58559.587692489615</v>
      </c>
      <c r="L49" s="1543">
        <f t="shared" si="23"/>
        <v>-58559.587692489615</v>
      </c>
      <c r="M49" s="1543">
        <f t="shared" si="23"/>
        <v>-58559.587692489607</v>
      </c>
      <c r="N49" s="1543">
        <f t="shared" si="23"/>
        <v>-58559.587692489615</v>
      </c>
      <c r="O49" s="1543">
        <f t="shared" si="23"/>
        <v>-58559.587692489615</v>
      </c>
      <c r="P49" s="1543">
        <f t="shared" si="23"/>
        <v>-58559.587692489615</v>
      </c>
      <c r="Q49" s="1543">
        <f t="shared" ref="Q49:BE49" si="24">-(Q304+Q325+Q346)</f>
        <v>-58559.587692489615</v>
      </c>
      <c r="R49" s="1543">
        <f t="shared" si="24"/>
        <v>-58559.587692489622</v>
      </c>
      <c r="S49" s="1543">
        <f t="shared" si="24"/>
        <v>-58559.587692489615</v>
      </c>
      <c r="T49" s="1543">
        <f t="shared" si="24"/>
        <v>0</v>
      </c>
      <c r="U49" s="1543">
        <f t="shared" si="24"/>
        <v>0</v>
      </c>
      <c r="V49" s="1543">
        <f t="shared" si="24"/>
        <v>0</v>
      </c>
      <c r="W49" s="1543">
        <f t="shared" si="24"/>
        <v>0</v>
      </c>
      <c r="X49" s="1543">
        <f t="shared" si="24"/>
        <v>0</v>
      </c>
      <c r="Y49" s="1543">
        <f t="shared" si="24"/>
        <v>0</v>
      </c>
      <c r="Z49" s="1543">
        <f t="shared" si="24"/>
        <v>0</v>
      </c>
      <c r="AA49" s="1543">
        <f t="shared" si="24"/>
        <v>0</v>
      </c>
      <c r="AB49" s="1543">
        <f t="shared" si="24"/>
        <v>0</v>
      </c>
      <c r="AC49" s="1543">
        <f t="shared" si="24"/>
        <v>0</v>
      </c>
      <c r="AD49" s="1543">
        <f t="shared" si="24"/>
        <v>0</v>
      </c>
      <c r="AE49" s="1543">
        <f t="shared" si="24"/>
        <v>0</v>
      </c>
      <c r="AF49" s="1543">
        <f t="shared" si="24"/>
        <v>0</v>
      </c>
      <c r="AG49" s="1543">
        <f t="shared" si="24"/>
        <v>0</v>
      </c>
      <c r="AH49" s="1543">
        <f t="shared" si="24"/>
        <v>0</v>
      </c>
      <c r="AI49" s="1543">
        <f t="shared" si="24"/>
        <v>0</v>
      </c>
      <c r="AJ49" s="1543">
        <f t="shared" si="24"/>
        <v>0</v>
      </c>
      <c r="AK49" s="1543">
        <f t="shared" si="24"/>
        <v>0</v>
      </c>
      <c r="AL49" s="1543">
        <f t="shared" si="24"/>
        <v>0</v>
      </c>
      <c r="AM49" s="1543">
        <f t="shared" si="24"/>
        <v>0</v>
      </c>
      <c r="AN49" s="1543">
        <f t="shared" si="24"/>
        <v>0</v>
      </c>
      <c r="AO49" s="1543">
        <f t="shared" si="24"/>
        <v>0</v>
      </c>
      <c r="AP49" s="1543">
        <f t="shared" si="24"/>
        <v>0</v>
      </c>
      <c r="AQ49" s="1543">
        <f t="shared" si="24"/>
        <v>0</v>
      </c>
      <c r="AR49" s="1543">
        <f t="shared" si="24"/>
        <v>0</v>
      </c>
      <c r="AS49" s="1543">
        <f t="shared" si="24"/>
        <v>0</v>
      </c>
      <c r="AT49" s="1543">
        <f t="shared" si="24"/>
        <v>0</v>
      </c>
      <c r="AU49" s="1543">
        <f t="shared" si="24"/>
        <v>0</v>
      </c>
      <c r="AV49" s="1543">
        <f t="shared" si="24"/>
        <v>0</v>
      </c>
      <c r="AW49" s="1543">
        <f t="shared" si="24"/>
        <v>0</v>
      </c>
      <c r="AX49" s="1543">
        <f t="shared" si="24"/>
        <v>0</v>
      </c>
      <c r="AY49" s="1543">
        <f t="shared" si="24"/>
        <v>0</v>
      </c>
      <c r="AZ49" s="1543">
        <f t="shared" si="24"/>
        <v>0</v>
      </c>
      <c r="BA49" s="1543">
        <f t="shared" si="24"/>
        <v>0</v>
      </c>
      <c r="BB49" s="1543">
        <f t="shared" si="24"/>
        <v>0</v>
      </c>
      <c r="BC49" s="1543">
        <f t="shared" si="24"/>
        <v>0</v>
      </c>
      <c r="BD49" s="1543">
        <f t="shared" si="24"/>
        <v>0</v>
      </c>
      <c r="BE49" s="1544">
        <f t="shared" si="24"/>
        <v>0</v>
      </c>
      <c r="BF49" s="695"/>
    </row>
    <row r="50" spans="1:16384" x14ac:dyDescent="0.45">
      <c r="A50" s="695"/>
      <c r="B50" s="850" t="s">
        <v>91</v>
      </c>
      <c r="C50" s="844"/>
      <c r="D50" s="844"/>
      <c r="E50" s="845"/>
      <c r="F50" s="845" t="s">
        <v>748</v>
      </c>
      <c r="G50" s="1545"/>
      <c r="H50" s="1545">
        <f>(H23+H30+H32+H37+H38+H39+H34+H35+H36)*'II. Inputs, Baseline Energy Mix'!$N$23</f>
        <v>81946.223681487638</v>
      </c>
      <c r="I50" s="1545">
        <f>(I23+I30+I32+I37+I38+I39+I34+I35+I36)*'II. Inputs, Baseline Energy Mix'!$N$23</f>
        <v>82679.738005775464</v>
      </c>
      <c r="J50" s="1545">
        <f>(J23+J30+J32+J37+J38+J39+J34+J35+J36)*'II. Inputs, Baseline Energy Mix'!$N$23</f>
        <v>82290.661530962621</v>
      </c>
      <c r="K50" s="1545">
        <f>(K23+K30+K32+K37+K38+K39+K34+K35+K36)*'II. Inputs, Baseline Energy Mix'!$N$23</f>
        <v>82965.756249522645</v>
      </c>
      <c r="L50" s="1545">
        <f>(L23+L30+L32+L37+L38+L39+L34+L35+L36)*'II. Inputs, Baseline Energy Mix'!$N$23</f>
        <v>83608.51617700464</v>
      </c>
      <c r="M50" s="1545">
        <f>(M23+M30+M32+M37+M38+M39+M34+M35+M36)*'II. Inputs, Baseline Energy Mix'!$N$23</f>
        <v>83122.289059658244</v>
      </c>
      <c r="N50" s="1545">
        <f>(N23+N30+N32+N37+N38+N39+N34+N35+N36)*'II. Inputs, Baseline Energy Mix'!$N$23</f>
        <v>83693.397446312563</v>
      </c>
      <c r="O50" s="1545">
        <f>(O23+O30+O32+O37+O38+O39+O34+O35+O36)*'II. Inputs, Baseline Energy Mix'!$N$23</f>
        <v>84224.865936725837</v>
      </c>
      <c r="P50" s="1545">
        <f>(P23+P30+P32+P37+P38+P39+P34+P35+P36)*'II. Inputs, Baseline Energy Mix'!$N$23</f>
        <v>83986.103978785832</v>
      </c>
      <c r="Q50" s="1545">
        <f>(Q23+Q30+Q32+Q37+Q38+Q39+Q34+Q35+Q36)*'II. Inputs, Baseline Energy Mix'!$N$23</f>
        <v>84067.008786227307</v>
      </c>
      <c r="R50" s="1545">
        <f>(R23+R30+R32+R37+R38+R39+R34+R35+R36)*'II. Inputs, Baseline Energy Mix'!$N$23</f>
        <v>84107.081823862405</v>
      </c>
      <c r="S50" s="1545">
        <f>(S23+S30+S32+S37+S38+S39+S34+S35+S36)*'II. Inputs, Baseline Energy Mix'!$N$23</f>
        <v>84103.016799949663</v>
      </c>
      <c r="T50" s="1545">
        <f>(T23+T30+T32+T37+T38+T39+T34+T35+T36)*'II. Inputs, Baseline Energy Mix'!$N$23</f>
        <v>83520.999710002754</v>
      </c>
      <c r="U50" s="1545">
        <f>(U23+U30+U32+U37+U38+U39+U34+U35+U36)*'II. Inputs, Baseline Energy Mix'!$N$23</f>
        <v>84437.646094013617</v>
      </c>
      <c r="V50" s="1545">
        <f>(V23+V30+V32+V37+V38+V39+V34+V35+V36)*'II. Inputs, Baseline Energy Mix'!$N$23</f>
        <v>85307.740489405798</v>
      </c>
      <c r="W50" s="1545">
        <f>(W23+W30+W32+W37+W38+W39+W34+W35+W36)*'II. Inputs, Baseline Energy Mix'!$N$23</f>
        <v>86187.954456624429</v>
      </c>
      <c r="X50" s="1545">
        <f>(X23+X30+X32+X37+X38+X39+X34+X35+X36)*'II. Inputs, Baseline Energy Mix'!$N$23</f>
        <v>87078.41351994079</v>
      </c>
      <c r="Y50" s="1545">
        <f>(Y23+Y30+Y32+Y37+Y38+Y39+Y34+Y35+Y36)*'II. Inputs, Baseline Energy Mix'!$N$23</f>
        <v>87979.24490275413</v>
      </c>
      <c r="Z50" s="1545">
        <f>(Z23+Z30+Z32+Z37+Z38+Z39+Z34+Z35+Z36)*'II. Inputs, Baseline Energy Mix'!$N$23</f>
        <v>88890.57755301024</v>
      </c>
      <c r="AA50" s="1545">
        <f>(AA23+AA30+AA32+AA37+AA38+AA39+AA34+AA35+AA36)*'II. Inputs, Baseline Energy Mix'!$N$23</f>
        <v>89812.542169037668</v>
      </c>
      <c r="AB50" s="1545">
        <f>(AB23+AB30+AB32+AB37+AB38+AB39+AB34+AB35+AB36)*'II. Inputs, Baseline Energy Mix'!$N$23</f>
        <v>90745.271225809585</v>
      </c>
      <c r="AC50" s="1545">
        <f>(AC23+AC30+AC32+AC37+AC38+AC39+AC34+AC35+AC36)*'II. Inputs, Baseline Energy Mix'!$N$23</f>
        <v>91688.899001638492</v>
      </c>
      <c r="AD50" s="1545">
        <f>(AD23+AD30+AD32+AD37+AD38+AD39+AD34+AD35+AD36)*'II. Inputs, Baseline Energy Mix'!$N$23</f>
        <v>92643.561605311479</v>
      </c>
      <c r="AE50" s="1545">
        <f>(AE23+AE30+AE32+AE37+AE38+AE39+AE34+AE35+AE36)*'II. Inputs, Baseline Energy Mix'!$N$23</f>
        <v>93609.397003673934</v>
      </c>
      <c r="AF50" s="1545">
        <f>(AF23+AF30+AF32+AF37+AF38+AF39+AF34+AF35+AF36)*'II. Inputs, Baseline Energy Mix'!$N$23</f>
        <v>94586.545049669759</v>
      </c>
      <c r="AG50" s="1545">
        <f>(AG23+AG30+AG32+AG37+AG38+AG39+AG34+AG35+AG36)*'II. Inputs, Baseline Energy Mix'!$N$23</f>
        <v>0</v>
      </c>
      <c r="AH50" s="1545">
        <f>(AH23+AH30+AH32+AH37+AH38+AH39+AH34+AH35+AH36)*'II. Inputs, Baseline Energy Mix'!$N$23</f>
        <v>0</v>
      </c>
      <c r="AI50" s="1545">
        <f>(AI23+AI30+AI32+AI37+AI38+AI39+AI34+AI35+AI36)*'II. Inputs, Baseline Energy Mix'!$N$23</f>
        <v>0</v>
      </c>
      <c r="AJ50" s="1545">
        <f>(AJ23+AJ30+AJ32+AJ37+AJ38+AJ39+AJ34+AJ35+AJ36)*'II. Inputs, Baseline Energy Mix'!$N$23</f>
        <v>0</v>
      </c>
      <c r="AK50" s="1545">
        <f>(AK23+AK30+AK32+AK37+AK38+AK39+AK34+AK35+AK36)*'II. Inputs, Baseline Energy Mix'!$N$23</f>
        <v>0</v>
      </c>
      <c r="AL50" s="1545">
        <f>(AL23+AL30+AL32+AL37+AL38+AL39+AL34+AL35+AL36)*'II. Inputs, Baseline Energy Mix'!$N$23</f>
        <v>0</v>
      </c>
      <c r="AM50" s="1545">
        <f>(AM23+AM30+AM32+AM37+AM38+AM39+AM34+AM35+AM36)*'II. Inputs, Baseline Energy Mix'!$N$23</f>
        <v>0</v>
      </c>
      <c r="AN50" s="1545">
        <f>(AN23+AN30+AN32+AN37+AN38+AN39+AN34+AN35+AN36)*'II. Inputs, Baseline Energy Mix'!$N$23</f>
        <v>0</v>
      </c>
      <c r="AO50" s="1545">
        <f>(AO23+AO30+AO32+AO37+AO38+AO39+AO34+AO35+AO36)*'II. Inputs, Baseline Energy Mix'!$N$23</f>
        <v>0</v>
      </c>
      <c r="AP50" s="1545">
        <f>(AP23+AP30+AP32+AP37+AP38+AP39+AP34+AP35+AP36)*'II. Inputs, Baseline Energy Mix'!$N$23</f>
        <v>0</v>
      </c>
      <c r="AQ50" s="1545">
        <f>(AQ23+AQ30+AQ32+AQ37+AQ38+AQ39+AQ34+AQ35+AQ36)*'II. Inputs, Baseline Energy Mix'!$N$23</f>
        <v>0</v>
      </c>
      <c r="AR50" s="1545">
        <f>(AR23+AR30+AR32+AR37+AR38+AR39+AR34+AR35+AR36)*'II. Inputs, Baseline Energy Mix'!$N$23</f>
        <v>0</v>
      </c>
      <c r="AS50" s="1545">
        <f>(AS23+AS30+AS32+AS37+AS38+AS39+AS34+AS35+AS36)*'II. Inputs, Baseline Energy Mix'!$N$23</f>
        <v>0</v>
      </c>
      <c r="AT50" s="1545">
        <f>(AT23+AT30+AT32+AT37+AT38+AT39+AT34+AT35+AT36)*'II. Inputs, Baseline Energy Mix'!$N$23</f>
        <v>0</v>
      </c>
      <c r="AU50" s="1545">
        <f>(AU23+AU30+AU32+AU37+AU38+AU39+AU34+AU35+AU36)*'II. Inputs, Baseline Energy Mix'!$N$23</f>
        <v>0</v>
      </c>
      <c r="AV50" s="1545">
        <f>(AV23+AV30+AV32+AV37+AV38+AV39+AV34+AV35+AV36)*'II. Inputs, Baseline Energy Mix'!$N$23</f>
        <v>0</v>
      </c>
      <c r="AW50" s="1545">
        <f>(AW23+AW30+AW32+AW37+AW38+AW39+AW34+AW35+AW36)*'II. Inputs, Baseline Energy Mix'!$N$23</f>
        <v>0</v>
      </c>
      <c r="AX50" s="1545">
        <f>(AX23+AX30+AX32+AX37+AX38+AX39+AX34+AX35+AX36)*'II. Inputs, Baseline Energy Mix'!$N$23</f>
        <v>0</v>
      </c>
      <c r="AY50" s="1545">
        <f>(AY23+AY30+AY32+AY37+AY38+AY39+AY34+AY35+AY36)*'II. Inputs, Baseline Energy Mix'!$N$23</f>
        <v>0</v>
      </c>
      <c r="AZ50" s="1545">
        <f>(AZ23+AZ30+AZ32+AZ37+AZ38+AZ39+AZ34+AZ35+AZ36)*'II. Inputs, Baseline Energy Mix'!$N$23</f>
        <v>0</v>
      </c>
      <c r="BA50" s="1545">
        <f>(BA23+BA30+BA32+BA37+BA38+BA39+BA34+BA35+BA36)*'II. Inputs, Baseline Energy Mix'!$N$23</f>
        <v>0</v>
      </c>
      <c r="BB50" s="1545">
        <f>(BB23+BB30+BB32+BB37+BB38+BB39+BB34+BB35+BB36)*'II. Inputs, Baseline Energy Mix'!$N$23</f>
        <v>0</v>
      </c>
      <c r="BC50" s="1545">
        <f>(BC23+BC30+BC32+BC37+BC38+BC39+BC34+BC35+BC36)*'II. Inputs, Baseline Energy Mix'!$N$23</f>
        <v>0</v>
      </c>
      <c r="BD50" s="1545">
        <f>(BD23+BD30+BD32+BD37+BD38+BD39+BD34+BD35+BD36)*'II. Inputs, Baseline Energy Mix'!$N$23</f>
        <v>0</v>
      </c>
      <c r="BE50" s="1546">
        <f>(BE23+BE30+BE32+BE37+BE38+BE39+BE34+BE35+BE36)*'II. Inputs, Baseline Energy Mix'!$N$23</f>
        <v>0</v>
      </c>
      <c r="BF50" s="695"/>
    </row>
    <row r="51" spans="1:16384" x14ac:dyDescent="0.45">
      <c r="A51" s="695"/>
      <c r="B51" s="836" t="s">
        <v>92</v>
      </c>
      <c r="C51" s="837"/>
      <c r="D51" s="837"/>
      <c r="E51" s="840"/>
      <c r="F51" s="840" t="s">
        <v>748</v>
      </c>
      <c r="G51" s="1543">
        <f>-IF('II. Inputs, Baseline Energy Mix'!$N$19&gt;0, 'II. Inputs, Baseline Energy Mix'!$N$20*'II. Inputs, Baseline Energy Mix'!$N$21*'II. Inputs, Baseline Energy Mix'!$N$35,0)</f>
        <v>-160924.25</v>
      </c>
      <c r="H51" s="1543">
        <f t="shared" ref="H51:P51" si="25">SUM(H44:H50)</f>
        <v>-245821.8317369525</v>
      </c>
      <c r="I51" s="1543">
        <f t="shared" si="25"/>
        <v>-249772.08547690531</v>
      </c>
      <c r="J51" s="1543">
        <f t="shared" si="25"/>
        <v>-250473.54715171811</v>
      </c>
      <c r="K51" s="1543">
        <f t="shared" si="25"/>
        <v>-254494.59340139866</v>
      </c>
      <c r="L51" s="1543">
        <f t="shared" si="25"/>
        <v>-258554.34710023712</v>
      </c>
      <c r="M51" s="1543">
        <f t="shared" si="25"/>
        <v>-259372.07989090512</v>
      </c>
      <c r="N51" s="1543">
        <f t="shared" si="25"/>
        <v>-263516.61535527941</v>
      </c>
      <c r="O51" s="1543">
        <f t="shared" si="25"/>
        <v>-267707.55343163037</v>
      </c>
      <c r="P51" s="1543">
        <f t="shared" si="25"/>
        <v>-269764.36438006919</v>
      </c>
      <c r="Q51" s="1543">
        <f t="shared" ref="Q51:BE51" si="26">SUM(Q44:Q50)</f>
        <v>-272968.74620856601</v>
      </c>
      <c r="R51" s="1543">
        <f t="shared" si="26"/>
        <v>-276252.02611126343</v>
      </c>
      <c r="S51" s="1543">
        <f t="shared" si="26"/>
        <v>-279617.97996302322</v>
      </c>
      <c r="T51" s="1543">
        <f t="shared" si="26"/>
        <v>-224815.11913000827</v>
      </c>
      <c r="U51" s="1543">
        <f t="shared" si="26"/>
        <v>-227565.05828204085</v>
      </c>
      <c r="V51" s="1543">
        <f t="shared" si="26"/>
        <v>-230175.34146821738</v>
      </c>
      <c r="W51" s="1543">
        <f t="shared" si="26"/>
        <v>-232815.98336987328</v>
      </c>
      <c r="X51" s="1543">
        <f t="shared" si="26"/>
        <v>-235487.36055982235</v>
      </c>
      <c r="Y51" s="1543">
        <f t="shared" si="26"/>
        <v>-238189.85470826237</v>
      </c>
      <c r="Z51" s="1543">
        <f t="shared" si="26"/>
        <v>-240923.8526590307</v>
      </c>
      <c r="AA51" s="1543">
        <f t="shared" si="26"/>
        <v>-243689.74650711298</v>
      </c>
      <c r="AB51" s="1543">
        <f t="shared" si="26"/>
        <v>-246487.93367742875</v>
      </c>
      <c r="AC51" s="1543">
        <f t="shared" si="26"/>
        <v>-249318.81700491547</v>
      </c>
      <c r="AD51" s="1543">
        <f t="shared" si="26"/>
        <v>-252182.80481593445</v>
      </c>
      <c r="AE51" s="1543">
        <f t="shared" si="26"/>
        <v>-255080.31101102178</v>
      </c>
      <c r="AF51" s="1543">
        <f t="shared" si="26"/>
        <v>-258011.75514900929</v>
      </c>
      <c r="AG51" s="1543">
        <f t="shared" si="26"/>
        <v>0</v>
      </c>
      <c r="AH51" s="1543">
        <f t="shared" si="26"/>
        <v>0</v>
      </c>
      <c r="AI51" s="1543">
        <f t="shared" si="26"/>
        <v>0</v>
      </c>
      <c r="AJ51" s="1543">
        <f t="shared" si="26"/>
        <v>0</v>
      </c>
      <c r="AK51" s="1543">
        <f t="shared" si="26"/>
        <v>0</v>
      </c>
      <c r="AL51" s="1543">
        <f t="shared" si="26"/>
        <v>0</v>
      </c>
      <c r="AM51" s="1543">
        <f t="shared" si="26"/>
        <v>0</v>
      </c>
      <c r="AN51" s="1543">
        <f t="shared" si="26"/>
        <v>0</v>
      </c>
      <c r="AO51" s="1543">
        <f t="shared" si="26"/>
        <v>0</v>
      </c>
      <c r="AP51" s="1543">
        <f t="shared" si="26"/>
        <v>0</v>
      </c>
      <c r="AQ51" s="1543">
        <f t="shared" si="26"/>
        <v>0</v>
      </c>
      <c r="AR51" s="1543">
        <f t="shared" si="26"/>
        <v>0</v>
      </c>
      <c r="AS51" s="1543">
        <f t="shared" si="26"/>
        <v>0</v>
      </c>
      <c r="AT51" s="1543">
        <f t="shared" si="26"/>
        <v>0</v>
      </c>
      <c r="AU51" s="1543">
        <f t="shared" si="26"/>
        <v>0</v>
      </c>
      <c r="AV51" s="1543">
        <f t="shared" si="26"/>
        <v>0</v>
      </c>
      <c r="AW51" s="1543">
        <f t="shared" si="26"/>
        <v>0</v>
      </c>
      <c r="AX51" s="1543">
        <f t="shared" si="26"/>
        <v>0</v>
      </c>
      <c r="AY51" s="1543">
        <f t="shared" si="26"/>
        <v>0</v>
      </c>
      <c r="AZ51" s="1543">
        <f t="shared" si="26"/>
        <v>0</v>
      </c>
      <c r="BA51" s="1543">
        <f t="shared" si="26"/>
        <v>0</v>
      </c>
      <c r="BB51" s="1543">
        <f t="shared" si="26"/>
        <v>0</v>
      </c>
      <c r="BC51" s="1543">
        <f t="shared" si="26"/>
        <v>0</v>
      </c>
      <c r="BD51" s="1543">
        <f t="shared" si="26"/>
        <v>0</v>
      </c>
      <c r="BE51" s="1544">
        <f t="shared" si="26"/>
        <v>0</v>
      </c>
      <c r="BF51" s="695"/>
    </row>
    <row r="52" spans="1:16384" x14ac:dyDescent="0.45">
      <c r="A52" s="695"/>
      <c r="B52" s="836"/>
      <c r="C52" s="837"/>
      <c r="D52" s="837"/>
      <c r="E52" s="840"/>
      <c r="F52" s="837"/>
      <c r="G52" s="837"/>
      <c r="H52" s="837"/>
      <c r="I52" s="1543"/>
      <c r="J52" s="837"/>
      <c r="K52" s="837"/>
      <c r="L52" s="837"/>
      <c r="M52" s="837"/>
      <c r="N52" s="837"/>
      <c r="O52" s="837"/>
      <c r="P52" s="837"/>
      <c r="Q52" s="837"/>
      <c r="R52" s="837"/>
      <c r="S52" s="837"/>
      <c r="T52" s="837"/>
      <c r="U52" s="837"/>
      <c r="V52" s="837"/>
      <c r="W52" s="837"/>
      <c r="X52" s="837"/>
      <c r="Y52" s="837"/>
      <c r="Z52" s="837"/>
      <c r="AA52" s="837"/>
      <c r="AB52" s="837"/>
      <c r="AC52" s="837"/>
      <c r="AD52" s="837"/>
      <c r="AE52" s="837"/>
      <c r="AF52" s="837"/>
      <c r="AG52" s="837"/>
      <c r="AH52" s="837"/>
      <c r="AI52" s="837"/>
      <c r="AJ52" s="837"/>
      <c r="AK52" s="837"/>
      <c r="AL52" s="837"/>
      <c r="AM52" s="837"/>
      <c r="AN52" s="837"/>
      <c r="AO52" s="837"/>
      <c r="AP52" s="837"/>
      <c r="AQ52" s="837"/>
      <c r="AR52" s="837"/>
      <c r="AS52" s="837"/>
      <c r="AT52" s="837"/>
      <c r="AU52" s="837"/>
      <c r="AV52" s="837"/>
      <c r="AW52" s="837"/>
      <c r="AX52" s="837"/>
      <c r="AY52" s="837"/>
      <c r="AZ52" s="837"/>
      <c r="BA52" s="837"/>
      <c r="BB52" s="837"/>
      <c r="BC52" s="837"/>
      <c r="BD52" s="837"/>
      <c r="BE52" s="838"/>
      <c r="BF52" s="695"/>
    </row>
    <row r="53" spans="1:16384" x14ac:dyDescent="0.45">
      <c r="A53" s="695"/>
      <c r="B53" s="836" t="s">
        <v>93</v>
      </c>
      <c r="C53" s="837"/>
      <c r="D53" s="837"/>
      <c r="E53" s="840"/>
      <c r="F53" s="837"/>
      <c r="G53" s="851">
        <f>'II. Inputs, Baseline Energy Mix'!$N$43</f>
        <v>0.14449999999999999</v>
      </c>
      <c r="H53" s="837"/>
      <c r="I53" s="1543"/>
      <c r="J53" s="837"/>
      <c r="K53" s="837"/>
      <c r="L53" s="837"/>
      <c r="M53" s="837"/>
      <c r="N53" s="837"/>
      <c r="O53" s="837"/>
      <c r="P53" s="837"/>
      <c r="Q53" s="837"/>
      <c r="R53" s="837"/>
      <c r="S53" s="837"/>
      <c r="T53" s="837"/>
      <c r="U53" s="837"/>
      <c r="V53" s="837"/>
      <c r="W53" s="837"/>
      <c r="X53" s="837"/>
      <c r="Y53" s="837"/>
      <c r="Z53" s="837"/>
      <c r="AA53" s="837"/>
      <c r="AB53" s="837"/>
      <c r="AC53" s="837"/>
      <c r="AD53" s="837"/>
      <c r="AE53" s="837"/>
      <c r="AF53" s="837"/>
      <c r="AG53" s="837"/>
      <c r="AH53" s="837"/>
      <c r="AI53" s="837"/>
      <c r="AJ53" s="837"/>
      <c r="AK53" s="837"/>
      <c r="AL53" s="837"/>
      <c r="AM53" s="837"/>
      <c r="AN53" s="837"/>
      <c r="AO53" s="837"/>
      <c r="AP53" s="837"/>
      <c r="AQ53" s="837"/>
      <c r="AR53" s="837"/>
      <c r="AS53" s="837"/>
      <c r="AT53" s="837"/>
      <c r="AU53" s="837"/>
      <c r="AV53" s="837"/>
      <c r="AW53" s="837"/>
      <c r="AX53" s="837"/>
      <c r="AY53" s="837"/>
      <c r="AZ53" s="837"/>
      <c r="BA53" s="837"/>
      <c r="BB53" s="837"/>
      <c r="BC53" s="837"/>
      <c r="BD53" s="837"/>
      <c r="BE53" s="838"/>
      <c r="BF53" s="695"/>
    </row>
    <row r="54" spans="1:16384" x14ac:dyDescent="0.45">
      <c r="A54" s="695"/>
      <c r="B54" s="836" t="s">
        <v>94</v>
      </c>
      <c r="C54" s="837"/>
      <c r="D54" s="837"/>
      <c r="E54" s="840"/>
      <c r="F54" s="837"/>
      <c r="G54" s="1543">
        <f>IF(G53="NA", "NA", NPV(G53,H51:BE51)+G51)</f>
        <v>-1858676.2287145779</v>
      </c>
      <c r="H54" s="837"/>
      <c r="I54" s="1543"/>
      <c r="J54" s="837"/>
      <c r="K54" s="837"/>
      <c r="L54" s="837"/>
      <c r="M54" s="837"/>
      <c r="N54" s="837"/>
      <c r="O54" s="837"/>
      <c r="P54" s="837"/>
      <c r="Q54" s="837"/>
      <c r="R54" s="837"/>
      <c r="S54" s="837"/>
      <c r="T54" s="837"/>
      <c r="U54" s="837"/>
      <c r="V54" s="837"/>
      <c r="W54" s="837"/>
      <c r="X54" s="837"/>
      <c r="Y54" s="837"/>
      <c r="Z54" s="837"/>
      <c r="AA54" s="837"/>
      <c r="AB54" s="837"/>
      <c r="AC54" s="837"/>
      <c r="AD54" s="837"/>
      <c r="AE54" s="837"/>
      <c r="AF54" s="837"/>
      <c r="AG54" s="837"/>
      <c r="AH54" s="837"/>
      <c r="AI54" s="837"/>
      <c r="AJ54" s="837"/>
      <c r="AK54" s="837"/>
      <c r="AL54" s="837"/>
      <c r="AM54" s="837"/>
      <c r="AN54" s="837"/>
      <c r="AO54" s="837"/>
      <c r="AP54" s="837"/>
      <c r="AQ54" s="837"/>
      <c r="AR54" s="837"/>
      <c r="AS54" s="837"/>
      <c r="AT54" s="837"/>
      <c r="AU54" s="837"/>
      <c r="AV54" s="837"/>
      <c r="AW54" s="837"/>
      <c r="AX54" s="837"/>
      <c r="AY54" s="837"/>
      <c r="AZ54" s="837"/>
      <c r="BA54" s="837"/>
      <c r="BB54" s="837"/>
      <c r="BC54" s="837"/>
      <c r="BD54" s="837"/>
      <c r="BE54" s="838"/>
      <c r="BF54" s="695"/>
    </row>
    <row r="55" spans="1:16384" x14ac:dyDescent="0.45">
      <c r="A55" s="695"/>
      <c r="B55" s="836" t="s">
        <v>459</v>
      </c>
      <c r="C55" s="837"/>
      <c r="D55" s="837"/>
      <c r="E55" s="840"/>
      <c r="F55" s="837"/>
      <c r="G55" s="841">
        <f>IF(G53="NA", "NA", -NPV(G53,H19:BE19))</f>
        <v>-48301.085679230782</v>
      </c>
      <c r="H55" s="837"/>
      <c r="I55" s="1543"/>
      <c r="J55" s="837"/>
      <c r="K55" s="837"/>
      <c r="L55" s="837"/>
      <c r="M55" s="837"/>
      <c r="N55" s="837"/>
      <c r="O55" s="837"/>
      <c r="P55" s="837"/>
      <c r="Q55" s="837"/>
      <c r="R55" s="837"/>
      <c r="S55" s="837"/>
      <c r="T55" s="837"/>
      <c r="U55" s="837"/>
      <c r="V55" s="837"/>
      <c r="W55" s="837"/>
      <c r="X55" s="837"/>
      <c r="Y55" s="837"/>
      <c r="Z55" s="837"/>
      <c r="AA55" s="837"/>
      <c r="AB55" s="837"/>
      <c r="AC55" s="837"/>
      <c r="AD55" s="837"/>
      <c r="AE55" s="837"/>
      <c r="AF55" s="837"/>
      <c r="AG55" s="837"/>
      <c r="AH55" s="837"/>
      <c r="AI55" s="837"/>
      <c r="AJ55" s="837"/>
      <c r="AK55" s="837"/>
      <c r="AL55" s="837"/>
      <c r="AM55" s="837"/>
      <c r="AN55" s="837"/>
      <c r="AO55" s="837"/>
      <c r="AP55" s="837"/>
      <c r="AQ55" s="837"/>
      <c r="AR55" s="837"/>
      <c r="AS55" s="837"/>
      <c r="AT55" s="837"/>
      <c r="AU55" s="837"/>
      <c r="AV55" s="837"/>
      <c r="AW55" s="837"/>
      <c r="AX55" s="837"/>
      <c r="AY55" s="837"/>
      <c r="AZ55" s="837"/>
      <c r="BA55" s="837"/>
      <c r="BB55" s="837"/>
      <c r="BC55" s="837"/>
      <c r="BD55" s="837"/>
      <c r="BE55" s="838"/>
      <c r="BF55" s="695"/>
    </row>
    <row r="56" spans="1:16384" ht="13.15" thickBot="1" x14ac:dyDescent="0.5">
      <c r="A56" s="695"/>
      <c r="B56" s="836" t="s">
        <v>96</v>
      </c>
      <c r="C56" s="837"/>
      <c r="D56" s="837"/>
      <c r="E56" s="840"/>
      <c r="F56" s="840" t="s">
        <v>749</v>
      </c>
      <c r="G56" s="1771">
        <f>IF(OR(G55=0,G53="NA"), "NA", G54/G55)</f>
        <v>38.481044526785844</v>
      </c>
      <c r="H56" s="837"/>
      <c r="I56" s="1543"/>
      <c r="J56" s="837"/>
      <c r="K56" s="837"/>
      <c r="L56" s="837"/>
      <c r="M56" s="837"/>
      <c r="N56" s="837"/>
      <c r="O56" s="837"/>
      <c r="P56" s="837"/>
      <c r="Q56" s="837"/>
      <c r="R56" s="837"/>
      <c r="S56" s="837"/>
      <c r="T56" s="837"/>
      <c r="U56" s="837"/>
      <c r="V56" s="837"/>
      <c r="W56" s="837"/>
      <c r="X56" s="837"/>
      <c r="Y56" s="837"/>
      <c r="Z56" s="837"/>
      <c r="AA56" s="837"/>
      <c r="AB56" s="837"/>
      <c r="AC56" s="837"/>
      <c r="AD56" s="837"/>
      <c r="AE56" s="837"/>
      <c r="AF56" s="837"/>
      <c r="AG56" s="837"/>
      <c r="AH56" s="837"/>
      <c r="AI56" s="837"/>
      <c r="AJ56" s="837"/>
      <c r="AK56" s="837"/>
      <c r="AL56" s="837"/>
      <c r="AM56" s="837"/>
      <c r="AN56" s="837"/>
      <c r="AO56" s="837"/>
      <c r="AP56" s="837"/>
      <c r="AQ56" s="837"/>
      <c r="AR56" s="837"/>
      <c r="AS56" s="837"/>
      <c r="AT56" s="837"/>
      <c r="AU56" s="837"/>
      <c r="AV56" s="837"/>
      <c r="AW56" s="837"/>
      <c r="AX56" s="837"/>
      <c r="AY56" s="837"/>
      <c r="AZ56" s="837"/>
      <c r="BA56" s="837"/>
      <c r="BB56" s="837"/>
      <c r="BC56" s="837"/>
      <c r="BD56" s="837"/>
      <c r="BE56" s="838"/>
      <c r="BF56" s="695"/>
    </row>
    <row r="57" spans="1:16384" ht="13.5" thickBot="1" x14ac:dyDescent="0.5">
      <c r="A57" s="695"/>
      <c r="B57" s="852" t="s">
        <v>97</v>
      </c>
      <c r="C57" s="853"/>
      <c r="D57" s="853"/>
      <c r="E57" s="854"/>
      <c r="F57" s="854" t="s">
        <v>749</v>
      </c>
      <c r="G57" s="1772">
        <f>IF(G56="NA", "NA", $G$56/(1-'II. Inputs, Baseline Energy Mix'!$N$23))</f>
        <v>51.30805936904779</v>
      </c>
      <c r="H57" s="837"/>
      <c r="I57" s="1543"/>
      <c r="J57" s="837"/>
      <c r="K57" s="837"/>
      <c r="L57" s="837"/>
      <c r="M57" s="837"/>
      <c r="N57" s="837"/>
      <c r="O57" s="837"/>
      <c r="P57" s="837"/>
      <c r="Q57" s="837"/>
      <c r="R57" s="837"/>
      <c r="S57" s="837"/>
      <c r="T57" s="837"/>
      <c r="U57" s="837"/>
      <c r="V57" s="837"/>
      <c r="W57" s="837"/>
      <c r="X57" s="837"/>
      <c r="Y57" s="837"/>
      <c r="Z57" s="837"/>
      <c r="AA57" s="837"/>
      <c r="AB57" s="837"/>
      <c r="AC57" s="837"/>
      <c r="AD57" s="837"/>
      <c r="AE57" s="837"/>
      <c r="AF57" s="837"/>
      <c r="AG57" s="837"/>
      <c r="AH57" s="837"/>
      <c r="AI57" s="837"/>
      <c r="AJ57" s="837"/>
      <c r="AK57" s="837"/>
      <c r="AL57" s="837"/>
      <c r="AM57" s="837"/>
      <c r="AN57" s="837"/>
      <c r="AO57" s="837"/>
      <c r="AP57" s="837"/>
      <c r="AQ57" s="837"/>
      <c r="AR57" s="837"/>
      <c r="AS57" s="837"/>
      <c r="AT57" s="837"/>
      <c r="AU57" s="837"/>
      <c r="AV57" s="837"/>
      <c r="AW57" s="837"/>
      <c r="AX57" s="837"/>
      <c r="AY57" s="837"/>
      <c r="AZ57" s="837"/>
      <c r="BA57" s="837"/>
      <c r="BB57" s="837"/>
      <c r="BC57" s="837"/>
      <c r="BD57" s="837"/>
      <c r="BE57" s="838"/>
      <c r="BF57" s="695"/>
    </row>
    <row r="58" spans="1:16384" ht="13.5" thickBot="1" x14ac:dyDescent="0.5">
      <c r="A58" s="695"/>
      <c r="B58" s="855"/>
      <c r="C58" s="856"/>
      <c r="D58" s="856"/>
      <c r="E58" s="857"/>
      <c r="F58" s="857"/>
      <c r="G58" s="1773"/>
      <c r="H58" s="858"/>
      <c r="I58" s="1547"/>
      <c r="J58" s="858"/>
      <c r="K58" s="858"/>
      <c r="L58" s="858"/>
      <c r="M58" s="858"/>
      <c r="N58" s="858"/>
      <c r="O58" s="858"/>
      <c r="P58" s="858"/>
      <c r="Q58" s="858"/>
      <c r="R58" s="858"/>
      <c r="S58" s="858"/>
      <c r="T58" s="858"/>
      <c r="U58" s="858"/>
      <c r="V58" s="858"/>
      <c r="W58" s="858"/>
      <c r="X58" s="858"/>
      <c r="Y58" s="858"/>
      <c r="Z58" s="858"/>
      <c r="AA58" s="858"/>
      <c r="AB58" s="858"/>
      <c r="AC58" s="858"/>
      <c r="AD58" s="858"/>
      <c r="AE58" s="858"/>
      <c r="AF58" s="858"/>
      <c r="AG58" s="858"/>
      <c r="AH58" s="858"/>
      <c r="AI58" s="858"/>
      <c r="AJ58" s="858"/>
      <c r="AK58" s="858"/>
      <c r="AL58" s="858"/>
      <c r="AM58" s="858"/>
      <c r="AN58" s="858"/>
      <c r="AO58" s="858"/>
      <c r="AP58" s="858"/>
      <c r="AQ58" s="858"/>
      <c r="AR58" s="858"/>
      <c r="AS58" s="858"/>
      <c r="AT58" s="858"/>
      <c r="AU58" s="858"/>
      <c r="AV58" s="858"/>
      <c r="AW58" s="858"/>
      <c r="AX58" s="858"/>
      <c r="AY58" s="858"/>
      <c r="AZ58" s="858"/>
      <c r="BA58" s="858"/>
      <c r="BB58" s="858"/>
      <c r="BC58" s="858"/>
      <c r="BD58" s="858"/>
      <c r="BE58" s="859"/>
      <c r="BF58" s="695"/>
    </row>
    <row r="59" spans="1:16384" ht="13.15" thickBot="1" x14ac:dyDescent="0.5">
      <c r="A59" s="695"/>
      <c r="B59" s="695"/>
      <c r="C59" s="695"/>
      <c r="D59" s="695"/>
      <c r="E59" s="695"/>
      <c r="F59" s="695"/>
      <c r="G59" s="695"/>
      <c r="H59" s="695"/>
      <c r="I59" s="1548"/>
      <c r="J59" s="695"/>
      <c r="K59" s="695"/>
      <c r="L59" s="695"/>
      <c r="M59" s="695"/>
      <c r="N59" s="695"/>
      <c r="O59" s="695"/>
      <c r="P59" s="695"/>
      <c r="Q59" s="695"/>
      <c r="R59" s="695"/>
      <c r="S59" s="695"/>
      <c r="T59" s="695"/>
      <c r="U59" s="695"/>
      <c r="V59" s="695"/>
      <c r="W59" s="695"/>
      <c r="X59" s="695"/>
      <c r="Y59" s="695"/>
      <c r="Z59" s="695"/>
      <c r="AA59" s="695"/>
      <c r="AB59" s="695"/>
      <c r="AC59" s="695"/>
      <c r="AD59" s="695"/>
      <c r="AE59" s="695"/>
      <c r="AF59" s="695"/>
      <c r="AG59" s="695"/>
      <c r="AH59" s="695"/>
      <c r="AI59" s="695"/>
      <c r="AJ59" s="695"/>
      <c r="AK59" s="695"/>
      <c r="AL59" s="695"/>
      <c r="AM59" s="695"/>
      <c r="AN59" s="695"/>
      <c r="AO59" s="695"/>
      <c r="AP59" s="695"/>
      <c r="AQ59" s="695"/>
      <c r="AR59" s="695"/>
      <c r="AS59" s="695"/>
      <c r="AT59" s="695"/>
      <c r="AU59" s="695"/>
      <c r="AV59" s="695"/>
      <c r="AW59" s="695"/>
      <c r="AX59" s="695"/>
      <c r="AY59" s="695"/>
      <c r="AZ59" s="695"/>
      <c r="BA59" s="695"/>
      <c r="BB59" s="695"/>
      <c r="BC59" s="695"/>
      <c r="BD59" s="695"/>
      <c r="BE59" s="695"/>
      <c r="BF59" s="695"/>
    </row>
    <row r="60" spans="1:16384" ht="13.15" x14ac:dyDescent="0.45">
      <c r="A60" s="695"/>
      <c r="B60" s="860" t="str">
        <f>'II. Inputs, Baseline Energy Mix'!O18</f>
        <v>Technology #2</v>
      </c>
      <c r="C60" s="861"/>
      <c r="D60" s="861"/>
      <c r="E60" s="861"/>
      <c r="F60" s="861"/>
      <c r="G60" s="861"/>
      <c r="H60" s="861"/>
      <c r="I60" s="861"/>
      <c r="J60" s="861"/>
      <c r="K60" s="861"/>
      <c r="L60" s="861"/>
      <c r="M60" s="861"/>
      <c r="N60" s="861"/>
      <c r="O60" s="861"/>
      <c r="P60" s="861"/>
      <c r="Q60" s="861"/>
      <c r="R60" s="861"/>
      <c r="S60" s="861"/>
      <c r="T60" s="861"/>
      <c r="U60" s="861"/>
      <c r="V60" s="861"/>
      <c r="W60" s="861"/>
      <c r="X60" s="861"/>
      <c r="Y60" s="861"/>
      <c r="Z60" s="861"/>
      <c r="AA60" s="861"/>
      <c r="AB60" s="861"/>
      <c r="AC60" s="861"/>
      <c r="AD60" s="861"/>
      <c r="AE60" s="861"/>
      <c r="AF60" s="861"/>
      <c r="AG60" s="861"/>
      <c r="AH60" s="861"/>
      <c r="AI60" s="861"/>
      <c r="AJ60" s="861"/>
      <c r="AK60" s="861"/>
      <c r="AL60" s="861"/>
      <c r="AM60" s="861"/>
      <c r="AN60" s="861"/>
      <c r="AO60" s="861"/>
      <c r="AP60" s="861"/>
      <c r="AQ60" s="861"/>
      <c r="AR60" s="861"/>
      <c r="AS60" s="861"/>
      <c r="AT60" s="861"/>
      <c r="AU60" s="861"/>
      <c r="AV60" s="861"/>
      <c r="AW60" s="861"/>
      <c r="AX60" s="861"/>
      <c r="AY60" s="861"/>
      <c r="AZ60" s="861"/>
      <c r="BA60" s="861"/>
      <c r="BB60" s="861"/>
      <c r="BC60" s="861"/>
      <c r="BD60" s="861"/>
      <c r="BE60" s="862"/>
      <c r="BF60" s="704"/>
      <c r="BG60" s="479"/>
      <c r="BH60" s="479"/>
      <c r="BI60" s="479"/>
      <c r="BJ60" s="479"/>
      <c r="BK60" s="479"/>
      <c r="BL60" s="479"/>
      <c r="BM60" s="479"/>
      <c r="BN60" s="479"/>
      <c r="BO60" s="479"/>
      <c r="BP60" s="479"/>
      <c r="BQ60" s="479"/>
      <c r="BR60" s="479"/>
      <c r="BS60" s="479"/>
      <c r="BT60" s="479"/>
      <c r="BU60" s="479"/>
      <c r="BV60" s="479"/>
      <c r="BW60" s="479"/>
      <c r="BX60" s="479"/>
      <c r="BY60" s="479"/>
      <c r="BZ60" s="479"/>
      <c r="CA60" s="479"/>
      <c r="CB60" s="479"/>
      <c r="CC60" s="479"/>
      <c r="CD60" s="479"/>
      <c r="CE60" s="479"/>
      <c r="CF60" s="479"/>
      <c r="CG60" s="479"/>
      <c r="CH60" s="479"/>
      <c r="CI60" s="479"/>
      <c r="CJ60" s="479"/>
      <c r="CK60" s="479"/>
      <c r="CL60" s="479"/>
      <c r="CM60" s="479"/>
      <c r="CN60" s="479"/>
      <c r="CO60" s="479"/>
      <c r="CP60" s="479"/>
      <c r="CQ60" s="479"/>
      <c r="CR60" s="479"/>
      <c r="CS60" s="479"/>
      <c r="CT60" s="479"/>
      <c r="CU60" s="479"/>
      <c r="CV60" s="479"/>
      <c r="CW60" s="479"/>
      <c r="CX60" s="479"/>
      <c r="CY60" s="479"/>
      <c r="CZ60" s="479"/>
      <c r="DA60" s="479"/>
      <c r="DB60" s="479"/>
      <c r="DC60" s="479"/>
      <c r="DD60" s="479"/>
      <c r="DE60" s="479"/>
      <c r="DF60" s="479"/>
      <c r="DG60" s="479"/>
      <c r="DH60" s="479"/>
      <c r="DI60" s="479"/>
      <c r="DJ60" s="479"/>
      <c r="DK60" s="479"/>
      <c r="DL60" s="479"/>
      <c r="DM60" s="479"/>
      <c r="DN60" s="479"/>
      <c r="DO60" s="479"/>
      <c r="DP60" s="479"/>
      <c r="DQ60" s="479"/>
      <c r="DR60" s="479"/>
      <c r="DS60" s="479"/>
      <c r="DT60" s="479"/>
      <c r="DU60" s="479"/>
      <c r="DV60" s="479"/>
      <c r="DW60" s="479"/>
      <c r="DX60" s="479"/>
      <c r="DY60" s="479"/>
      <c r="DZ60" s="479"/>
      <c r="EA60" s="479"/>
      <c r="EB60" s="479"/>
      <c r="EC60" s="479"/>
      <c r="ED60" s="479"/>
      <c r="EE60" s="479"/>
      <c r="EF60" s="479"/>
      <c r="EG60" s="479"/>
      <c r="EH60" s="479"/>
      <c r="EI60" s="479"/>
      <c r="EJ60" s="479"/>
      <c r="EK60" s="479"/>
      <c r="EL60" s="479"/>
      <c r="EM60" s="479"/>
      <c r="EN60" s="479"/>
      <c r="EO60" s="479"/>
      <c r="EP60" s="479"/>
      <c r="EQ60" s="479"/>
      <c r="ER60" s="479"/>
      <c r="ES60" s="479"/>
      <c r="ET60" s="479"/>
      <c r="EU60" s="479"/>
      <c r="EV60" s="479"/>
      <c r="EW60" s="479"/>
      <c r="EX60" s="479"/>
      <c r="EY60" s="479"/>
      <c r="EZ60" s="479"/>
      <c r="FA60" s="479"/>
      <c r="FB60" s="479"/>
      <c r="FC60" s="479"/>
      <c r="FD60" s="479"/>
      <c r="FE60" s="479"/>
      <c r="FF60" s="479"/>
      <c r="FG60" s="479"/>
      <c r="FH60" s="479"/>
      <c r="FI60" s="479"/>
      <c r="FJ60" s="479"/>
      <c r="FK60" s="479"/>
      <c r="FL60" s="479"/>
      <c r="FM60" s="479"/>
      <c r="FN60" s="479"/>
      <c r="FO60" s="479"/>
      <c r="FP60" s="479"/>
      <c r="FQ60" s="479"/>
      <c r="FR60" s="479"/>
      <c r="FS60" s="479"/>
      <c r="FT60" s="479"/>
      <c r="FU60" s="479"/>
      <c r="FV60" s="479"/>
      <c r="FW60" s="479"/>
      <c r="FX60" s="479"/>
      <c r="FY60" s="479"/>
      <c r="FZ60" s="479"/>
      <c r="GA60" s="479"/>
      <c r="GB60" s="479"/>
      <c r="GC60" s="479"/>
      <c r="GD60" s="479"/>
      <c r="GE60" s="479"/>
      <c r="GF60" s="479"/>
      <c r="GG60" s="479"/>
      <c r="GH60" s="479"/>
      <c r="GI60" s="479"/>
      <c r="GJ60" s="479"/>
      <c r="GK60" s="479"/>
      <c r="GL60" s="479"/>
      <c r="GM60" s="479"/>
      <c r="GN60" s="479"/>
      <c r="GO60" s="479"/>
      <c r="GP60" s="479"/>
      <c r="GQ60" s="479"/>
      <c r="GR60" s="479"/>
      <c r="GS60" s="479"/>
      <c r="GT60" s="479"/>
      <c r="GU60" s="479"/>
      <c r="GV60" s="479"/>
      <c r="GW60" s="479"/>
      <c r="GX60" s="479"/>
      <c r="GY60" s="479"/>
      <c r="GZ60" s="479"/>
      <c r="HA60" s="479"/>
      <c r="HB60" s="479"/>
      <c r="HC60" s="479"/>
      <c r="HD60" s="479"/>
      <c r="HE60" s="479"/>
      <c r="HF60" s="479"/>
      <c r="HG60" s="479"/>
      <c r="HH60" s="479"/>
      <c r="HI60" s="479"/>
      <c r="HJ60" s="479"/>
      <c r="HK60" s="479"/>
      <c r="HL60" s="479"/>
      <c r="HM60" s="479"/>
      <c r="HN60" s="479"/>
      <c r="HO60" s="479"/>
      <c r="HP60" s="479"/>
      <c r="HQ60" s="479"/>
      <c r="HR60" s="479"/>
      <c r="HS60" s="479"/>
      <c r="HT60" s="479"/>
      <c r="HU60" s="479"/>
      <c r="HV60" s="479"/>
      <c r="HW60" s="479"/>
      <c r="HX60" s="479"/>
      <c r="HY60" s="479"/>
      <c r="HZ60" s="479"/>
      <c r="IA60" s="479"/>
      <c r="IB60" s="479"/>
      <c r="IC60" s="479"/>
      <c r="ID60" s="479"/>
      <c r="IE60" s="479"/>
      <c r="IF60" s="479"/>
      <c r="IG60" s="479"/>
      <c r="IH60" s="479"/>
      <c r="II60" s="479"/>
      <c r="IJ60" s="479"/>
      <c r="IK60" s="479"/>
      <c r="IL60" s="479"/>
      <c r="IM60" s="479"/>
      <c r="IN60" s="479"/>
      <c r="IO60" s="479"/>
      <c r="IP60" s="479"/>
      <c r="IQ60" s="479"/>
      <c r="IR60" s="479"/>
      <c r="IS60" s="479"/>
      <c r="IT60" s="479"/>
      <c r="IU60" s="479"/>
      <c r="IV60" s="479"/>
      <c r="IW60" s="479"/>
      <c r="IX60" s="479"/>
      <c r="IY60" s="479"/>
      <c r="IZ60" s="479"/>
      <c r="JA60" s="479"/>
      <c r="JB60" s="479"/>
      <c r="JC60" s="479"/>
      <c r="JD60" s="479"/>
      <c r="JE60" s="479"/>
      <c r="JF60" s="479"/>
      <c r="JG60" s="479"/>
      <c r="JH60" s="479"/>
      <c r="JI60" s="479"/>
      <c r="JJ60" s="479"/>
      <c r="JK60" s="479"/>
      <c r="JL60" s="479"/>
      <c r="JM60" s="479"/>
      <c r="JN60" s="479"/>
      <c r="JO60" s="479"/>
      <c r="JP60" s="479"/>
      <c r="JQ60" s="479"/>
      <c r="JR60" s="479"/>
      <c r="JS60" s="479"/>
      <c r="JT60" s="479"/>
      <c r="JU60" s="479"/>
      <c r="JV60" s="479"/>
      <c r="JW60" s="479"/>
      <c r="JX60" s="479"/>
      <c r="JY60" s="479"/>
      <c r="JZ60" s="479"/>
      <c r="KA60" s="479"/>
      <c r="KB60" s="479"/>
      <c r="KC60" s="479"/>
      <c r="KD60" s="479"/>
      <c r="KE60" s="479"/>
      <c r="KF60" s="479"/>
      <c r="KG60" s="479"/>
      <c r="KH60" s="479"/>
      <c r="KI60" s="479"/>
      <c r="KJ60" s="479"/>
      <c r="KK60" s="479"/>
      <c r="KL60" s="479"/>
      <c r="KM60" s="479"/>
      <c r="KN60" s="479"/>
      <c r="KO60" s="479"/>
      <c r="KP60" s="479"/>
      <c r="KQ60" s="479"/>
      <c r="KR60" s="479"/>
      <c r="KS60" s="479"/>
      <c r="KT60" s="479"/>
      <c r="KU60" s="479"/>
      <c r="KV60" s="479"/>
      <c r="KW60" s="479"/>
      <c r="KX60" s="479"/>
      <c r="KY60" s="479"/>
      <c r="KZ60" s="479"/>
      <c r="LA60" s="479"/>
      <c r="LB60" s="479"/>
      <c r="LC60" s="479"/>
      <c r="LD60" s="479"/>
      <c r="LE60" s="479"/>
      <c r="LF60" s="479"/>
      <c r="LG60" s="479"/>
      <c r="LH60" s="479"/>
      <c r="LI60" s="479"/>
      <c r="LJ60" s="479"/>
      <c r="LK60" s="479"/>
      <c r="LL60" s="479"/>
      <c r="LM60" s="479"/>
      <c r="LN60" s="479"/>
      <c r="LO60" s="479"/>
      <c r="LP60" s="479"/>
      <c r="LQ60" s="479"/>
      <c r="LR60" s="479"/>
      <c r="LS60" s="479"/>
      <c r="LT60" s="479"/>
      <c r="LU60" s="479"/>
      <c r="LV60" s="479"/>
      <c r="LW60" s="479"/>
      <c r="LX60" s="479"/>
      <c r="LY60" s="479"/>
      <c r="LZ60" s="479"/>
      <c r="MA60" s="479"/>
      <c r="MB60" s="479"/>
      <c r="MC60" s="479"/>
      <c r="MD60" s="479"/>
      <c r="ME60" s="479"/>
      <c r="MF60" s="479"/>
      <c r="MG60" s="479"/>
      <c r="MH60" s="479"/>
      <c r="MI60" s="479"/>
      <c r="MJ60" s="479"/>
      <c r="MK60" s="479"/>
      <c r="ML60" s="479"/>
      <c r="MM60" s="479"/>
      <c r="MN60" s="479"/>
      <c r="MO60" s="479"/>
      <c r="MP60" s="479"/>
      <c r="MQ60" s="479"/>
      <c r="MR60" s="479"/>
      <c r="MS60" s="479"/>
      <c r="MT60" s="479"/>
      <c r="MU60" s="479"/>
      <c r="MV60" s="479"/>
      <c r="MW60" s="479"/>
      <c r="MX60" s="479"/>
      <c r="MY60" s="479"/>
      <c r="MZ60" s="479"/>
      <c r="NA60" s="479"/>
      <c r="NB60" s="479"/>
      <c r="NC60" s="479"/>
      <c r="ND60" s="479"/>
      <c r="NE60" s="479"/>
      <c r="NF60" s="479"/>
      <c r="NG60" s="479"/>
      <c r="NH60" s="479"/>
      <c r="NI60" s="479"/>
      <c r="NJ60" s="479"/>
      <c r="NK60" s="479"/>
      <c r="NL60" s="479"/>
      <c r="NM60" s="479"/>
      <c r="NN60" s="479"/>
      <c r="NO60" s="479"/>
      <c r="NP60" s="479"/>
      <c r="NQ60" s="479"/>
      <c r="NR60" s="479"/>
      <c r="NS60" s="479"/>
      <c r="NT60" s="479"/>
      <c r="NU60" s="479"/>
      <c r="NV60" s="479"/>
      <c r="NW60" s="479"/>
      <c r="NX60" s="479"/>
      <c r="NY60" s="479"/>
      <c r="NZ60" s="479"/>
      <c r="OA60" s="479"/>
      <c r="OB60" s="479"/>
      <c r="OC60" s="479"/>
      <c r="OD60" s="479"/>
      <c r="OE60" s="479"/>
      <c r="OF60" s="479"/>
      <c r="OG60" s="479"/>
      <c r="OH60" s="479"/>
      <c r="OI60" s="479"/>
      <c r="OJ60" s="479"/>
      <c r="OK60" s="479"/>
      <c r="OL60" s="479"/>
      <c r="OM60" s="479"/>
      <c r="ON60" s="479"/>
      <c r="OO60" s="479"/>
      <c r="OP60" s="479"/>
      <c r="OQ60" s="479"/>
      <c r="OR60" s="479"/>
      <c r="OS60" s="479"/>
      <c r="OT60" s="479"/>
      <c r="OU60" s="479"/>
      <c r="OV60" s="479"/>
      <c r="OW60" s="479"/>
      <c r="OX60" s="479"/>
      <c r="OY60" s="479"/>
      <c r="OZ60" s="479"/>
      <c r="PA60" s="479"/>
      <c r="PB60" s="479"/>
      <c r="PC60" s="479"/>
      <c r="PD60" s="479"/>
      <c r="PE60" s="479"/>
      <c r="PF60" s="479"/>
      <c r="PG60" s="479"/>
      <c r="PH60" s="479"/>
      <c r="PI60" s="479"/>
      <c r="PJ60" s="479"/>
      <c r="PK60" s="479"/>
      <c r="PL60" s="479"/>
      <c r="PM60" s="479"/>
      <c r="PN60" s="479"/>
      <c r="PO60" s="479"/>
      <c r="PP60" s="479"/>
      <c r="PQ60" s="479"/>
      <c r="PR60" s="479"/>
      <c r="PS60" s="479"/>
      <c r="PT60" s="479"/>
      <c r="PU60" s="479"/>
      <c r="PV60" s="479"/>
      <c r="PW60" s="479"/>
      <c r="PX60" s="479"/>
      <c r="PY60" s="479"/>
      <c r="PZ60" s="479"/>
      <c r="QA60" s="479"/>
      <c r="QB60" s="479"/>
      <c r="QC60" s="479"/>
      <c r="QD60" s="479"/>
      <c r="QE60" s="479"/>
      <c r="QF60" s="479"/>
      <c r="QG60" s="479"/>
      <c r="QH60" s="479"/>
      <c r="QI60" s="479"/>
      <c r="QJ60" s="479"/>
      <c r="QK60" s="479"/>
      <c r="QL60" s="479"/>
      <c r="QM60" s="479"/>
      <c r="QN60" s="479"/>
      <c r="QO60" s="479"/>
      <c r="QP60" s="479"/>
      <c r="QQ60" s="479"/>
      <c r="QR60" s="479"/>
      <c r="QS60" s="479"/>
      <c r="QT60" s="479"/>
      <c r="QU60" s="479"/>
      <c r="QV60" s="479"/>
      <c r="QW60" s="479"/>
      <c r="QX60" s="479"/>
      <c r="QY60" s="479"/>
      <c r="QZ60" s="479"/>
      <c r="RA60" s="479"/>
      <c r="RB60" s="479"/>
      <c r="RC60" s="479"/>
      <c r="RD60" s="479"/>
      <c r="RE60" s="479"/>
      <c r="RF60" s="479"/>
      <c r="RG60" s="479"/>
      <c r="RH60" s="479"/>
      <c r="RI60" s="479"/>
      <c r="RJ60" s="479"/>
      <c r="RK60" s="479"/>
      <c r="RL60" s="479"/>
      <c r="RM60" s="479"/>
      <c r="RN60" s="479"/>
      <c r="RO60" s="479"/>
      <c r="RP60" s="479"/>
      <c r="RQ60" s="479"/>
      <c r="RR60" s="479"/>
      <c r="RS60" s="479"/>
      <c r="RT60" s="479"/>
      <c r="RU60" s="479"/>
      <c r="RV60" s="479"/>
      <c r="RW60" s="479"/>
      <c r="RX60" s="479"/>
      <c r="RY60" s="479"/>
      <c r="RZ60" s="479"/>
      <c r="SA60" s="479"/>
      <c r="SB60" s="479"/>
      <c r="SC60" s="479"/>
      <c r="SD60" s="479"/>
      <c r="SE60" s="479"/>
      <c r="SF60" s="479"/>
      <c r="SG60" s="479"/>
      <c r="SH60" s="479"/>
      <c r="SI60" s="479"/>
      <c r="SJ60" s="479"/>
      <c r="SK60" s="479"/>
      <c r="SL60" s="479"/>
      <c r="SM60" s="479"/>
      <c r="SN60" s="479"/>
      <c r="SO60" s="479"/>
      <c r="SP60" s="479"/>
      <c r="SQ60" s="479"/>
      <c r="SR60" s="479"/>
      <c r="SS60" s="479"/>
      <c r="ST60" s="479"/>
      <c r="SU60" s="479"/>
      <c r="SV60" s="479"/>
      <c r="SW60" s="479"/>
      <c r="SX60" s="479"/>
      <c r="SY60" s="479"/>
      <c r="SZ60" s="479"/>
      <c r="TA60" s="479"/>
      <c r="TB60" s="479"/>
      <c r="TC60" s="479"/>
      <c r="TD60" s="479"/>
      <c r="TE60" s="479"/>
      <c r="TF60" s="479"/>
      <c r="TG60" s="479"/>
      <c r="TH60" s="479"/>
      <c r="TI60" s="479"/>
      <c r="TJ60" s="479"/>
      <c r="TK60" s="479"/>
      <c r="TL60" s="479"/>
      <c r="TM60" s="479"/>
      <c r="TN60" s="479"/>
      <c r="TO60" s="479"/>
      <c r="TP60" s="479"/>
      <c r="TQ60" s="479"/>
      <c r="TR60" s="479"/>
      <c r="TS60" s="479"/>
      <c r="TT60" s="479"/>
      <c r="TU60" s="479"/>
      <c r="TV60" s="479"/>
      <c r="TW60" s="479"/>
      <c r="TX60" s="479"/>
      <c r="TY60" s="479"/>
      <c r="TZ60" s="479"/>
      <c r="UA60" s="479"/>
      <c r="UB60" s="479"/>
      <c r="UC60" s="479"/>
      <c r="UD60" s="479"/>
      <c r="UE60" s="479"/>
      <c r="UF60" s="479"/>
      <c r="UG60" s="479"/>
      <c r="UH60" s="479"/>
      <c r="UI60" s="479"/>
      <c r="UJ60" s="479"/>
      <c r="UK60" s="479"/>
      <c r="UL60" s="479"/>
      <c r="UM60" s="479"/>
      <c r="UN60" s="479"/>
      <c r="UO60" s="479"/>
      <c r="UP60" s="479"/>
      <c r="UQ60" s="479"/>
      <c r="UR60" s="479"/>
      <c r="US60" s="479"/>
      <c r="UT60" s="479"/>
      <c r="UU60" s="479"/>
      <c r="UV60" s="479"/>
      <c r="UW60" s="479"/>
      <c r="UX60" s="479"/>
      <c r="UY60" s="479"/>
      <c r="UZ60" s="479"/>
      <c r="VA60" s="479"/>
      <c r="VB60" s="479"/>
      <c r="VC60" s="479"/>
      <c r="VD60" s="479"/>
      <c r="VE60" s="479"/>
      <c r="VF60" s="479"/>
      <c r="VG60" s="479"/>
      <c r="VH60" s="479"/>
      <c r="VI60" s="479"/>
      <c r="VJ60" s="479"/>
      <c r="VK60" s="479"/>
      <c r="VL60" s="479"/>
      <c r="VM60" s="479"/>
      <c r="VN60" s="479"/>
      <c r="VO60" s="479"/>
      <c r="VP60" s="479"/>
      <c r="VQ60" s="479"/>
      <c r="VR60" s="479"/>
      <c r="VS60" s="479"/>
      <c r="VT60" s="479"/>
      <c r="VU60" s="479"/>
      <c r="VV60" s="479"/>
      <c r="VW60" s="479"/>
      <c r="VX60" s="479"/>
      <c r="VY60" s="479"/>
      <c r="VZ60" s="479"/>
      <c r="WA60" s="479"/>
      <c r="WB60" s="479"/>
      <c r="WC60" s="479"/>
      <c r="WD60" s="479"/>
      <c r="WE60" s="479"/>
      <c r="WF60" s="479"/>
      <c r="WG60" s="479"/>
      <c r="WH60" s="479"/>
      <c r="WI60" s="479"/>
      <c r="WJ60" s="479"/>
      <c r="WK60" s="479"/>
      <c r="WL60" s="479"/>
      <c r="WM60" s="479"/>
      <c r="WN60" s="479"/>
      <c r="WO60" s="479"/>
      <c r="WP60" s="479"/>
      <c r="WQ60" s="479"/>
      <c r="WR60" s="479"/>
      <c r="WS60" s="479"/>
      <c r="WT60" s="479"/>
      <c r="WU60" s="479"/>
      <c r="WV60" s="479"/>
      <c r="WW60" s="479"/>
      <c r="WX60" s="479"/>
      <c r="WY60" s="479"/>
      <c r="WZ60" s="479"/>
      <c r="XA60" s="479"/>
      <c r="XB60" s="479"/>
      <c r="XC60" s="479"/>
      <c r="XD60" s="479"/>
      <c r="XE60" s="479"/>
      <c r="XF60" s="479"/>
      <c r="XG60" s="479"/>
      <c r="XH60" s="479"/>
      <c r="XI60" s="479"/>
      <c r="XJ60" s="479"/>
      <c r="XK60" s="479"/>
      <c r="XL60" s="479"/>
      <c r="XM60" s="479"/>
      <c r="XN60" s="479"/>
      <c r="XO60" s="479"/>
      <c r="XP60" s="479"/>
      <c r="XQ60" s="479"/>
      <c r="XR60" s="479"/>
      <c r="XS60" s="479"/>
      <c r="XT60" s="479"/>
      <c r="XU60" s="479"/>
      <c r="XV60" s="479"/>
      <c r="XW60" s="479"/>
      <c r="XX60" s="479"/>
      <c r="XY60" s="479"/>
      <c r="XZ60" s="479"/>
      <c r="YA60" s="479"/>
      <c r="YB60" s="479"/>
      <c r="YC60" s="479"/>
      <c r="YD60" s="479"/>
      <c r="YE60" s="479"/>
      <c r="YF60" s="479"/>
      <c r="YG60" s="479"/>
      <c r="YH60" s="479"/>
      <c r="YI60" s="479"/>
      <c r="YJ60" s="479"/>
      <c r="YK60" s="479"/>
      <c r="YL60" s="479"/>
      <c r="YM60" s="479"/>
      <c r="YN60" s="479"/>
      <c r="YO60" s="479"/>
      <c r="YP60" s="479"/>
      <c r="YQ60" s="479"/>
      <c r="YR60" s="479"/>
      <c r="YS60" s="479"/>
      <c r="YT60" s="479"/>
      <c r="YU60" s="479"/>
      <c r="YV60" s="479"/>
      <c r="YW60" s="479"/>
      <c r="YX60" s="479"/>
      <c r="YY60" s="479"/>
      <c r="YZ60" s="479"/>
      <c r="ZA60" s="479"/>
      <c r="ZB60" s="479"/>
      <c r="ZC60" s="479"/>
      <c r="ZD60" s="479"/>
      <c r="ZE60" s="479"/>
      <c r="ZF60" s="479"/>
      <c r="ZG60" s="479"/>
      <c r="ZH60" s="479"/>
      <c r="ZI60" s="479"/>
      <c r="ZJ60" s="479"/>
      <c r="ZK60" s="479"/>
      <c r="ZL60" s="479"/>
      <c r="ZM60" s="479"/>
      <c r="ZN60" s="479"/>
      <c r="ZO60" s="479"/>
      <c r="ZP60" s="479"/>
      <c r="ZQ60" s="479"/>
      <c r="ZR60" s="479"/>
      <c r="ZS60" s="479"/>
      <c r="ZT60" s="479"/>
      <c r="ZU60" s="479"/>
      <c r="ZV60" s="479"/>
      <c r="ZW60" s="479"/>
      <c r="ZX60" s="479"/>
      <c r="ZY60" s="479"/>
      <c r="ZZ60" s="479"/>
      <c r="AAA60" s="479"/>
      <c r="AAB60" s="479"/>
      <c r="AAC60" s="479"/>
      <c r="AAD60" s="479"/>
      <c r="AAE60" s="479"/>
      <c r="AAF60" s="479"/>
      <c r="AAG60" s="479"/>
      <c r="AAH60" s="479"/>
      <c r="AAI60" s="479"/>
      <c r="AAJ60" s="479"/>
      <c r="AAK60" s="479"/>
      <c r="AAL60" s="479"/>
      <c r="AAM60" s="479"/>
      <c r="AAN60" s="479"/>
      <c r="AAO60" s="479"/>
      <c r="AAP60" s="479"/>
      <c r="AAQ60" s="479"/>
      <c r="AAR60" s="479"/>
      <c r="AAS60" s="479"/>
      <c r="AAT60" s="479"/>
      <c r="AAU60" s="479"/>
      <c r="AAV60" s="479"/>
      <c r="AAW60" s="479"/>
      <c r="AAX60" s="479"/>
      <c r="AAY60" s="479"/>
      <c r="AAZ60" s="479"/>
      <c r="ABA60" s="479"/>
      <c r="ABB60" s="479"/>
      <c r="ABC60" s="479"/>
      <c r="ABD60" s="479"/>
      <c r="ABE60" s="479"/>
      <c r="ABF60" s="479"/>
      <c r="ABG60" s="479"/>
      <c r="ABH60" s="479"/>
      <c r="ABI60" s="479"/>
      <c r="ABJ60" s="479"/>
      <c r="ABK60" s="479"/>
      <c r="ABL60" s="479"/>
      <c r="ABM60" s="479"/>
      <c r="ABN60" s="479"/>
      <c r="ABO60" s="479"/>
      <c r="ABP60" s="479"/>
      <c r="ABQ60" s="479"/>
      <c r="ABR60" s="479"/>
      <c r="ABS60" s="479"/>
      <c r="ABT60" s="479"/>
      <c r="ABU60" s="479"/>
      <c r="ABV60" s="479"/>
      <c r="ABW60" s="479"/>
      <c r="ABX60" s="479"/>
      <c r="ABY60" s="479"/>
      <c r="ABZ60" s="479"/>
      <c r="ACA60" s="479"/>
      <c r="ACB60" s="479"/>
      <c r="ACC60" s="479"/>
      <c r="ACD60" s="479"/>
      <c r="ACE60" s="479"/>
      <c r="ACF60" s="479"/>
      <c r="ACG60" s="479"/>
      <c r="ACH60" s="479"/>
      <c r="ACI60" s="479"/>
      <c r="ACJ60" s="479"/>
      <c r="ACK60" s="479"/>
      <c r="ACL60" s="479"/>
      <c r="ACM60" s="479"/>
      <c r="ACN60" s="479"/>
      <c r="ACO60" s="479"/>
      <c r="ACP60" s="479"/>
      <c r="ACQ60" s="479"/>
      <c r="ACR60" s="479"/>
      <c r="ACS60" s="479"/>
      <c r="ACT60" s="479"/>
      <c r="ACU60" s="479"/>
      <c r="ACV60" s="479"/>
      <c r="ACW60" s="479"/>
      <c r="ACX60" s="479"/>
      <c r="ACY60" s="479"/>
      <c r="ACZ60" s="479"/>
      <c r="ADA60" s="479"/>
      <c r="ADB60" s="479"/>
      <c r="ADC60" s="479"/>
      <c r="ADD60" s="479"/>
      <c r="ADE60" s="479"/>
      <c r="ADF60" s="479"/>
      <c r="ADG60" s="479"/>
      <c r="ADH60" s="479"/>
      <c r="ADI60" s="479"/>
      <c r="ADJ60" s="479"/>
      <c r="ADK60" s="479"/>
      <c r="ADL60" s="479"/>
      <c r="ADM60" s="479"/>
      <c r="ADN60" s="479"/>
      <c r="ADO60" s="479"/>
      <c r="ADP60" s="479"/>
      <c r="ADQ60" s="479"/>
      <c r="ADR60" s="479"/>
      <c r="ADS60" s="479"/>
      <c r="ADT60" s="479"/>
      <c r="ADU60" s="479"/>
      <c r="ADV60" s="479"/>
      <c r="ADW60" s="479"/>
      <c r="ADX60" s="479"/>
      <c r="ADY60" s="479"/>
      <c r="ADZ60" s="479"/>
      <c r="AEA60" s="479"/>
      <c r="AEB60" s="479"/>
      <c r="AEC60" s="479"/>
      <c r="AED60" s="479"/>
      <c r="AEE60" s="479"/>
      <c r="AEF60" s="479"/>
      <c r="AEG60" s="479"/>
      <c r="AEH60" s="479"/>
      <c r="AEI60" s="479"/>
      <c r="AEJ60" s="479"/>
      <c r="AEK60" s="479"/>
      <c r="AEL60" s="479"/>
      <c r="AEM60" s="479"/>
      <c r="AEN60" s="479"/>
      <c r="AEO60" s="479"/>
      <c r="AEP60" s="479"/>
      <c r="AEQ60" s="479"/>
      <c r="AER60" s="479"/>
      <c r="AES60" s="479"/>
      <c r="AET60" s="479"/>
      <c r="AEU60" s="479"/>
      <c r="AEV60" s="479"/>
      <c r="AEW60" s="479"/>
      <c r="AEX60" s="479"/>
      <c r="AEY60" s="479"/>
      <c r="AEZ60" s="479"/>
      <c r="AFA60" s="479"/>
      <c r="AFB60" s="479"/>
      <c r="AFC60" s="479"/>
      <c r="AFD60" s="479"/>
      <c r="AFE60" s="479"/>
      <c r="AFF60" s="479"/>
      <c r="AFG60" s="479"/>
      <c r="AFH60" s="479"/>
      <c r="AFI60" s="479"/>
      <c r="AFJ60" s="479"/>
      <c r="AFK60" s="479"/>
      <c r="AFL60" s="479"/>
      <c r="AFM60" s="479"/>
      <c r="AFN60" s="479"/>
      <c r="AFO60" s="479"/>
      <c r="AFP60" s="479"/>
      <c r="AFQ60" s="479"/>
      <c r="AFR60" s="479"/>
      <c r="AFS60" s="479"/>
      <c r="AFT60" s="479"/>
      <c r="AFU60" s="479"/>
      <c r="AFV60" s="479"/>
      <c r="AFW60" s="479"/>
      <c r="AFX60" s="479"/>
      <c r="AFY60" s="479"/>
      <c r="AFZ60" s="479"/>
      <c r="AGA60" s="479"/>
      <c r="AGB60" s="479"/>
      <c r="AGC60" s="479"/>
      <c r="AGD60" s="479"/>
      <c r="AGE60" s="479"/>
      <c r="AGF60" s="479"/>
      <c r="AGG60" s="479"/>
      <c r="AGH60" s="479"/>
      <c r="AGI60" s="479"/>
      <c r="AGJ60" s="479"/>
      <c r="AGK60" s="479"/>
      <c r="AGL60" s="479"/>
      <c r="AGM60" s="479"/>
      <c r="AGN60" s="479"/>
      <c r="AGO60" s="479"/>
      <c r="AGP60" s="479"/>
      <c r="AGQ60" s="479"/>
      <c r="AGR60" s="479"/>
      <c r="AGS60" s="479"/>
      <c r="AGT60" s="479"/>
      <c r="AGU60" s="479"/>
      <c r="AGV60" s="479"/>
      <c r="AGW60" s="479"/>
      <c r="AGX60" s="479"/>
      <c r="AGY60" s="479"/>
      <c r="AGZ60" s="479"/>
      <c r="AHA60" s="479"/>
      <c r="AHB60" s="479"/>
      <c r="AHC60" s="479"/>
      <c r="AHD60" s="479"/>
      <c r="AHE60" s="479"/>
      <c r="AHF60" s="479"/>
      <c r="AHG60" s="479"/>
      <c r="AHH60" s="479"/>
      <c r="AHI60" s="479"/>
      <c r="AHJ60" s="479"/>
      <c r="AHK60" s="479"/>
      <c r="AHL60" s="479"/>
      <c r="AHM60" s="479"/>
      <c r="AHN60" s="479"/>
      <c r="AHO60" s="479"/>
      <c r="AHP60" s="479"/>
      <c r="AHQ60" s="479"/>
      <c r="AHR60" s="479"/>
      <c r="AHS60" s="479"/>
      <c r="AHT60" s="479"/>
      <c r="AHU60" s="479"/>
      <c r="AHV60" s="479"/>
      <c r="AHW60" s="479"/>
      <c r="AHX60" s="479"/>
      <c r="AHY60" s="479"/>
      <c r="AHZ60" s="479"/>
      <c r="AIA60" s="479"/>
      <c r="AIB60" s="479"/>
      <c r="AIC60" s="479"/>
      <c r="AID60" s="479"/>
      <c r="AIE60" s="479"/>
      <c r="AIF60" s="479"/>
      <c r="AIG60" s="479"/>
      <c r="AIH60" s="479"/>
      <c r="AII60" s="479"/>
      <c r="AIJ60" s="479"/>
      <c r="AIK60" s="479"/>
      <c r="AIL60" s="479"/>
      <c r="AIM60" s="479"/>
      <c r="AIN60" s="479"/>
      <c r="AIO60" s="479"/>
      <c r="AIP60" s="479"/>
      <c r="AIQ60" s="479"/>
      <c r="AIR60" s="479"/>
      <c r="AIS60" s="479"/>
      <c r="AIT60" s="479"/>
      <c r="AIU60" s="479"/>
      <c r="AIV60" s="479"/>
      <c r="AIW60" s="479"/>
      <c r="AIX60" s="479"/>
      <c r="AIY60" s="479"/>
      <c r="AIZ60" s="479"/>
      <c r="AJA60" s="479"/>
      <c r="AJB60" s="479"/>
      <c r="AJC60" s="479"/>
      <c r="AJD60" s="479"/>
      <c r="AJE60" s="479"/>
      <c r="AJF60" s="479"/>
      <c r="AJG60" s="479"/>
      <c r="AJH60" s="479"/>
      <c r="AJI60" s="479"/>
      <c r="AJJ60" s="479"/>
      <c r="AJK60" s="479"/>
      <c r="AJL60" s="479"/>
      <c r="AJM60" s="479"/>
      <c r="AJN60" s="479"/>
      <c r="AJO60" s="479"/>
      <c r="AJP60" s="479"/>
      <c r="AJQ60" s="479"/>
      <c r="AJR60" s="479"/>
      <c r="AJS60" s="479"/>
      <c r="AJT60" s="479"/>
      <c r="AJU60" s="479"/>
      <c r="AJV60" s="479"/>
      <c r="AJW60" s="479"/>
      <c r="AJX60" s="479"/>
      <c r="AJY60" s="479"/>
      <c r="AJZ60" s="479"/>
      <c r="AKA60" s="479"/>
      <c r="AKB60" s="479"/>
      <c r="AKC60" s="479"/>
      <c r="AKD60" s="479"/>
      <c r="AKE60" s="479"/>
      <c r="AKF60" s="479"/>
      <c r="AKG60" s="479"/>
      <c r="AKH60" s="479"/>
      <c r="AKI60" s="479"/>
      <c r="AKJ60" s="479"/>
      <c r="AKK60" s="479"/>
      <c r="AKL60" s="479"/>
      <c r="AKM60" s="479"/>
      <c r="AKN60" s="479"/>
      <c r="AKO60" s="479"/>
      <c r="AKP60" s="479"/>
      <c r="AKQ60" s="479"/>
      <c r="AKR60" s="479"/>
      <c r="AKS60" s="479"/>
      <c r="AKT60" s="479"/>
      <c r="AKU60" s="479"/>
      <c r="AKV60" s="479"/>
      <c r="AKW60" s="479"/>
      <c r="AKX60" s="479"/>
      <c r="AKY60" s="479"/>
      <c r="AKZ60" s="479"/>
      <c r="ALA60" s="479"/>
      <c r="ALB60" s="479"/>
      <c r="ALC60" s="479"/>
      <c r="ALD60" s="479"/>
      <c r="ALE60" s="479"/>
      <c r="ALF60" s="479"/>
      <c r="ALG60" s="479"/>
      <c r="ALH60" s="479"/>
      <c r="ALI60" s="479"/>
      <c r="ALJ60" s="479"/>
      <c r="ALK60" s="479"/>
      <c r="ALL60" s="479"/>
      <c r="ALM60" s="479"/>
      <c r="ALN60" s="479"/>
      <c r="ALO60" s="479"/>
      <c r="ALP60" s="479"/>
      <c r="ALQ60" s="479"/>
      <c r="ALR60" s="479"/>
      <c r="ALS60" s="479"/>
      <c r="ALT60" s="479"/>
      <c r="ALU60" s="479"/>
      <c r="ALV60" s="479"/>
      <c r="ALW60" s="479"/>
      <c r="ALX60" s="479"/>
      <c r="ALY60" s="479"/>
      <c r="ALZ60" s="479"/>
      <c r="AMA60" s="479"/>
      <c r="AMB60" s="479"/>
      <c r="AMC60" s="479"/>
      <c r="AMD60" s="479"/>
      <c r="AME60" s="479"/>
      <c r="AMF60" s="479"/>
      <c r="AMG60" s="479"/>
      <c r="AMH60" s="479"/>
      <c r="AMI60" s="479"/>
      <c r="AMJ60" s="479"/>
      <c r="AMK60" s="479"/>
      <c r="AML60" s="479"/>
      <c r="AMM60" s="479"/>
      <c r="AMN60" s="479"/>
      <c r="AMO60" s="479"/>
      <c r="AMP60" s="479"/>
      <c r="AMQ60" s="479"/>
      <c r="AMR60" s="479"/>
      <c r="AMS60" s="479"/>
      <c r="AMT60" s="479"/>
      <c r="AMU60" s="479"/>
      <c r="AMV60" s="479"/>
      <c r="AMW60" s="479"/>
      <c r="AMX60" s="479"/>
      <c r="AMY60" s="479"/>
      <c r="AMZ60" s="479"/>
      <c r="ANA60" s="479"/>
      <c r="ANB60" s="479"/>
      <c r="ANC60" s="479"/>
      <c r="AND60" s="479"/>
      <c r="ANE60" s="479"/>
      <c r="ANF60" s="479"/>
      <c r="ANG60" s="479"/>
      <c r="ANH60" s="479"/>
      <c r="ANI60" s="479"/>
      <c r="ANJ60" s="479"/>
      <c r="ANK60" s="479"/>
      <c r="ANL60" s="479"/>
      <c r="ANM60" s="479"/>
      <c r="ANN60" s="479"/>
      <c r="ANO60" s="479"/>
      <c r="ANP60" s="479"/>
      <c r="ANQ60" s="479"/>
      <c r="ANR60" s="479"/>
      <c r="ANS60" s="479"/>
      <c r="ANT60" s="479"/>
      <c r="ANU60" s="479"/>
      <c r="ANV60" s="479"/>
      <c r="ANW60" s="479"/>
      <c r="ANX60" s="479"/>
      <c r="ANY60" s="479"/>
      <c r="ANZ60" s="479"/>
      <c r="AOA60" s="479"/>
      <c r="AOB60" s="479"/>
      <c r="AOC60" s="479"/>
      <c r="AOD60" s="479"/>
      <c r="AOE60" s="479"/>
      <c r="AOF60" s="479"/>
      <c r="AOG60" s="479"/>
      <c r="AOH60" s="479"/>
      <c r="AOI60" s="479"/>
      <c r="AOJ60" s="479"/>
      <c r="AOK60" s="479"/>
      <c r="AOL60" s="479"/>
      <c r="AOM60" s="479"/>
      <c r="AON60" s="479"/>
      <c r="AOO60" s="479"/>
      <c r="AOP60" s="479"/>
      <c r="AOQ60" s="479"/>
      <c r="AOR60" s="479"/>
      <c r="AOS60" s="479"/>
      <c r="AOT60" s="479"/>
      <c r="AOU60" s="479"/>
      <c r="AOV60" s="479"/>
      <c r="AOW60" s="479"/>
      <c r="AOX60" s="479"/>
      <c r="AOY60" s="479"/>
      <c r="AOZ60" s="479"/>
      <c r="APA60" s="479"/>
      <c r="APB60" s="479"/>
      <c r="APC60" s="479"/>
      <c r="APD60" s="479"/>
      <c r="APE60" s="479"/>
      <c r="APF60" s="479"/>
      <c r="APG60" s="479"/>
      <c r="APH60" s="479"/>
      <c r="API60" s="479"/>
      <c r="APJ60" s="479"/>
      <c r="APK60" s="479"/>
      <c r="APL60" s="479"/>
      <c r="APM60" s="479"/>
      <c r="APN60" s="479"/>
      <c r="APO60" s="479"/>
      <c r="APP60" s="479"/>
      <c r="APQ60" s="479"/>
      <c r="APR60" s="479"/>
      <c r="APS60" s="479"/>
      <c r="APT60" s="479"/>
      <c r="APU60" s="479"/>
      <c r="APV60" s="479"/>
      <c r="APW60" s="479"/>
      <c r="APX60" s="479"/>
      <c r="APY60" s="479"/>
      <c r="APZ60" s="479"/>
      <c r="AQA60" s="479"/>
      <c r="AQB60" s="479"/>
      <c r="AQC60" s="479"/>
      <c r="AQD60" s="479"/>
      <c r="AQE60" s="479"/>
      <c r="AQF60" s="479"/>
      <c r="AQG60" s="479"/>
      <c r="AQH60" s="479"/>
      <c r="AQI60" s="479"/>
      <c r="AQJ60" s="479"/>
      <c r="AQK60" s="479"/>
      <c r="AQL60" s="479"/>
      <c r="AQM60" s="479"/>
      <c r="AQN60" s="479"/>
      <c r="AQO60" s="479"/>
      <c r="AQP60" s="479"/>
      <c r="AQQ60" s="479"/>
      <c r="AQR60" s="479"/>
      <c r="AQS60" s="479"/>
      <c r="AQT60" s="479"/>
      <c r="AQU60" s="479"/>
      <c r="AQV60" s="479"/>
      <c r="AQW60" s="479"/>
      <c r="AQX60" s="479"/>
      <c r="AQY60" s="479"/>
      <c r="AQZ60" s="479"/>
      <c r="ARA60" s="479"/>
      <c r="ARB60" s="479"/>
      <c r="ARC60" s="479"/>
      <c r="ARD60" s="479"/>
      <c r="ARE60" s="479"/>
      <c r="ARF60" s="479"/>
      <c r="ARG60" s="479"/>
      <c r="ARH60" s="479"/>
      <c r="ARI60" s="479"/>
      <c r="ARJ60" s="479"/>
      <c r="ARK60" s="479"/>
      <c r="ARL60" s="479"/>
      <c r="ARM60" s="479"/>
      <c r="ARN60" s="479"/>
      <c r="ARO60" s="479"/>
      <c r="ARP60" s="479"/>
      <c r="ARQ60" s="479"/>
      <c r="ARR60" s="479"/>
      <c r="ARS60" s="479"/>
      <c r="ART60" s="479"/>
      <c r="ARU60" s="479"/>
      <c r="ARV60" s="479"/>
      <c r="ARW60" s="479"/>
      <c r="ARX60" s="479"/>
      <c r="ARY60" s="479"/>
      <c r="ARZ60" s="479"/>
      <c r="ASA60" s="479"/>
      <c r="ASB60" s="479"/>
      <c r="ASC60" s="479"/>
      <c r="ASD60" s="479"/>
      <c r="ASE60" s="479"/>
      <c r="ASF60" s="479"/>
      <c r="ASG60" s="479"/>
      <c r="ASH60" s="479"/>
      <c r="ASI60" s="479"/>
      <c r="ASJ60" s="479"/>
      <c r="ASK60" s="479"/>
      <c r="ASL60" s="479"/>
      <c r="ASM60" s="479"/>
      <c r="ASN60" s="479"/>
      <c r="ASO60" s="479"/>
      <c r="ASP60" s="479"/>
      <c r="ASQ60" s="479"/>
      <c r="ASR60" s="479"/>
      <c r="ASS60" s="479"/>
      <c r="AST60" s="479"/>
      <c r="ASU60" s="479"/>
      <c r="ASV60" s="479"/>
      <c r="ASW60" s="479"/>
      <c r="ASX60" s="479"/>
      <c r="ASY60" s="479"/>
      <c r="ASZ60" s="479"/>
      <c r="ATA60" s="479"/>
      <c r="ATB60" s="479"/>
      <c r="ATC60" s="479"/>
      <c r="ATD60" s="479"/>
      <c r="ATE60" s="479"/>
      <c r="ATF60" s="479"/>
      <c r="ATG60" s="479"/>
      <c r="ATH60" s="479"/>
      <c r="ATI60" s="479"/>
      <c r="ATJ60" s="479"/>
      <c r="ATK60" s="479"/>
      <c r="ATL60" s="479"/>
      <c r="ATM60" s="479"/>
      <c r="ATN60" s="479"/>
      <c r="ATO60" s="479"/>
      <c r="ATP60" s="479"/>
      <c r="ATQ60" s="479"/>
      <c r="ATR60" s="479"/>
      <c r="ATS60" s="479"/>
      <c r="ATT60" s="479"/>
      <c r="ATU60" s="479"/>
      <c r="ATV60" s="479"/>
      <c r="ATW60" s="479"/>
      <c r="ATX60" s="479"/>
      <c r="ATY60" s="479"/>
      <c r="ATZ60" s="479"/>
      <c r="AUA60" s="479"/>
      <c r="AUB60" s="479"/>
      <c r="AUC60" s="479"/>
      <c r="AUD60" s="479"/>
      <c r="AUE60" s="479"/>
      <c r="AUF60" s="479"/>
      <c r="AUG60" s="479"/>
      <c r="AUH60" s="479"/>
      <c r="AUI60" s="479"/>
      <c r="AUJ60" s="479"/>
      <c r="AUK60" s="479"/>
      <c r="AUL60" s="479"/>
      <c r="AUM60" s="479"/>
      <c r="AUN60" s="479"/>
      <c r="AUO60" s="479"/>
      <c r="AUP60" s="479"/>
      <c r="AUQ60" s="479"/>
      <c r="AUR60" s="479"/>
      <c r="AUS60" s="479"/>
      <c r="AUT60" s="479"/>
      <c r="AUU60" s="479"/>
      <c r="AUV60" s="479"/>
      <c r="AUW60" s="479"/>
      <c r="AUX60" s="479"/>
      <c r="AUY60" s="479"/>
      <c r="AUZ60" s="479"/>
      <c r="AVA60" s="479"/>
      <c r="AVB60" s="479"/>
      <c r="AVC60" s="479"/>
      <c r="AVD60" s="479"/>
      <c r="AVE60" s="479"/>
      <c r="AVF60" s="479"/>
      <c r="AVG60" s="479"/>
      <c r="AVH60" s="479"/>
      <c r="AVI60" s="479"/>
      <c r="AVJ60" s="479"/>
      <c r="AVK60" s="479"/>
      <c r="AVL60" s="479"/>
      <c r="AVM60" s="479"/>
      <c r="AVN60" s="479"/>
      <c r="AVO60" s="479"/>
      <c r="AVP60" s="479"/>
      <c r="AVQ60" s="479"/>
      <c r="AVR60" s="479"/>
      <c r="AVS60" s="479"/>
      <c r="AVT60" s="479"/>
      <c r="AVU60" s="479"/>
      <c r="AVV60" s="479"/>
      <c r="AVW60" s="479"/>
      <c r="AVX60" s="479"/>
      <c r="AVY60" s="479"/>
      <c r="AVZ60" s="479"/>
      <c r="AWA60" s="479"/>
      <c r="AWB60" s="479"/>
      <c r="AWC60" s="479"/>
      <c r="AWD60" s="479"/>
      <c r="AWE60" s="479"/>
      <c r="AWF60" s="479"/>
      <c r="AWG60" s="479"/>
      <c r="AWH60" s="479"/>
      <c r="AWI60" s="479"/>
      <c r="AWJ60" s="479"/>
      <c r="AWK60" s="479"/>
      <c r="AWL60" s="479"/>
      <c r="AWM60" s="479"/>
      <c r="AWN60" s="479"/>
      <c r="AWO60" s="479"/>
      <c r="AWP60" s="479"/>
      <c r="AWQ60" s="479"/>
      <c r="AWR60" s="479"/>
      <c r="AWS60" s="479"/>
      <c r="AWT60" s="479"/>
      <c r="AWU60" s="479"/>
      <c r="AWV60" s="479"/>
      <c r="AWW60" s="479"/>
      <c r="AWX60" s="479"/>
      <c r="AWY60" s="479"/>
      <c r="AWZ60" s="479"/>
      <c r="AXA60" s="479"/>
      <c r="AXB60" s="479"/>
      <c r="AXC60" s="479"/>
      <c r="AXD60" s="479"/>
      <c r="AXE60" s="479"/>
      <c r="AXF60" s="479"/>
      <c r="AXG60" s="479"/>
      <c r="AXH60" s="479"/>
      <c r="AXI60" s="479"/>
      <c r="AXJ60" s="479"/>
      <c r="AXK60" s="479"/>
      <c r="AXL60" s="479"/>
      <c r="AXM60" s="479"/>
      <c r="AXN60" s="479"/>
      <c r="AXO60" s="479"/>
      <c r="AXP60" s="479"/>
      <c r="AXQ60" s="479"/>
      <c r="AXR60" s="479"/>
      <c r="AXS60" s="479"/>
      <c r="AXT60" s="479"/>
      <c r="AXU60" s="479"/>
      <c r="AXV60" s="479"/>
      <c r="AXW60" s="479"/>
      <c r="AXX60" s="479"/>
      <c r="AXY60" s="479"/>
      <c r="AXZ60" s="479"/>
      <c r="AYA60" s="479"/>
      <c r="AYB60" s="479"/>
      <c r="AYC60" s="479"/>
      <c r="AYD60" s="479"/>
      <c r="AYE60" s="479"/>
      <c r="AYF60" s="479"/>
      <c r="AYG60" s="479"/>
      <c r="AYH60" s="479"/>
      <c r="AYI60" s="479"/>
      <c r="AYJ60" s="479"/>
      <c r="AYK60" s="479"/>
      <c r="AYL60" s="479"/>
      <c r="AYM60" s="479"/>
      <c r="AYN60" s="479"/>
      <c r="AYO60" s="479"/>
      <c r="AYP60" s="479"/>
      <c r="AYQ60" s="479"/>
      <c r="AYR60" s="479"/>
      <c r="AYS60" s="479"/>
      <c r="AYT60" s="479"/>
      <c r="AYU60" s="479"/>
      <c r="AYV60" s="479"/>
      <c r="AYW60" s="479"/>
      <c r="AYX60" s="479"/>
      <c r="AYY60" s="479"/>
      <c r="AYZ60" s="479"/>
      <c r="AZA60" s="479"/>
      <c r="AZB60" s="479"/>
      <c r="AZC60" s="479"/>
      <c r="AZD60" s="479"/>
      <c r="AZE60" s="479"/>
      <c r="AZF60" s="479"/>
      <c r="AZG60" s="479"/>
      <c r="AZH60" s="479"/>
      <c r="AZI60" s="479"/>
      <c r="AZJ60" s="479"/>
      <c r="AZK60" s="479"/>
      <c r="AZL60" s="479"/>
      <c r="AZM60" s="479"/>
      <c r="AZN60" s="479"/>
      <c r="AZO60" s="479"/>
      <c r="AZP60" s="479"/>
      <c r="AZQ60" s="479"/>
      <c r="AZR60" s="479"/>
      <c r="AZS60" s="479"/>
      <c r="AZT60" s="479"/>
      <c r="AZU60" s="479"/>
      <c r="AZV60" s="479"/>
      <c r="AZW60" s="479"/>
      <c r="AZX60" s="479"/>
      <c r="AZY60" s="479"/>
      <c r="AZZ60" s="479"/>
      <c r="BAA60" s="479"/>
      <c r="BAB60" s="479"/>
      <c r="BAC60" s="479"/>
      <c r="BAD60" s="479"/>
      <c r="BAE60" s="479"/>
      <c r="BAF60" s="479"/>
      <c r="BAG60" s="479"/>
      <c r="BAH60" s="479"/>
      <c r="BAI60" s="479"/>
      <c r="BAJ60" s="479"/>
      <c r="BAK60" s="479"/>
      <c r="BAL60" s="479"/>
      <c r="BAM60" s="479"/>
      <c r="BAN60" s="479"/>
      <c r="BAO60" s="479"/>
      <c r="BAP60" s="479"/>
      <c r="BAQ60" s="479"/>
      <c r="BAR60" s="479"/>
      <c r="BAS60" s="479"/>
      <c r="BAT60" s="479"/>
      <c r="BAU60" s="479"/>
      <c r="BAV60" s="479"/>
      <c r="BAW60" s="479"/>
      <c r="BAX60" s="479"/>
      <c r="BAY60" s="479"/>
      <c r="BAZ60" s="479"/>
      <c r="BBA60" s="479"/>
      <c r="BBB60" s="479"/>
      <c r="BBC60" s="479"/>
      <c r="BBD60" s="479"/>
      <c r="BBE60" s="479"/>
      <c r="BBF60" s="479"/>
      <c r="BBG60" s="479"/>
      <c r="BBH60" s="479"/>
      <c r="BBI60" s="479"/>
      <c r="BBJ60" s="479"/>
      <c r="BBK60" s="479"/>
      <c r="BBL60" s="479"/>
      <c r="BBM60" s="479"/>
      <c r="BBN60" s="479"/>
      <c r="BBO60" s="479"/>
      <c r="BBP60" s="479"/>
      <c r="BBQ60" s="479"/>
      <c r="BBR60" s="479"/>
      <c r="BBS60" s="479"/>
      <c r="BBT60" s="479"/>
      <c r="BBU60" s="479"/>
      <c r="BBV60" s="479"/>
      <c r="BBW60" s="479"/>
      <c r="BBX60" s="479"/>
      <c r="BBY60" s="479"/>
      <c r="BBZ60" s="479"/>
      <c r="BCA60" s="479"/>
      <c r="BCB60" s="479"/>
      <c r="BCC60" s="479"/>
      <c r="BCD60" s="479"/>
      <c r="BCE60" s="479"/>
      <c r="BCF60" s="479"/>
      <c r="BCG60" s="479"/>
      <c r="BCH60" s="479"/>
      <c r="BCI60" s="479"/>
      <c r="BCJ60" s="479"/>
      <c r="BCK60" s="479"/>
      <c r="BCL60" s="479"/>
      <c r="BCM60" s="479"/>
      <c r="BCN60" s="479"/>
      <c r="BCO60" s="479"/>
      <c r="BCP60" s="479"/>
      <c r="BCQ60" s="479"/>
      <c r="BCR60" s="479"/>
      <c r="BCS60" s="479"/>
      <c r="BCT60" s="479"/>
      <c r="BCU60" s="479"/>
      <c r="BCV60" s="479"/>
      <c r="BCW60" s="479"/>
      <c r="BCX60" s="479"/>
      <c r="BCY60" s="479"/>
      <c r="BCZ60" s="479"/>
      <c r="BDA60" s="479"/>
      <c r="BDB60" s="479"/>
      <c r="BDC60" s="479"/>
      <c r="BDD60" s="479"/>
      <c r="BDE60" s="479"/>
      <c r="BDF60" s="479"/>
      <c r="BDG60" s="479"/>
      <c r="BDH60" s="479"/>
      <c r="BDI60" s="479"/>
      <c r="BDJ60" s="479"/>
      <c r="BDK60" s="479"/>
      <c r="BDL60" s="479"/>
      <c r="BDM60" s="479"/>
      <c r="BDN60" s="479"/>
      <c r="BDO60" s="479"/>
      <c r="BDP60" s="479"/>
      <c r="BDQ60" s="479"/>
      <c r="BDR60" s="479"/>
      <c r="BDS60" s="479"/>
      <c r="BDT60" s="479"/>
      <c r="BDU60" s="479"/>
      <c r="BDV60" s="479"/>
      <c r="BDW60" s="479"/>
      <c r="BDX60" s="479"/>
      <c r="BDY60" s="479"/>
      <c r="BDZ60" s="479"/>
      <c r="BEA60" s="479"/>
      <c r="BEB60" s="479"/>
      <c r="BEC60" s="479"/>
      <c r="BED60" s="479"/>
      <c r="BEE60" s="479"/>
      <c r="BEF60" s="479"/>
      <c r="BEG60" s="479"/>
      <c r="BEH60" s="479"/>
      <c r="BEI60" s="479"/>
      <c r="BEJ60" s="479"/>
      <c r="BEK60" s="479"/>
      <c r="BEL60" s="479"/>
      <c r="BEM60" s="479"/>
      <c r="BEN60" s="479"/>
      <c r="BEO60" s="479"/>
      <c r="BEP60" s="479"/>
      <c r="BEQ60" s="479"/>
      <c r="BER60" s="479"/>
      <c r="BES60" s="479"/>
      <c r="BET60" s="479"/>
      <c r="BEU60" s="479"/>
      <c r="BEV60" s="479"/>
      <c r="BEW60" s="479"/>
      <c r="BEX60" s="479"/>
      <c r="BEY60" s="479"/>
      <c r="BEZ60" s="479"/>
      <c r="BFA60" s="479"/>
      <c r="BFB60" s="479"/>
      <c r="BFC60" s="479"/>
      <c r="BFD60" s="479"/>
      <c r="BFE60" s="479"/>
      <c r="BFF60" s="479"/>
      <c r="BFG60" s="479"/>
      <c r="BFH60" s="479"/>
      <c r="BFI60" s="479"/>
      <c r="BFJ60" s="479"/>
      <c r="BFK60" s="479"/>
      <c r="BFL60" s="479"/>
      <c r="BFM60" s="479"/>
      <c r="BFN60" s="479"/>
      <c r="BFO60" s="479"/>
      <c r="BFP60" s="479"/>
      <c r="BFQ60" s="479"/>
      <c r="BFR60" s="479"/>
      <c r="BFS60" s="479"/>
      <c r="BFT60" s="479"/>
      <c r="BFU60" s="479"/>
      <c r="BFV60" s="479"/>
      <c r="BFW60" s="479"/>
      <c r="BFX60" s="479"/>
      <c r="BFY60" s="479"/>
      <c r="BFZ60" s="479"/>
      <c r="BGA60" s="479"/>
      <c r="BGB60" s="479"/>
      <c r="BGC60" s="479"/>
      <c r="BGD60" s="479"/>
      <c r="BGE60" s="479"/>
      <c r="BGF60" s="479"/>
      <c r="BGG60" s="479"/>
      <c r="BGH60" s="479"/>
      <c r="BGI60" s="479"/>
      <c r="BGJ60" s="479"/>
      <c r="BGK60" s="479"/>
      <c r="BGL60" s="479"/>
      <c r="BGM60" s="479"/>
      <c r="BGN60" s="479"/>
      <c r="BGO60" s="479"/>
      <c r="BGP60" s="479"/>
      <c r="BGQ60" s="479"/>
      <c r="BGR60" s="479"/>
      <c r="BGS60" s="479"/>
      <c r="BGT60" s="479"/>
      <c r="BGU60" s="479"/>
      <c r="BGV60" s="479"/>
      <c r="BGW60" s="479"/>
      <c r="BGX60" s="479"/>
      <c r="BGY60" s="479"/>
      <c r="BGZ60" s="479"/>
      <c r="BHA60" s="479"/>
      <c r="BHB60" s="479"/>
      <c r="BHC60" s="479"/>
      <c r="BHD60" s="479"/>
      <c r="BHE60" s="479"/>
      <c r="BHF60" s="479"/>
      <c r="BHG60" s="479"/>
      <c r="BHH60" s="479"/>
      <c r="BHI60" s="479"/>
      <c r="BHJ60" s="479"/>
      <c r="BHK60" s="479"/>
      <c r="BHL60" s="479"/>
      <c r="BHM60" s="479"/>
      <c r="BHN60" s="479"/>
      <c r="BHO60" s="479"/>
      <c r="BHP60" s="479"/>
      <c r="BHQ60" s="479"/>
      <c r="BHR60" s="479"/>
      <c r="BHS60" s="479"/>
      <c r="BHT60" s="479"/>
      <c r="BHU60" s="479"/>
      <c r="BHV60" s="479"/>
      <c r="BHW60" s="479"/>
      <c r="BHX60" s="479"/>
      <c r="BHY60" s="479"/>
      <c r="BHZ60" s="479"/>
      <c r="BIA60" s="479"/>
      <c r="BIB60" s="479"/>
      <c r="BIC60" s="479"/>
      <c r="BID60" s="479"/>
      <c r="BIE60" s="479"/>
      <c r="BIF60" s="479"/>
      <c r="BIG60" s="479"/>
      <c r="BIH60" s="479"/>
      <c r="BII60" s="479"/>
      <c r="BIJ60" s="479"/>
      <c r="BIK60" s="479"/>
      <c r="BIL60" s="479"/>
      <c r="BIM60" s="479"/>
      <c r="BIN60" s="479"/>
      <c r="BIO60" s="479"/>
      <c r="BIP60" s="479"/>
      <c r="BIQ60" s="479"/>
      <c r="BIR60" s="479"/>
      <c r="BIS60" s="479"/>
      <c r="BIT60" s="479"/>
      <c r="BIU60" s="479"/>
      <c r="BIV60" s="479"/>
      <c r="BIW60" s="479"/>
      <c r="BIX60" s="479"/>
      <c r="BIY60" s="479"/>
      <c r="BIZ60" s="479"/>
      <c r="BJA60" s="479"/>
      <c r="BJB60" s="479"/>
      <c r="BJC60" s="479"/>
      <c r="BJD60" s="479"/>
      <c r="BJE60" s="479"/>
      <c r="BJF60" s="479"/>
      <c r="BJG60" s="479"/>
      <c r="BJH60" s="479"/>
      <c r="BJI60" s="479"/>
      <c r="BJJ60" s="479"/>
      <c r="BJK60" s="479"/>
      <c r="BJL60" s="479"/>
      <c r="BJM60" s="479"/>
      <c r="BJN60" s="479"/>
      <c r="BJO60" s="479"/>
      <c r="BJP60" s="479"/>
      <c r="BJQ60" s="479"/>
      <c r="BJR60" s="479"/>
      <c r="BJS60" s="479"/>
      <c r="BJT60" s="479"/>
      <c r="BJU60" s="479"/>
      <c r="BJV60" s="479"/>
      <c r="BJW60" s="479"/>
      <c r="BJX60" s="479"/>
      <c r="BJY60" s="479"/>
      <c r="BJZ60" s="479"/>
      <c r="BKA60" s="479"/>
      <c r="BKB60" s="479"/>
      <c r="BKC60" s="479"/>
      <c r="BKD60" s="479"/>
      <c r="BKE60" s="479"/>
      <c r="BKF60" s="479"/>
      <c r="BKG60" s="479"/>
      <c r="BKH60" s="479"/>
      <c r="BKI60" s="479"/>
      <c r="BKJ60" s="479"/>
      <c r="BKK60" s="479"/>
      <c r="BKL60" s="479"/>
      <c r="BKM60" s="479"/>
      <c r="BKN60" s="479"/>
      <c r="BKO60" s="479"/>
      <c r="BKP60" s="479"/>
      <c r="BKQ60" s="479"/>
      <c r="BKR60" s="479"/>
      <c r="BKS60" s="479"/>
      <c r="BKT60" s="479"/>
      <c r="BKU60" s="479"/>
      <c r="BKV60" s="479"/>
      <c r="BKW60" s="479"/>
      <c r="BKX60" s="479"/>
      <c r="BKY60" s="479"/>
      <c r="BKZ60" s="479"/>
      <c r="BLA60" s="479"/>
      <c r="BLB60" s="479"/>
      <c r="BLC60" s="479"/>
      <c r="BLD60" s="479"/>
      <c r="BLE60" s="479"/>
      <c r="BLF60" s="479"/>
      <c r="BLG60" s="479"/>
      <c r="BLH60" s="479"/>
      <c r="BLI60" s="479"/>
      <c r="BLJ60" s="479"/>
      <c r="BLK60" s="479"/>
      <c r="BLL60" s="479"/>
      <c r="BLM60" s="479"/>
      <c r="BLN60" s="479"/>
      <c r="BLO60" s="479"/>
      <c r="BLP60" s="479"/>
      <c r="BLQ60" s="479"/>
      <c r="BLR60" s="479"/>
      <c r="BLS60" s="479"/>
      <c r="BLT60" s="479"/>
      <c r="BLU60" s="479"/>
      <c r="BLV60" s="479"/>
      <c r="BLW60" s="479"/>
      <c r="BLX60" s="479"/>
      <c r="BLY60" s="479"/>
      <c r="BLZ60" s="479"/>
      <c r="BMA60" s="479"/>
      <c r="BMB60" s="479"/>
      <c r="BMC60" s="479"/>
      <c r="BMD60" s="479"/>
      <c r="BME60" s="479"/>
      <c r="BMF60" s="479"/>
      <c r="BMG60" s="479"/>
      <c r="BMH60" s="479"/>
      <c r="BMI60" s="479"/>
      <c r="BMJ60" s="479"/>
      <c r="BMK60" s="479"/>
      <c r="BML60" s="479"/>
      <c r="BMM60" s="479"/>
      <c r="BMN60" s="479"/>
      <c r="BMO60" s="479"/>
      <c r="BMP60" s="479"/>
      <c r="BMQ60" s="479"/>
      <c r="BMR60" s="479"/>
      <c r="BMS60" s="479"/>
      <c r="BMT60" s="479"/>
      <c r="BMU60" s="479"/>
      <c r="BMV60" s="479"/>
      <c r="BMW60" s="479"/>
      <c r="BMX60" s="479"/>
      <c r="BMY60" s="479"/>
      <c r="BMZ60" s="479"/>
      <c r="BNA60" s="479"/>
      <c r="BNB60" s="479"/>
      <c r="BNC60" s="479"/>
      <c r="BND60" s="479"/>
      <c r="BNE60" s="479"/>
      <c r="BNF60" s="479"/>
      <c r="BNG60" s="479"/>
      <c r="BNH60" s="479"/>
      <c r="BNI60" s="479"/>
      <c r="BNJ60" s="479"/>
      <c r="BNK60" s="479"/>
      <c r="BNL60" s="479"/>
      <c r="BNM60" s="479"/>
      <c r="BNN60" s="479"/>
      <c r="BNO60" s="479"/>
      <c r="BNP60" s="479"/>
      <c r="BNQ60" s="479"/>
      <c r="BNR60" s="479"/>
      <c r="BNS60" s="479"/>
      <c r="BNT60" s="479"/>
      <c r="BNU60" s="479"/>
      <c r="BNV60" s="479"/>
      <c r="BNW60" s="479"/>
      <c r="BNX60" s="479"/>
      <c r="BNY60" s="479"/>
      <c r="BNZ60" s="479"/>
      <c r="BOA60" s="479"/>
      <c r="BOB60" s="479"/>
      <c r="BOC60" s="479"/>
      <c r="BOD60" s="479"/>
      <c r="BOE60" s="479"/>
      <c r="BOF60" s="479"/>
      <c r="BOG60" s="479"/>
      <c r="BOH60" s="479"/>
      <c r="BOI60" s="479"/>
      <c r="BOJ60" s="479"/>
      <c r="BOK60" s="479"/>
      <c r="BOL60" s="479"/>
      <c r="BOM60" s="479"/>
      <c r="BON60" s="479"/>
      <c r="BOO60" s="479"/>
      <c r="BOP60" s="479"/>
      <c r="BOQ60" s="479"/>
      <c r="BOR60" s="479"/>
      <c r="BOS60" s="479"/>
      <c r="BOT60" s="479"/>
      <c r="BOU60" s="479"/>
      <c r="BOV60" s="479"/>
      <c r="BOW60" s="479"/>
      <c r="BOX60" s="479"/>
      <c r="BOY60" s="479"/>
      <c r="BOZ60" s="479"/>
      <c r="BPA60" s="479"/>
      <c r="BPB60" s="479"/>
      <c r="BPC60" s="479"/>
      <c r="BPD60" s="479"/>
      <c r="BPE60" s="479"/>
      <c r="BPF60" s="479"/>
      <c r="BPG60" s="479"/>
      <c r="BPH60" s="479"/>
      <c r="BPI60" s="479"/>
      <c r="BPJ60" s="479"/>
      <c r="BPK60" s="479"/>
      <c r="BPL60" s="479"/>
      <c r="BPM60" s="479"/>
      <c r="BPN60" s="479"/>
      <c r="BPO60" s="479"/>
      <c r="BPP60" s="479"/>
      <c r="BPQ60" s="479"/>
      <c r="BPR60" s="479"/>
      <c r="BPS60" s="479"/>
      <c r="BPT60" s="479"/>
      <c r="BPU60" s="479"/>
      <c r="BPV60" s="479"/>
      <c r="BPW60" s="479"/>
      <c r="BPX60" s="479"/>
      <c r="BPY60" s="479"/>
      <c r="BPZ60" s="479"/>
      <c r="BQA60" s="479"/>
      <c r="BQB60" s="479"/>
      <c r="BQC60" s="479"/>
      <c r="BQD60" s="479"/>
      <c r="BQE60" s="479"/>
      <c r="BQF60" s="479"/>
      <c r="BQG60" s="479"/>
      <c r="BQH60" s="479"/>
      <c r="BQI60" s="479"/>
      <c r="BQJ60" s="479"/>
      <c r="BQK60" s="479"/>
      <c r="BQL60" s="479"/>
      <c r="BQM60" s="479"/>
      <c r="BQN60" s="479"/>
      <c r="BQO60" s="479"/>
      <c r="BQP60" s="479"/>
      <c r="BQQ60" s="479"/>
      <c r="BQR60" s="479"/>
      <c r="BQS60" s="479"/>
      <c r="BQT60" s="479"/>
      <c r="BQU60" s="479"/>
      <c r="BQV60" s="479"/>
      <c r="BQW60" s="479"/>
      <c r="BQX60" s="479"/>
      <c r="BQY60" s="479"/>
      <c r="BQZ60" s="479"/>
      <c r="BRA60" s="479"/>
      <c r="BRB60" s="479"/>
      <c r="BRC60" s="479"/>
      <c r="BRD60" s="479"/>
      <c r="BRE60" s="479"/>
      <c r="BRF60" s="479"/>
      <c r="BRG60" s="479"/>
      <c r="BRH60" s="479"/>
      <c r="BRI60" s="479"/>
      <c r="BRJ60" s="479"/>
      <c r="BRK60" s="479"/>
      <c r="BRL60" s="479"/>
      <c r="BRM60" s="479"/>
      <c r="BRN60" s="479"/>
      <c r="BRO60" s="479"/>
      <c r="BRP60" s="479"/>
      <c r="BRQ60" s="479"/>
      <c r="BRR60" s="479"/>
      <c r="BRS60" s="479"/>
      <c r="BRT60" s="479"/>
      <c r="BRU60" s="479"/>
      <c r="BRV60" s="479"/>
      <c r="BRW60" s="479"/>
      <c r="BRX60" s="479"/>
      <c r="BRY60" s="479"/>
      <c r="BRZ60" s="479"/>
      <c r="BSA60" s="479"/>
      <c r="BSB60" s="479"/>
      <c r="BSC60" s="479"/>
      <c r="BSD60" s="479"/>
      <c r="BSE60" s="479"/>
      <c r="BSF60" s="479"/>
      <c r="BSG60" s="479"/>
      <c r="BSH60" s="479"/>
      <c r="BSI60" s="479"/>
      <c r="BSJ60" s="479"/>
      <c r="BSK60" s="479"/>
      <c r="BSL60" s="479"/>
      <c r="BSM60" s="479"/>
      <c r="BSN60" s="479"/>
      <c r="BSO60" s="479"/>
      <c r="BSP60" s="479"/>
      <c r="BSQ60" s="479"/>
      <c r="BSR60" s="479"/>
      <c r="BSS60" s="479"/>
      <c r="BST60" s="479"/>
      <c r="BSU60" s="479"/>
      <c r="BSV60" s="479"/>
      <c r="BSW60" s="479"/>
      <c r="BSX60" s="479"/>
      <c r="BSY60" s="479"/>
      <c r="BSZ60" s="479"/>
      <c r="BTA60" s="479"/>
      <c r="BTB60" s="479"/>
      <c r="BTC60" s="479"/>
      <c r="BTD60" s="479"/>
      <c r="BTE60" s="479"/>
      <c r="BTF60" s="479"/>
      <c r="BTG60" s="479"/>
      <c r="BTH60" s="479"/>
      <c r="BTI60" s="479"/>
      <c r="BTJ60" s="479"/>
      <c r="BTK60" s="479"/>
      <c r="BTL60" s="479"/>
      <c r="BTM60" s="479"/>
      <c r="BTN60" s="479"/>
      <c r="BTO60" s="479"/>
      <c r="BTP60" s="479"/>
      <c r="BTQ60" s="479"/>
      <c r="BTR60" s="479"/>
      <c r="BTS60" s="479"/>
      <c r="BTT60" s="479"/>
      <c r="BTU60" s="479"/>
      <c r="BTV60" s="479"/>
      <c r="BTW60" s="479"/>
      <c r="BTX60" s="479"/>
      <c r="BTY60" s="479"/>
      <c r="BTZ60" s="479"/>
      <c r="BUA60" s="479"/>
      <c r="BUB60" s="479"/>
      <c r="BUC60" s="479"/>
      <c r="BUD60" s="479"/>
      <c r="BUE60" s="479"/>
      <c r="BUF60" s="479"/>
      <c r="BUG60" s="479"/>
      <c r="BUH60" s="479"/>
      <c r="BUI60" s="479"/>
      <c r="BUJ60" s="479"/>
      <c r="BUK60" s="479"/>
      <c r="BUL60" s="479"/>
      <c r="BUM60" s="479"/>
      <c r="BUN60" s="479"/>
      <c r="BUO60" s="479"/>
      <c r="BUP60" s="479"/>
      <c r="BUQ60" s="479"/>
      <c r="BUR60" s="479"/>
      <c r="BUS60" s="479"/>
      <c r="BUT60" s="479"/>
      <c r="BUU60" s="479"/>
      <c r="BUV60" s="479"/>
      <c r="BUW60" s="479"/>
      <c r="BUX60" s="479"/>
      <c r="BUY60" s="479"/>
      <c r="BUZ60" s="479"/>
      <c r="BVA60" s="479"/>
      <c r="BVB60" s="479"/>
      <c r="BVC60" s="479"/>
      <c r="BVD60" s="479"/>
      <c r="BVE60" s="479"/>
      <c r="BVF60" s="479"/>
      <c r="BVG60" s="479"/>
      <c r="BVH60" s="479"/>
      <c r="BVI60" s="479"/>
      <c r="BVJ60" s="479"/>
      <c r="BVK60" s="479"/>
      <c r="BVL60" s="479"/>
      <c r="BVM60" s="479"/>
      <c r="BVN60" s="479"/>
      <c r="BVO60" s="479"/>
      <c r="BVP60" s="479"/>
      <c r="BVQ60" s="479"/>
      <c r="BVR60" s="479"/>
      <c r="BVS60" s="479"/>
      <c r="BVT60" s="479"/>
      <c r="BVU60" s="479"/>
      <c r="BVV60" s="479"/>
      <c r="BVW60" s="479"/>
      <c r="BVX60" s="479"/>
      <c r="BVY60" s="479"/>
      <c r="BVZ60" s="479"/>
      <c r="BWA60" s="479"/>
      <c r="BWB60" s="479"/>
      <c r="BWC60" s="479"/>
      <c r="BWD60" s="479"/>
      <c r="BWE60" s="479"/>
      <c r="BWF60" s="479"/>
      <c r="BWG60" s="479"/>
      <c r="BWH60" s="479"/>
      <c r="BWI60" s="479"/>
      <c r="BWJ60" s="479"/>
      <c r="BWK60" s="479"/>
      <c r="BWL60" s="479"/>
      <c r="BWM60" s="479"/>
      <c r="BWN60" s="479"/>
      <c r="BWO60" s="479"/>
      <c r="BWP60" s="479"/>
      <c r="BWQ60" s="479"/>
      <c r="BWR60" s="479"/>
      <c r="BWS60" s="479"/>
      <c r="BWT60" s="479"/>
      <c r="BWU60" s="479"/>
      <c r="BWV60" s="479"/>
      <c r="BWW60" s="479"/>
      <c r="BWX60" s="479"/>
      <c r="BWY60" s="479"/>
      <c r="BWZ60" s="479"/>
      <c r="BXA60" s="479"/>
      <c r="BXB60" s="479"/>
      <c r="BXC60" s="479"/>
      <c r="BXD60" s="479"/>
      <c r="BXE60" s="479"/>
      <c r="BXF60" s="479"/>
      <c r="BXG60" s="479"/>
      <c r="BXH60" s="479"/>
      <c r="BXI60" s="479"/>
      <c r="BXJ60" s="479"/>
      <c r="BXK60" s="479"/>
      <c r="BXL60" s="479"/>
      <c r="BXM60" s="479"/>
      <c r="BXN60" s="479"/>
      <c r="BXO60" s="479"/>
      <c r="BXP60" s="479"/>
      <c r="BXQ60" s="479"/>
      <c r="BXR60" s="479"/>
      <c r="BXS60" s="479"/>
      <c r="BXT60" s="479"/>
      <c r="BXU60" s="479"/>
      <c r="BXV60" s="479"/>
      <c r="BXW60" s="479"/>
      <c r="BXX60" s="479"/>
      <c r="BXY60" s="479"/>
      <c r="BXZ60" s="479"/>
      <c r="BYA60" s="479"/>
      <c r="BYB60" s="479"/>
      <c r="BYC60" s="479"/>
      <c r="BYD60" s="479"/>
      <c r="BYE60" s="479"/>
      <c r="BYF60" s="479"/>
      <c r="BYG60" s="479"/>
      <c r="BYH60" s="479"/>
      <c r="BYI60" s="479"/>
      <c r="BYJ60" s="479"/>
      <c r="BYK60" s="479"/>
      <c r="BYL60" s="479"/>
      <c r="BYM60" s="479"/>
      <c r="BYN60" s="479"/>
      <c r="BYO60" s="479"/>
      <c r="BYP60" s="479"/>
      <c r="BYQ60" s="479"/>
      <c r="BYR60" s="479"/>
      <c r="BYS60" s="479"/>
      <c r="BYT60" s="479"/>
      <c r="BYU60" s="479"/>
      <c r="BYV60" s="479"/>
      <c r="BYW60" s="479"/>
      <c r="BYX60" s="479"/>
      <c r="BYY60" s="479"/>
      <c r="BYZ60" s="479"/>
      <c r="BZA60" s="479"/>
      <c r="BZB60" s="479"/>
      <c r="BZC60" s="479"/>
      <c r="BZD60" s="479"/>
      <c r="BZE60" s="479"/>
      <c r="BZF60" s="479"/>
      <c r="BZG60" s="479"/>
      <c r="BZH60" s="479"/>
      <c r="BZI60" s="479"/>
      <c r="BZJ60" s="479"/>
      <c r="BZK60" s="479"/>
      <c r="BZL60" s="479"/>
      <c r="BZM60" s="479"/>
      <c r="BZN60" s="479"/>
      <c r="BZO60" s="479"/>
      <c r="BZP60" s="479"/>
      <c r="BZQ60" s="479"/>
      <c r="BZR60" s="479"/>
      <c r="BZS60" s="479"/>
      <c r="BZT60" s="479"/>
      <c r="BZU60" s="479"/>
      <c r="BZV60" s="479"/>
      <c r="BZW60" s="479"/>
      <c r="BZX60" s="479"/>
      <c r="BZY60" s="479"/>
      <c r="BZZ60" s="479"/>
      <c r="CAA60" s="479"/>
      <c r="CAB60" s="479"/>
      <c r="CAC60" s="479"/>
      <c r="CAD60" s="479"/>
      <c r="CAE60" s="479"/>
      <c r="CAF60" s="479"/>
      <c r="CAG60" s="479"/>
      <c r="CAH60" s="479"/>
      <c r="CAI60" s="479"/>
      <c r="CAJ60" s="479"/>
      <c r="CAK60" s="479"/>
      <c r="CAL60" s="479"/>
      <c r="CAM60" s="479"/>
      <c r="CAN60" s="479"/>
      <c r="CAO60" s="479"/>
      <c r="CAP60" s="479"/>
      <c r="CAQ60" s="479"/>
      <c r="CAR60" s="479"/>
      <c r="CAS60" s="479"/>
      <c r="CAT60" s="479"/>
      <c r="CAU60" s="479"/>
      <c r="CAV60" s="479"/>
      <c r="CAW60" s="479"/>
      <c r="CAX60" s="479"/>
      <c r="CAY60" s="479"/>
      <c r="CAZ60" s="479"/>
      <c r="CBA60" s="479"/>
      <c r="CBB60" s="479"/>
      <c r="CBC60" s="479"/>
      <c r="CBD60" s="479"/>
      <c r="CBE60" s="479"/>
      <c r="CBF60" s="479"/>
      <c r="CBG60" s="479"/>
      <c r="CBH60" s="479"/>
      <c r="CBI60" s="479"/>
      <c r="CBJ60" s="479"/>
      <c r="CBK60" s="479"/>
      <c r="CBL60" s="479"/>
      <c r="CBM60" s="479"/>
      <c r="CBN60" s="479"/>
      <c r="CBO60" s="479"/>
      <c r="CBP60" s="479"/>
      <c r="CBQ60" s="479"/>
      <c r="CBR60" s="479"/>
      <c r="CBS60" s="479"/>
      <c r="CBT60" s="479"/>
      <c r="CBU60" s="479"/>
      <c r="CBV60" s="479"/>
      <c r="CBW60" s="479"/>
      <c r="CBX60" s="479"/>
      <c r="CBY60" s="479"/>
      <c r="CBZ60" s="479"/>
      <c r="CCA60" s="479"/>
      <c r="CCB60" s="479"/>
      <c r="CCC60" s="479"/>
      <c r="CCD60" s="479"/>
      <c r="CCE60" s="479"/>
      <c r="CCF60" s="479"/>
      <c r="CCG60" s="479"/>
      <c r="CCH60" s="479"/>
      <c r="CCI60" s="479"/>
      <c r="CCJ60" s="479"/>
      <c r="CCK60" s="479"/>
      <c r="CCL60" s="479"/>
      <c r="CCM60" s="479"/>
      <c r="CCN60" s="479"/>
      <c r="CCO60" s="479"/>
      <c r="CCP60" s="479"/>
      <c r="CCQ60" s="479"/>
      <c r="CCR60" s="479"/>
      <c r="CCS60" s="479"/>
      <c r="CCT60" s="479"/>
      <c r="CCU60" s="479"/>
      <c r="CCV60" s="479"/>
      <c r="CCW60" s="479"/>
      <c r="CCX60" s="479"/>
      <c r="CCY60" s="479"/>
      <c r="CCZ60" s="479"/>
      <c r="CDA60" s="479"/>
      <c r="CDB60" s="479"/>
      <c r="CDC60" s="479"/>
      <c r="CDD60" s="479"/>
      <c r="CDE60" s="479"/>
      <c r="CDF60" s="479"/>
      <c r="CDG60" s="479"/>
      <c r="CDH60" s="479"/>
      <c r="CDI60" s="479"/>
      <c r="CDJ60" s="479"/>
      <c r="CDK60" s="479"/>
      <c r="CDL60" s="479"/>
      <c r="CDM60" s="479"/>
      <c r="CDN60" s="479"/>
      <c r="CDO60" s="479"/>
      <c r="CDP60" s="479"/>
      <c r="CDQ60" s="479"/>
      <c r="CDR60" s="479"/>
      <c r="CDS60" s="479"/>
      <c r="CDT60" s="479"/>
      <c r="CDU60" s="479"/>
      <c r="CDV60" s="479"/>
      <c r="CDW60" s="479"/>
      <c r="CDX60" s="479"/>
      <c r="CDY60" s="479"/>
      <c r="CDZ60" s="479"/>
      <c r="CEA60" s="479"/>
      <c r="CEB60" s="479"/>
      <c r="CEC60" s="479"/>
      <c r="CED60" s="479"/>
      <c r="CEE60" s="479"/>
      <c r="CEF60" s="479"/>
      <c r="CEG60" s="479"/>
      <c r="CEH60" s="479"/>
      <c r="CEI60" s="479"/>
      <c r="CEJ60" s="479"/>
      <c r="CEK60" s="479"/>
      <c r="CEL60" s="479"/>
      <c r="CEM60" s="479"/>
      <c r="CEN60" s="479"/>
      <c r="CEO60" s="479"/>
      <c r="CEP60" s="479"/>
      <c r="CEQ60" s="479"/>
      <c r="CER60" s="479"/>
      <c r="CES60" s="479"/>
      <c r="CET60" s="479"/>
      <c r="CEU60" s="479"/>
      <c r="CEV60" s="479"/>
      <c r="CEW60" s="479"/>
      <c r="CEX60" s="479"/>
      <c r="CEY60" s="479"/>
      <c r="CEZ60" s="479"/>
      <c r="CFA60" s="479"/>
      <c r="CFB60" s="479"/>
      <c r="CFC60" s="479"/>
      <c r="CFD60" s="479"/>
      <c r="CFE60" s="479"/>
      <c r="CFF60" s="479"/>
      <c r="CFG60" s="479"/>
      <c r="CFH60" s="479"/>
      <c r="CFI60" s="479"/>
      <c r="CFJ60" s="479"/>
      <c r="CFK60" s="479"/>
      <c r="CFL60" s="479"/>
      <c r="CFM60" s="479"/>
      <c r="CFN60" s="479"/>
      <c r="CFO60" s="479"/>
      <c r="CFP60" s="479"/>
      <c r="CFQ60" s="479"/>
      <c r="CFR60" s="479"/>
      <c r="CFS60" s="479"/>
      <c r="CFT60" s="479"/>
      <c r="CFU60" s="479"/>
      <c r="CFV60" s="479"/>
      <c r="CFW60" s="479"/>
      <c r="CFX60" s="479"/>
      <c r="CFY60" s="479"/>
      <c r="CFZ60" s="479"/>
      <c r="CGA60" s="479"/>
      <c r="CGB60" s="479"/>
      <c r="CGC60" s="479"/>
      <c r="CGD60" s="479"/>
      <c r="CGE60" s="479"/>
      <c r="CGF60" s="479"/>
      <c r="CGG60" s="479"/>
      <c r="CGH60" s="479"/>
      <c r="CGI60" s="479"/>
      <c r="CGJ60" s="479"/>
      <c r="CGK60" s="479"/>
      <c r="CGL60" s="479"/>
      <c r="CGM60" s="479"/>
      <c r="CGN60" s="479"/>
      <c r="CGO60" s="479"/>
      <c r="CGP60" s="479"/>
      <c r="CGQ60" s="479"/>
      <c r="CGR60" s="479"/>
      <c r="CGS60" s="479"/>
      <c r="CGT60" s="479"/>
      <c r="CGU60" s="479"/>
      <c r="CGV60" s="479"/>
      <c r="CGW60" s="479"/>
      <c r="CGX60" s="479"/>
      <c r="CGY60" s="479"/>
      <c r="CGZ60" s="479"/>
      <c r="CHA60" s="479"/>
      <c r="CHB60" s="479"/>
      <c r="CHC60" s="479"/>
      <c r="CHD60" s="479"/>
      <c r="CHE60" s="479"/>
      <c r="CHF60" s="479"/>
      <c r="CHG60" s="479"/>
      <c r="CHH60" s="479"/>
      <c r="CHI60" s="479"/>
      <c r="CHJ60" s="479"/>
      <c r="CHK60" s="479"/>
      <c r="CHL60" s="479"/>
      <c r="CHM60" s="479"/>
      <c r="CHN60" s="479"/>
      <c r="CHO60" s="479"/>
      <c r="CHP60" s="479"/>
      <c r="CHQ60" s="479"/>
      <c r="CHR60" s="479"/>
      <c r="CHS60" s="479"/>
      <c r="CHT60" s="479"/>
      <c r="CHU60" s="479"/>
      <c r="CHV60" s="479"/>
      <c r="CHW60" s="479"/>
      <c r="CHX60" s="479"/>
      <c r="CHY60" s="479"/>
      <c r="CHZ60" s="479"/>
      <c r="CIA60" s="479"/>
      <c r="CIB60" s="479"/>
      <c r="CIC60" s="479"/>
      <c r="CID60" s="479"/>
      <c r="CIE60" s="479"/>
      <c r="CIF60" s="479"/>
      <c r="CIG60" s="479"/>
      <c r="CIH60" s="479"/>
      <c r="CII60" s="479"/>
      <c r="CIJ60" s="479"/>
      <c r="CIK60" s="479"/>
      <c r="CIL60" s="479"/>
      <c r="CIM60" s="479"/>
      <c r="CIN60" s="479"/>
      <c r="CIO60" s="479"/>
      <c r="CIP60" s="479"/>
      <c r="CIQ60" s="479"/>
      <c r="CIR60" s="479"/>
      <c r="CIS60" s="479"/>
      <c r="CIT60" s="479"/>
      <c r="CIU60" s="479"/>
      <c r="CIV60" s="479"/>
      <c r="CIW60" s="479"/>
      <c r="CIX60" s="479"/>
      <c r="CIY60" s="479"/>
      <c r="CIZ60" s="479"/>
      <c r="CJA60" s="479"/>
      <c r="CJB60" s="479"/>
      <c r="CJC60" s="479"/>
      <c r="CJD60" s="479"/>
      <c r="CJE60" s="479"/>
      <c r="CJF60" s="479"/>
      <c r="CJG60" s="479"/>
      <c r="CJH60" s="479"/>
      <c r="CJI60" s="479"/>
      <c r="CJJ60" s="479"/>
      <c r="CJK60" s="479"/>
      <c r="CJL60" s="479"/>
      <c r="CJM60" s="479"/>
      <c r="CJN60" s="479"/>
      <c r="CJO60" s="479"/>
      <c r="CJP60" s="479"/>
      <c r="CJQ60" s="479"/>
      <c r="CJR60" s="479"/>
      <c r="CJS60" s="479"/>
      <c r="CJT60" s="479"/>
      <c r="CJU60" s="479"/>
      <c r="CJV60" s="479"/>
      <c r="CJW60" s="479"/>
      <c r="CJX60" s="479"/>
      <c r="CJY60" s="479"/>
      <c r="CJZ60" s="479"/>
      <c r="CKA60" s="479"/>
      <c r="CKB60" s="479"/>
      <c r="CKC60" s="479"/>
      <c r="CKD60" s="479"/>
      <c r="CKE60" s="479"/>
      <c r="CKF60" s="479"/>
      <c r="CKG60" s="479"/>
      <c r="CKH60" s="479"/>
      <c r="CKI60" s="479"/>
      <c r="CKJ60" s="479"/>
      <c r="CKK60" s="479"/>
      <c r="CKL60" s="479"/>
      <c r="CKM60" s="479"/>
      <c r="CKN60" s="479"/>
      <c r="CKO60" s="479"/>
      <c r="CKP60" s="479"/>
      <c r="CKQ60" s="479"/>
      <c r="CKR60" s="479"/>
      <c r="CKS60" s="479"/>
      <c r="CKT60" s="479"/>
      <c r="CKU60" s="479"/>
      <c r="CKV60" s="479"/>
      <c r="CKW60" s="479"/>
      <c r="CKX60" s="479"/>
      <c r="CKY60" s="479"/>
      <c r="CKZ60" s="479"/>
      <c r="CLA60" s="479"/>
      <c r="CLB60" s="479"/>
      <c r="CLC60" s="479"/>
      <c r="CLD60" s="479"/>
      <c r="CLE60" s="479"/>
      <c r="CLF60" s="479"/>
      <c r="CLG60" s="479"/>
      <c r="CLH60" s="479"/>
      <c r="CLI60" s="479"/>
      <c r="CLJ60" s="479"/>
      <c r="CLK60" s="479"/>
      <c r="CLL60" s="479"/>
      <c r="CLM60" s="479"/>
      <c r="CLN60" s="479"/>
      <c r="CLO60" s="479"/>
      <c r="CLP60" s="479"/>
      <c r="CLQ60" s="479"/>
      <c r="CLR60" s="479"/>
      <c r="CLS60" s="479"/>
      <c r="CLT60" s="479"/>
      <c r="CLU60" s="479"/>
      <c r="CLV60" s="479"/>
      <c r="CLW60" s="479"/>
      <c r="CLX60" s="479"/>
      <c r="CLY60" s="479"/>
      <c r="CLZ60" s="479"/>
      <c r="CMA60" s="479"/>
      <c r="CMB60" s="479"/>
      <c r="CMC60" s="479"/>
      <c r="CMD60" s="479"/>
      <c r="CME60" s="479"/>
      <c r="CMF60" s="479"/>
      <c r="CMG60" s="479"/>
      <c r="CMH60" s="479"/>
      <c r="CMI60" s="479"/>
      <c r="CMJ60" s="479"/>
      <c r="CMK60" s="479"/>
      <c r="CML60" s="479"/>
      <c r="CMM60" s="479"/>
      <c r="CMN60" s="479"/>
      <c r="CMO60" s="479"/>
      <c r="CMP60" s="479"/>
      <c r="CMQ60" s="479"/>
      <c r="CMR60" s="479"/>
      <c r="CMS60" s="479"/>
      <c r="CMT60" s="479"/>
      <c r="CMU60" s="479"/>
      <c r="CMV60" s="479"/>
      <c r="CMW60" s="479"/>
      <c r="CMX60" s="479"/>
      <c r="CMY60" s="479"/>
      <c r="CMZ60" s="479"/>
      <c r="CNA60" s="479"/>
      <c r="CNB60" s="479"/>
      <c r="CNC60" s="479"/>
      <c r="CND60" s="479"/>
      <c r="CNE60" s="479"/>
      <c r="CNF60" s="479"/>
      <c r="CNG60" s="479"/>
      <c r="CNH60" s="479"/>
      <c r="CNI60" s="479"/>
      <c r="CNJ60" s="479"/>
      <c r="CNK60" s="479"/>
      <c r="CNL60" s="479"/>
      <c r="CNM60" s="479"/>
      <c r="CNN60" s="479"/>
      <c r="CNO60" s="479"/>
      <c r="CNP60" s="479"/>
      <c r="CNQ60" s="479"/>
      <c r="CNR60" s="479"/>
      <c r="CNS60" s="479"/>
      <c r="CNT60" s="479"/>
      <c r="CNU60" s="479"/>
      <c r="CNV60" s="479"/>
      <c r="CNW60" s="479"/>
      <c r="CNX60" s="479"/>
      <c r="CNY60" s="479"/>
      <c r="CNZ60" s="479"/>
      <c r="COA60" s="479"/>
      <c r="COB60" s="479"/>
      <c r="COC60" s="479"/>
      <c r="COD60" s="479"/>
      <c r="COE60" s="479"/>
      <c r="COF60" s="479"/>
      <c r="COG60" s="479"/>
      <c r="COH60" s="479"/>
      <c r="COI60" s="479"/>
      <c r="COJ60" s="479"/>
      <c r="COK60" s="479"/>
      <c r="COL60" s="479"/>
      <c r="COM60" s="479"/>
      <c r="CON60" s="479"/>
      <c r="COO60" s="479"/>
      <c r="COP60" s="479"/>
      <c r="COQ60" s="479"/>
      <c r="COR60" s="479"/>
      <c r="COS60" s="479"/>
      <c r="COT60" s="479"/>
      <c r="COU60" s="479"/>
      <c r="COV60" s="479"/>
      <c r="COW60" s="479"/>
      <c r="COX60" s="479"/>
      <c r="COY60" s="479"/>
      <c r="COZ60" s="479"/>
      <c r="CPA60" s="479"/>
      <c r="CPB60" s="479"/>
      <c r="CPC60" s="479"/>
      <c r="CPD60" s="479"/>
      <c r="CPE60" s="479"/>
      <c r="CPF60" s="479"/>
      <c r="CPG60" s="479"/>
      <c r="CPH60" s="479"/>
      <c r="CPI60" s="479"/>
      <c r="CPJ60" s="479"/>
      <c r="CPK60" s="479"/>
      <c r="CPL60" s="479"/>
      <c r="CPM60" s="479"/>
      <c r="CPN60" s="479"/>
      <c r="CPO60" s="479"/>
      <c r="CPP60" s="479"/>
      <c r="CPQ60" s="479"/>
      <c r="CPR60" s="479"/>
      <c r="CPS60" s="479"/>
      <c r="CPT60" s="479"/>
      <c r="CPU60" s="479"/>
      <c r="CPV60" s="479"/>
      <c r="CPW60" s="479"/>
      <c r="CPX60" s="479"/>
      <c r="CPY60" s="479"/>
      <c r="CPZ60" s="479"/>
      <c r="CQA60" s="479"/>
      <c r="CQB60" s="479"/>
      <c r="CQC60" s="479"/>
      <c r="CQD60" s="479"/>
      <c r="CQE60" s="479"/>
      <c r="CQF60" s="479"/>
      <c r="CQG60" s="479"/>
      <c r="CQH60" s="479"/>
      <c r="CQI60" s="479"/>
      <c r="CQJ60" s="479"/>
      <c r="CQK60" s="479"/>
      <c r="CQL60" s="479"/>
      <c r="CQM60" s="479"/>
      <c r="CQN60" s="479"/>
      <c r="CQO60" s="479"/>
      <c r="CQP60" s="479"/>
      <c r="CQQ60" s="479"/>
      <c r="CQR60" s="479"/>
      <c r="CQS60" s="479"/>
      <c r="CQT60" s="479"/>
      <c r="CQU60" s="479"/>
      <c r="CQV60" s="479"/>
      <c r="CQW60" s="479"/>
      <c r="CQX60" s="479"/>
      <c r="CQY60" s="479"/>
      <c r="CQZ60" s="479"/>
      <c r="CRA60" s="479"/>
      <c r="CRB60" s="479"/>
      <c r="CRC60" s="479"/>
      <c r="CRD60" s="479"/>
      <c r="CRE60" s="479"/>
      <c r="CRF60" s="479"/>
      <c r="CRG60" s="479"/>
      <c r="CRH60" s="479"/>
      <c r="CRI60" s="479"/>
      <c r="CRJ60" s="479"/>
      <c r="CRK60" s="479"/>
      <c r="CRL60" s="479"/>
      <c r="CRM60" s="479"/>
      <c r="CRN60" s="479"/>
      <c r="CRO60" s="479"/>
      <c r="CRP60" s="479"/>
      <c r="CRQ60" s="479"/>
      <c r="CRR60" s="479"/>
      <c r="CRS60" s="479"/>
      <c r="CRT60" s="479"/>
      <c r="CRU60" s="479"/>
      <c r="CRV60" s="479"/>
      <c r="CRW60" s="479"/>
      <c r="CRX60" s="479"/>
      <c r="CRY60" s="479"/>
      <c r="CRZ60" s="479"/>
      <c r="CSA60" s="479"/>
      <c r="CSB60" s="479"/>
      <c r="CSC60" s="479"/>
      <c r="CSD60" s="479"/>
      <c r="CSE60" s="479"/>
      <c r="CSF60" s="479"/>
      <c r="CSG60" s="479"/>
      <c r="CSH60" s="479"/>
      <c r="CSI60" s="479"/>
      <c r="CSJ60" s="479"/>
      <c r="CSK60" s="479"/>
      <c r="CSL60" s="479"/>
      <c r="CSM60" s="479"/>
      <c r="CSN60" s="479"/>
      <c r="CSO60" s="479"/>
      <c r="CSP60" s="479"/>
      <c r="CSQ60" s="479"/>
      <c r="CSR60" s="479"/>
      <c r="CSS60" s="479"/>
      <c r="CST60" s="479"/>
      <c r="CSU60" s="479"/>
      <c r="CSV60" s="479"/>
      <c r="CSW60" s="479"/>
      <c r="CSX60" s="479"/>
      <c r="CSY60" s="479"/>
      <c r="CSZ60" s="479"/>
      <c r="CTA60" s="479"/>
      <c r="CTB60" s="479"/>
      <c r="CTC60" s="479"/>
      <c r="CTD60" s="479"/>
      <c r="CTE60" s="479"/>
      <c r="CTF60" s="479"/>
      <c r="CTG60" s="479"/>
      <c r="CTH60" s="479"/>
      <c r="CTI60" s="479"/>
      <c r="CTJ60" s="479"/>
      <c r="CTK60" s="479"/>
      <c r="CTL60" s="479"/>
      <c r="CTM60" s="479"/>
      <c r="CTN60" s="479"/>
      <c r="CTO60" s="479"/>
      <c r="CTP60" s="479"/>
      <c r="CTQ60" s="479"/>
      <c r="CTR60" s="479"/>
      <c r="CTS60" s="479"/>
      <c r="CTT60" s="479"/>
      <c r="CTU60" s="479"/>
      <c r="CTV60" s="479"/>
      <c r="CTW60" s="479"/>
      <c r="CTX60" s="479"/>
      <c r="CTY60" s="479"/>
      <c r="CTZ60" s="479"/>
      <c r="CUA60" s="479"/>
      <c r="CUB60" s="479"/>
      <c r="CUC60" s="479"/>
      <c r="CUD60" s="479"/>
      <c r="CUE60" s="479"/>
      <c r="CUF60" s="479"/>
      <c r="CUG60" s="479"/>
      <c r="CUH60" s="479"/>
      <c r="CUI60" s="479"/>
      <c r="CUJ60" s="479"/>
      <c r="CUK60" s="479"/>
      <c r="CUL60" s="479"/>
      <c r="CUM60" s="479"/>
      <c r="CUN60" s="479"/>
      <c r="CUO60" s="479"/>
      <c r="CUP60" s="479"/>
      <c r="CUQ60" s="479"/>
      <c r="CUR60" s="479"/>
      <c r="CUS60" s="479"/>
      <c r="CUT60" s="479"/>
      <c r="CUU60" s="479"/>
      <c r="CUV60" s="479"/>
      <c r="CUW60" s="479"/>
      <c r="CUX60" s="479"/>
      <c r="CUY60" s="479"/>
      <c r="CUZ60" s="479"/>
      <c r="CVA60" s="479"/>
      <c r="CVB60" s="479"/>
      <c r="CVC60" s="479"/>
      <c r="CVD60" s="479"/>
      <c r="CVE60" s="479"/>
      <c r="CVF60" s="479"/>
      <c r="CVG60" s="479"/>
      <c r="CVH60" s="479"/>
      <c r="CVI60" s="479"/>
      <c r="CVJ60" s="479"/>
      <c r="CVK60" s="479"/>
      <c r="CVL60" s="479"/>
      <c r="CVM60" s="479"/>
      <c r="CVN60" s="479"/>
      <c r="CVO60" s="479"/>
      <c r="CVP60" s="479"/>
      <c r="CVQ60" s="479"/>
      <c r="CVR60" s="479"/>
      <c r="CVS60" s="479"/>
      <c r="CVT60" s="479"/>
      <c r="CVU60" s="479"/>
      <c r="CVV60" s="479"/>
      <c r="CVW60" s="479"/>
      <c r="CVX60" s="479"/>
      <c r="CVY60" s="479"/>
      <c r="CVZ60" s="479"/>
      <c r="CWA60" s="479"/>
      <c r="CWB60" s="479"/>
      <c r="CWC60" s="479"/>
      <c r="CWD60" s="479"/>
      <c r="CWE60" s="479"/>
      <c r="CWF60" s="479"/>
      <c r="CWG60" s="479"/>
      <c r="CWH60" s="479"/>
      <c r="CWI60" s="479"/>
      <c r="CWJ60" s="479"/>
      <c r="CWK60" s="479"/>
      <c r="CWL60" s="479"/>
      <c r="CWM60" s="479"/>
      <c r="CWN60" s="479"/>
      <c r="CWO60" s="479"/>
      <c r="CWP60" s="479"/>
      <c r="CWQ60" s="479"/>
      <c r="CWR60" s="479"/>
      <c r="CWS60" s="479"/>
      <c r="CWT60" s="479"/>
      <c r="CWU60" s="479"/>
      <c r="CWV60" s="479"/>
      <c r="CWW60" s="479"/>
      <c r="CWX60" s="479"/>
      <c r="CWY60" s="479"/>
      <c r="CWZ60" s="479"/>
      <c r="CXA60" s="479"/>
      <c r="CXB60" s="479"/>
      <c r="CXC60" s="479"/>
      <c r="CXD60" s="479"/>
      <c r="CXE60" s="479"/>
      <c r="CXF60" s="479"/>
      <c r="CXG60" s="479"/>
      <c r="CXH60" s="479"/>
      <c r="CXI60" s="479"/>
      <c r="CXJ60" s="479"/>
      <c r="CXK60" s="479"/>
      <c r="CXL60" s="479"/>
      <c r="CXM60" s="479"/>
      <c r="CXN60" s="479"/>
      <c r="CXO60" s="479"/>
      <c r="CXP60" s="479"/>
      <c r="CXQ60" s="479"/>
      <c r="CXR60" s="479"/>
      <c r="CXS60" s="479"/>
      <c r="CXT60" s="479"/>
      <c r="CXU60" s="479"/>
      <c r="CXV60" s="479"/>
      <c r="CXW60" s="479"/>
      <c r="CXX60" s="479"/>
      <c r="CXY60" s="479"/>
      <c r="CXZ60" s="479"/>
      <c r="CYA60" s="479"/>
      <c r="CYB60" s="479"/>
      <c r="CYC60" s="479"/>
      <c r="CYD60" s="479"/>
      <c r="CYE60" s="479"/>
      <c r="CYF60" s="479"/>
      <c r="CYG60" s="479"/>
      <c r="CYH60" s="479"/>
      <c r="CYI60" s="479"/>
      <c r="CYJ60" s="479"/>
      <c r="CYK60" s="479"/>
      <c r="CYL60" s="479"/>
      <c r="CYM60" s="479"/>
      <c r="CYN60" s="479"/>
      <c r="CYO60" s="479"/>
      <c r="CYP60" s="479"/>
      <c r="CYQ60" s="479"/>
      <c r="CYR60" s="479"/>
      <c r="CYS60" s="479"/>
      <c r="CYT60" s="479"/>
      <c r="CYU60" s="479"/>
      <c r="CYV60" s="479"/>
      <c r="CYW60" s="479"/>
      <c r="CYX60" s="479"/>
      <c r="CYY60" s="479"/>
      <c r="CYZ60" s="479"/>
      <c r="CZA60" s="479"/>
      <c r="CZB60" s="479"/>
      <c r="CZC60" s="479"/>
      <c r="CZD60" s="479"/>
      <c r="CZE60" s="479"/>
      <c r="CZF60" s="479"/>
      <c r="CZG60" s="479"/>
      <c r="CZH60" s="479"/>
      <c r="CZI60" s="479"/>
      <c r="CZJ60" s="479"/>
      <c r="CZK60" s="479"/>
      <c r="CZL60" s="479"/>
      <c r="CZM60" s="479"/>
      <c r="CZN60" s="479"/>
      <c r="CZO60" s="479"/>
      <c r="CZP60" s="479"/>
      <c r="CZQ60" s="479"/>
      <c r="CZR60" s="479"/>
      <c r="CZS60" s="479"/>
      <c r="CZT60" s="479"/>
      <c r="CZU60" s="479"/>
      <c r="CZV60" s="479"/>
      <c r="CZW60" s="479"/>
      <c r="CZX60" s="479"/>
      <c r="CZY60" s="479"/>
      <c r="CZZ60" s="479"/>
      <c r="DAA60" s="479"/>
      <c r="DAB60" s="479"/>
      <c r="DAC60" s="479"/>
      <c r="DAD60" s="479"/>
      <c r="DAE60" s="479"/>
      <c r="DAF60" s="479"/>
      <c r="DAG60" s="479"/>
      <c r="DAH60" s="479"/>
      <c r="DAI60" s="479"/>
      <c r="DAJ60" s="479"/>
      <c r="DAK60" s="479"/>
      <c r="DAL60" s="479"/>
      <c r="DAM60" s="479"/>
      <c r="DAN60" s="479"/>
      <c r="DAO60" s="479"/>
      <c r="DAP60" s="479"/>
      <c r="DAQ60" s="479"/>
      <c r="DAR60" s="479"/>
      <c r="DAS60" s="479"/>
      <c r="DAT60" s="479"/>
      <c r="DAU60" s="479"/>
      <c r="DAV60" s="479"/>
      <c r="DAW60" s="479"/>
      <c r="DAX60" s="479"/>
      <c r="DAY60" s="479"/>
      <c r="DAZ60" s="479"/>
      <c r="DBA60" s="479"/>
      <c r="DBB60" s="479"/>
      <c r="DBC60" s="479"/>
      <c r="DBD60" s="479"/>
      <c r="DBE60" s="479"/>
      <c r="DBF60" s="479"/>
      <c r="DBG60" s="479"/>
      <c r="DBH60" s="479"/>
      <c r="DBI60" s="479"/>
      <c r="DBJ60" s="479"/>
      <c r="DBK60" s="479"/>
      <c r="DBL60" s="479"/>
      <c r="DBM60" s="479"/>
      <c r="DBN60" s="479"/>
      <c r="DBO60" s="479"/>
      <c r="DBP60" s="479"/>
      <c r="DBQ60" s="479"/>
      <c r="DBR60" s="479"/>
      <c r="DBS60" s="479"/>
      <c r="DBT60" s="479"/>
      <c r="DBU60" s="479"/>
      <c r="DBV60" s="479"/>
      <c r="DBW60" s="479"/>
      <c r="DBX60" s="479"/>
      <c r="DBY60" s="479"/>
      <c r="DBZ60" s="479"/>
      <c r="DCA60" s="479"/>
      <c r="DCB60" s="479"/>
      <c r="DCC60" s="479"/>
      <c r="DCD60" s="479"/>
      <c r="DCE60" s="479"/>
      <c r="DCF60" s="479"/>
      <c r="DCG60" s="479"/>
      <c r="DCH60" s="479"/>
      <c r="DCI60" s="479"/>
      <c r="DCJ60" s="479"/>
      <c r="DCK60" s="479"/>
      <c r="DCL60" s="479"/>
      <c r="DCM60" s="479"/>
      <c r="DCN60" s="479"/>
      <c r="DCO60" s="479"/>
      <c r="DCP60" s="479"/>
      <c r="DCQ60" s="479"/>
      <c r="DCR60" s="479"/>
      <c r="DCS60" s="479"/>
      <c r="DCT60" s="479"/>
      <c r="DCU60" s="479"/>
      <c r="DCV60" s="479"/>
      <c r="DCW60" s="479"/>
      <c r="DCX60" s="479"/>
      <c r="DCY60" s="479"/>
      <c r="DCZ60" s="479"/>
      <c r="DDA60" s="479"/>
      <c r="DDB60" s="479"/>
      <c r="DDC60" s="479"/>
      <c r="DDD60" s="479"/>
      <c r="DDE60" s="479"/>
      <c r="DDF60" s="479"/>
      <c r="DDG60" s="479"/>
      <c r="DDH60" s="479"/>
      <c r="DDI60" s="479"/>
      <c r="DDJ60" s="479"/>
      <c r="DDK60" s="479"/>
      <c r="DDL60" s="479"/>
      <c r="DDM60" s="479"/>
      <c r="DDN60" s="479"/>
      <c r="DDO60" s="479"/>
      <c r="DDP60" s="479"/>
      <c r="DDQ60" s="479"/>
      <c r="DDR60" s="479"/>
      <c r="DDS60" s="479"/>
      <c r="DDT60" s="479"/>
      <c r="DDU60" s="479"/>
      <c r="DDV60" s="479"/>
      <c r="DDW60" s="479"/>
      <c r="DDX60" s="479"/>
      <c r="DDY60" s="479"/>
      <c r="DDZ60" s="479"/>
      <c r="DEA60" s="479"/>
      <c r="DEB60" s="479"/>
      <c r="DEC60" s="479"/>
      <c r="DED60" s="479"/>
      <c r="DEE60" s="479"/>
      <c r="DEF60" s="479"/>
      <c r="DEG60" s="479"/>
      <c r="DEH60" s="479"/>
      <c r="DEI60" s="479"/>
      <c r="DEJ60" s="479"/>
      <c r="DEK60" s="479"/>
      <c r="DEL60" s="479"/>
      <c r="DEM60" s="479"/>
      <c r="DEN60" s="479"/>
      <c r="DEO60" s="479"/>
      <c r="DEP60" s="479"/>
      <c r="DEQ60" s="479"/>
      <c r="DER60" s="479"/>
      <c r="DES60" s="479"/>
      <c r="DET60" s="479"/>
      <c r="DEU60" s="479"/>
      <c r="DEV60" s="479"/>
      <c r="DEW60" s="479"/>
      <c r="DEX60" s="479"/>
      <c r="DEY60" s="479"/>
      <c r="DEZ60" s="479"/>
      <c r="DFA60" s="479"/>
      <c r="DFB60" s="479"/>
      <c r="DFC60" s="479"/>
      <c r="DFD60" s="479"/>
      <c r="DFE60" s="479"/>
      <c r="DFF60" s="479"/>
      <c r="DFG60" s="479"/>
      <c r="DFH60" s="479"/>
      <c r="DFI60" s="479"/>
      <c r="DFJ60" s="479"/>
      <c r="DFK60" s="479"/>
      <c r="DFL60" s="479"/>
      <c r="DFM60" s="479"/>
      <c r="DFN60" s="479"/>
      <c r="DFO60" s="479"/>
      <c r="DFP60" s="479"/>
      <c r="DFQ60" s="479"/>
      <c r="DFR60" s="479"/>
      <c r="DFS60" s="479"/>
      <c r="DFT60" s="479"/>
      <c r="DFU60" s="479"/>
      <c r="DFV60" s="479"/>
      <c r="DFW60" s="479"/>
      <c r="DFX60" s="479"/>
      <c r="DFY60" s="479"/>
      <c r="DFZ60" s="479"/>
      <c r="DGA60" s="479"/>
      <c r="DGB60" s="479"/>
      <c r="DGC60" s="479"/>
      <c r="DGD60" s="479"/>
      <c r="DGE60" s="479"/>
      <c r="DGF60" s="479"/>
      <c r="DGG60" s="479"/>
      <c r="DGH60" s="479"/>
      <c r="DGI60" s="479"/>
      <c r="DGJ60" s="479"/>
      <c r="DGK60" s="479"/>
      <c r="DGL60" s="479"/>
      <c r="DGM60" s="479"/>
      <c r="DGN60" s="479"/>
      <c r="DGO60" s="479"/>
      <c r="DGP60" s="479"/>
      <c r="DGQ60" s="479"/>
      <c r="DGR60" s="479"/>
      <c r="DGS60" s="479"/>
      <c r="DGT60" s="479"/>
      <c r="DGU60" s="479"/>
      <c r="DGV60" s="479"/>
      <c r="DGW60" s="479"/>
      <c r="DGX60" s="479"/>
      <c r="DGY60" s="479"/>
      <c r="DGZ60" s="479"/>
      <c r="DHA60" s="479"/>
      <c r="DHB60" s="479"/>
      <c r="DHC60" s="479"/>
      <c r="DHD60" s="479"/>
      <c r="DHE60" s="479"/>
      <c r="DHF60" s="479"/>
      <c r="DHG60" s="479"/>
      <c r="DHH60" s="479"/>
      <c r="DHI60" s="479"/>
      <c r="DHJ60" s="479"/>
      <c r="DHK60" s="479"/>
      <c r="DHL60" s="479"/>
      <c r="DHM60" s="479"/>
      <c r="DHN60" s="479"/>
      <c r="DHO60" s="479"/>
      <c r="DHP60" s="479"/>
      <c r="DHQ60" s="479"/>
      <c r="DHR60" s="479"/>
      <c r="DHS60" s="479"/>
      <c r="DHT60" s="479"/>
      <c r="DHU60" s="479"/>
      <c r="DHV60" s="479"/>
      <c r="DHW60" s="479"/>
      <c r="DHX60" s="479"/>
      <c r="DHY60" s="479"/>
      <c r="DHZ60" s="479"/>
      <c r="DIA60" s="479"/>
      <c r="DIB60" s="479"/>
      <c r="DIC60" s="479"/>
      <c r="DID60" s="479"/>
      <c r="DIE60" s="479"/>
      <c r="DIF60" s="479"/>
      <c r="DIG60" s="479"/>
      <c r="DIH60" s="479"/>
      <c r="DII60" s="479"/>
      <c r="DIJ60" s="479"/>
      <c r="DIK60" s="479"/>
      <c r="DIL60" s="479"/>
      <c r="DIM60" s="479"/>
      <c r="DIN60" s="479"/>
      <c r="DIO60" s="479"/>
      <c r="DIP60" s="479"/>
      <c r="DIQ60" s="479"/>
      <c r="DIR60" s="479"/>
      <c r="DIS60" s="479"/>
      <c r="DIT60" s="479"/>
      <c r="DIU60" s="479"/>
      <c r="DIV60" s="479"/>
      <c r="DIW60" s="479"/>
      <c r="DIX60" s="479"/>
      <c r="DIY60" s="479"/>
      <c r="DIZ60" s="479"/>
      <c r="DJA60" s="479"/>
      <c r="DJB60" s="479"/>
      <c r="DJC60" s="479"/>
      <c r="DJD60" s="479"/>
      <c r="DJE60" s="479"/>
      <c r="DJF60" s="479"/>
      <c r="DJG60" s="479"/>
      <c r="DJH60" s="479"/>
      <c r="DJI60" s="479"/>
      <c r="DJJ60" s="479"/>
      <c r="DJK60" s="479"/>
      <c r="DJL60" s="479"/>
      <c r="DJM60" s="479"/>
      <c r="DJN60" s="479"/>
      <c r="DJO60" s="479"/>
      <c r="DJP60" s="479"/>
      <c r="DJQ60" s="479"/>
      <c r="DJR60" s="479"/>
      <c r="DJS60" s="479"/>
      <c r="DJT60" s="479"/>
      <c r="DJU60" s="479"/>
      <c r="DJV60" s="479"/>
      <c r="DJW60" s="479"/>
      <c r="DJX60" s="479"/>
      <c r="DJY60" s="479"/>
      <c r="DJZ60" s="479"/>
      <c r="DKA60" s="479"/>
      <c r="DKB60" s="479"/>
      <c r="DKC60" s="479"/>
      <c r="DKD60" s="479"/>
      <c r="DKE60" s="479"/>
      <c r="DKF60" s="479"/>
      <c r="DKG60" s="479"/>
      <c r="DKH60" s="479"/>
      <c r="DKI60" s="479"/>
      <c r="DKJ60" s="479"/>
      <c r="DKK60" s="479"/>
      <c r="DKL60" s="479"/>
      <c r="DKM60" s="479"/>
      <c r="DKN60" s="479"/>
      <c r="DKO60" s="479"/>
      <c r="DKP60" s="479"/>
      <c r="DKQ60" s="479"/>
      <c r="DKR60" s="479"/>
      <c r="DKS60" s="479"/>
      <c r="DKT60" s="479"/>
      <c r="DKU60" s="479"/>
      <c r="DKV60" s="479"/>
      <c r="DKW60" s="479"/>
      <c r="DKX60" s="479"/>
      <c r="DKY60" s="479"/>
      <c r="DKZ60" s="479"/>
      <c r="DLA60" s="479"/>
      <c r="DLB60" s="479"/>
      <c r="DLC60" s="479"/>
      <c r="DLD60" s="479"/>
      <c r="DLE60" s="479"/>
      <c r="DLF60" s="479"/>
      <c r="DLG60" s="479"/>
      <c r="DLH60" s="479"/>
      <c r="DLI60" s="479"/>
      <c r="DLJ60" s="479"/>
      <c r="DLK60" s="479"/>
      <c r="DLL60" s="479"/>
      <c r="DLM60" s="479"/>
      <c r="DLN60" s="479"/>
      <c r="DLO60" s="479"/>
      <c r="DLP60" s="479"/>
      <c r="DLQ60" s="479"/>
      <c r="DLR60" s="479"/>
      <c r="DLS60" s="479"/>
      <c r="DLT60" s="479"/>
      <c r="DLU60" s="479"/>
      <c r="DLV60" s="479"/>
      <c r="DLW60" s="479"/>
      <c r="DLX60" s="479"/>
      <c r="DLY60" s="479"/>
      <c r="DLZ60" s="479"/>
      <c r="DMA60" s="479"/>
      <c r="DMB60" s="479"/>
      <c r="DMC60" s="479"/>
      <c r="DMD60" s="479"/>
      <c r="DME60" s="479"/>
      <c r="DMF60" s="479"/>
      <c r="DMG60" s="479"/>
      <c r="DMH60" s="479"/>
      <c r="DMI60" s="479"/>
      <c r="DMJ60" s="479"/>
      <c r="DMK60" s="479"/>
      <c r="DML60" s="479"/>
      <c r="DMM60" s="479"/>
      <c r="DMN60" s="479"/>
      <c r="DMO60" s="479"/>
      <c r="DMP60" s="479"/>
      <c r="DMQ60" s="479"/>
      <c r="DMR60" s="479"/>
      <c r="DMS60" s="479"/>
      <c r="DMT60" s="479"/>
      <c r="DMU60" s="479"/>
      <c r="DMV60" s="479"/>
      <c r="DMW60" s="479"/>
      <c r="DMX60" s="479"/>
      <c r="DMY60" s="479"/>
      <c r="DMZ60" s="479"/>
      <c r="DNA60" s="479"/>
      <c r="DNB60" s="479"/>
      <c r="DNC60" s="479"/>
      <c r="DND60" s="479"/>
      <c r="DNE60" s="479"/>
      <c r="DNF60" s="479"/>
      <c r="DNG60" s="479"/>
      <c r="DNH60" s="479"/>
      <c r="DNI60" s="479"/>
      <c r="DNJ60" s="479"/>
      <c r="DNK60" s="479"/>
      <c r="DNL60" s="479"/>
      <c r="DNM60" s="479"/>
      <c r="DNN60" s="479"/>
      <c r="DNO60" s="479"/>
      <c r="DNP60" s="479"/>
      <c r="DNQ60" s="479"/>
      <c r="DNR60" s="479"/>
      <c r="DNS60" s="479"/>
      <c r="DNT60" s="479"/>
      <c r="DNU60" s="479"/>
      <c r="DNV60" s="479"/>
      <c r="DNW60" s="479"/>
      <c r="DNX60" s="479"/>
      <c r="DNY60" s="479"/>
      <c r="DNZ60" s="479"/>
      <c r="DOA60" s="479"/>
      <c r="DOB60" s="479"/>
      <c r="DOC60" s="479"/>
      <c r="DOD60" s="479"/>
      <c r="DOE60" s="479"/>
      <c r="DOF60" s="479"/>
      <c r="DOG60" s="479"/>
      <c r="DOH60" s="479"/>
      <c r="DOI60" s="479"/>
      <c r="DOJ60" s="479"/>
      <c r="DOK60" s="479"/>
      <c r="DOL60" s="479"/>
      <c r="DOM60" s="479"/>
      <c r="DON60" s="479"/>
      <c r="DOO60" s="479"/>
      <c r="DOP60" s="479"/>
      <c r="DOQ60" s="479"/>
      <c r="DOR60" s="479"/>
      <c r="DOS60" s="479"/>
      <c r="DOT60" s="479"/>
      <c r="DOU60" s="479"/>
      <c r="DOV60" s="479"/>
      <c r="DOW60" s="479"/>
      <c r="DOX60" s="479"/>
      <c r="DOY60" s="479"/>
      <c r="DOZ60" s="479"/>
      <c r="DPA60" s="479"/>
      <c r="DPB60" s="479"/>
      <c r="DPC60" s="479"/>
      <c r="DPD60" s="479"/>
      <c r="DPE60" s="479"/>
      <c r="DPF60" s="479"/>
      <c r="DPG60" s="479"/>
      <c r="DPH60" s="479"/>
      <c r="DPI60" s="479"/>
      <c r="DPJ60" s="479"/>
      <c r="DPK60" s="479"/>
      <c r="DPL60" s="479"/>
      <c r="DPM60" s="479"/>
      <c r="DPN60" s="479"/>
      <c r="DPO60" s="479"/>
      <c r="DPP60" s="479"/>
      <c r="DPQ60" s="479"/>
      <c r="DPR60" s="479"/>
      <c r="DPS60" s="479"/>
      <c r="DPT60" s="479"/>
      <c r="DPU60" s="479"/>
      <c r="DPV60" s="479"/>
      <c r="DPW60" s="479"/>
      <c r="DPX60" s="479"/>
      <c r="DPY60" s="479"/>
      <c r="DPZ60" s="479"/>
      <c r="DQA60" s="479"/>
      <c r="DQB60" s="479"/>
      <c r="DQC60" s="479"/>
      <c r="DQD60" s="479"/>
      <c r="DQE60" s="479"/>
      <c r="DQF60" s="479"/>
      <c r="DQG60" s="479"/>
      <c r="DQH60" s="479"/>
      <c r="DQI60" s="479"/>
      <c r="DQJ60" s="479"/>
      <c r="DQK60" s="479"/>
      <c r="DQL60" s="479"/>
      <c r="DQM60" s="479"/>
      <c r="DQN60" s="479"/>
      <c r="DQO60" s="479"/>
      <c r="DQP60" s="479"/>
      <c r="DQQ60" s="479"/>
      <c r="DQR60" s="479"/>
      <c r="DQS60" s="479"/>
      <c r="DQT60" s="479"/>
      <c r="DQU60" s="479"/>
      <c r="DQV60" s="479"/>
      <c r="DQW60" s="479"/>
      <c r="DQX60" s="479"/>
      <c r="DQY60" s="479"/>
      <c r="DQZ60" s="479"/>
      <c r="DRA60" s="479"/>
      <c r="DRB60" s="479"/>
      <c r="DRC60" s="479"/>
      <c r="DRD60" s="479"/>
      <c r="DRE60" s="479"/>
      <c r="DRF60" s="479"/>
      <c r="DRG60" s="479"/>
      <c r="DRH60" s="479"/>
      <c r="DRI60" s="479"/>
      <c r="DRJ60" s="479"/>
      <c r="DRK60" s="479"/>
      <c r="DRL60" s="479"/>
      <c r="DRM60" s="479"/>
      <c r="DRN60" s="479"/>
      <c r="DRO60" s="479"/>
      <c r="DRP60" s="479"/>
      <c r="DRQ60" s="479"/>
      <c r="DRR60" s="479"/>
      <c r="DRS60" s="479"/>
      <c r="DRT60" s="479"/>
      <c r="DRU60" s="479"/>
      <c r="DRV60" s="479"/>
      <c r="DRW60" s="479"/>
      <c r="DRX60" s="479"/>
      <c r="DRY60" s="479"/>
      <c r="DRZ60" s="479"/>
      <c r="DSA60" s="479"/>
      <c r="DSB60" s="479"/>
      <c r="DSC60" s="479"/>
      <c r="DSD60" s="479"/>
      <c r="DSE60" s="479"/>
      <c r="DSF60" s="479"/>
      <c r="DSG60" s="479"/>
      <c r="DSH60" s="479"/>
      <c r="DSI60" s="479"/>
      <c r="DSJ60" s="479"/>
      <c r="DSK60" s="479"/>
      <c r="DSL60" s="479"/>
      <c r="DSM60" s="479"/>
      <c r="DSN60" s="479"/>
      <c r="DSO60" s="479"/>
      <c r="DSP60" s="479"/>
      <c r="DSQ60" s="479"/>
      <c r="DSR60" s="479"/>
      <c r="DSS60" s="479"/>
      <c r="DST60" s="479"/>
      <c r="DSU60" s="479"/>
      <c r="DSV60" s="479"/>
      <c r="DSW60" s="479"/>
      <c r="DSX60" s="479"/>
      <c r="DSY60" s="479"/>
      <c r="DSZ60" s="479"/>
      <c r="DTA60" s="479"/>
      <c r="DTB60" s="479"/>
      <c r="DTC60" s="479"/>
      <c r="DTD60" s="479"/>
      <c r="DTE60" s="479"/>
      <c r="DTF60" s="479"/>
      <c r="DTG60" s="479"/>
      <c r="DTH60" s="479"/>
      <c r="DTI60" s="479"/>
      <c r="DTJ60" s="479"/>
      <c r="DTK60" s="479"/>
      <c r="DTL60" s="479"/>
      <c r="DTM60" s="479"/>
      <c r="DTN60" s="479"/>
      <c r="DTO60" s="479"/>
      <c r="DTP60" s="479"/>
      <c r="DTQ60" s="479"/>
      <c r="DTR60" s="479"/>
      <c r="DTS60" s="479"/>
      <c r="DTT60" s="479"/>
      <c r="DTU60" s="479"/>
      <c r="DTV60" s="479"/>
      <c r="DTW60" s="479"/>
      <c r="DTX60" s="479"/>
      <c r="DTY60" s="479"/>
      <c r="DTZ60" s="479"/>
      <c r="DUA60" s="479"/>
      <c r="DUB60" s="479"/>
      <c r="DUC60" s="479"/>
      <c r="DUD60" s="479"/>
      <c r="DUE60" s="479"/>
      <c r="DUF60" s="479"/>
      <c r="DUG60" s="479"/>
      <c r="DUH60" s="479"/>
      <c r="DUI60" s="479"/>
      <c r="DUJ60" s="479"/>
      <c r="DUK60" s="479"/>
      <c r="DUL60" s="479"/>
      <c r="DUM60" s="479"/>
      <c r="DUN60" s="479"/>
      <c r="DUO60" s="479"/>
      <c r="DUP60" s="479"/>
      <c r="DUQ60" s="479"/>
      <c r="DUR60" s="479"/>
      <c r="DUS60" s="479"/>
      <c r="DUT60" s="479"/>
      <c r="DUU60" s="479"/>
      <c r="DUV60" s="479"/>
      <c r="DUW60" s="479"/>
      <c r="DUX60" s="479"/>
      <c r="DUY60" s="479"/>
      <c r="DUZ60" s="479"/>
      <c r="DVA60" s="479"/>
      <c r="DVB60" s="479"/>
      <c r="DVC60" s="479"/>
      <c r="DVD60" s="479"/>
      <c r="DVE60" s="479"/>
      <c r="DVF60" s="479"/>
      <c r="DVG60" s="479"/>
      <c r="DVH60" s="479"/>
      <c r="DVI60" s="479"/>
      <c r="DVJ60" s="479"/>
      <c r="DVK60" s="479"/>
      <c r="DVL60" s="479"/>
      <c r="DVM60" s="479"/>
      <c r="DVN60" s="479"/>
      <c r="DVO60" s="479"/>
      <c r="DVP60" s="479"/>
      <c r="DVQ60" s="479"/>
      <c r="DVR60" s="479"/>
      <c r="DVS60" s="479"/>
      <c r="DVT60" s="479"/>
      <c r="DVU60" s="479"/>
      <c r="DVV60" s="479"/>
      <c r="DVW60" s="479"/>
      <c r="DVX60" s="479"/>
      <c r="DVY60" s="479"/>
      <c r="DVZ60" s="479"/>
      <c r="DWA60" s="479"/>
      <c r="DWB60" s="479"/>
      <c r="DWC60" s="479"/>
      <c r="DWD60" s="479"/>
      <c r="DWE60" s="479"/>
      <c r="DWF60" s="479"/>
      <c r="DWG60" s="479"/>
      <c r="DWH60" s="479"/>
      <c r="DWI60" s="479"/>
      <c r="DWJ60" s="479"/>
      <c r="DWK60" s="479"/>
      <c r="DWL60" s="479"/>
      <c r="DWM60" s="479"/>
      <c r="DWN60" s="479"/>
      <c r="DWO60" s="479"/>
      <c r="DWP60" s="479"/>
      <c r="DWQ60" s="479"/>
      <c r="DWR60" s="479"/>
      <c r="DWS60" s="479"/>
      <c r="DWT60" s="479"/>
      <c r="DWU60" s="479"/>
      <c r="DWV60" s="479"/>
      <c r="DWW60" s="479"/>
      <c r="DWX60" s="479"/>
      <c r="DWY60" s="479"/>
      <c r="DWZ60" s="479"/>
      <c r="DXA60" s="479"/>
      <c r="DXB60" s="479"/>
      <c r="DXC60" s="479"/>
      <c r="DXD60" s="479"/>
      <c r="DXE60" s="479"/>
      <c r="DXF60" s="479"/>
      <c r="DXG60" s="479"/>
      <c r="DXH60" s="479"/>
      <c r="DXI60" s="479"/>
      <c r="DXJ60" s="479"/>
      <c r="DXK60" s="479"/>
      <c r="DXL60" s="479"/>
      <c r="DXM60" s="479"/>
      <c r="DXN60" s="479"/>
      <c r="DXO60" s="479"/>
      <c r="DXP60" s="479"/>
      <c r="DXQ60" s="479"/>
      <c r="DXR60" s="479"/>
      <c r="DXS60" s="479"/>
      <c r="DXT60" s="479"/>
      <c r="DXU60" s="479"/>
      <c r="DXV60" s="479"/>
      <c r="DXW60" s="479"/>
      <c r="DXX60" s="479"/>
      <c r="DXY60" s="479"/>
      <c r="DXZ60" s="479"/>
      <c r="DYA60" s="479"/>
      <c r="DYB60" s="479"/>
      <c r="DYC60" s="479"/>
      <c r="DYD60" s="479"/>
      <c r="DYE60" s="479"/>
      <c r="DYF60" s="479"/>
      <c r="DYG60" s="479"/>
      <c r="DYH60" s="479"/>
      <c r="DYI60" s="479"/>
      <c r="DYJ60" s="479"/>
      <c r="DYK60" s="479"/>
      <c r="DYL60" s="479"/>
      <c r="DYM60" s="479"/>
      <c r="DYN60" s="479"/>
      <c r="DYO60" s="479"/>
      <c r="DYP60" s="479"/>
      <c r="DYQ60" s="479"/>
      <c r="DYR60" s="479"/>
      <c r="DYS60" s="479"/>
      <c r="DYT60" s="479"/>
      <c r="DYU60" s="479"/>
      <c r="DYV60" s="479"/>
      <c r="DYW60" s="479"/>
      <c r="DYX60" s="479"/>
      <c r="DYY60" s="479"/>
      <c r="DYZ60" s="479"/>
      <c r="DZA60" s="479"/>
      <c r="DZB60" s="479"/>
      <c r="DZC60" s="479"/>
      <c r="DZD60" s="479"/>
      <c r="DZE60" s="479"/>
      <c r="DZF60" s="479"/>
      <c r="DZG60" s="479"/>
      <c r="DZH60" s="479"/>
      <c r="DZI60" s="479"/>
      <c r="DZJ60" s="479"/>
      <c r="DZK60" s="479"/>
      <c r="DZL60" s="479"/>
      <c r="DZM60" s="479"/>
      <c r="DZN60" s="479"/>
      <c r="DZO60" s="479"/>
      <c r="DZP60" s="479"/>
      <c r="DZQ60" s="479"/>
      <c r="DZR60" s="479"/>
      <c r="DZS60" s="479"/>
      <c r="DZT60" s="479"/>
      <c r="DZU60" s="479"/>
      <c r="DZV60" s="479"/>
      <c r="DZW60" s="479"/>
      <c r="DZX60" s="479"/>
      <c r="DZY60" s="479"/>
      <c r="DZZ60" s="479"/>
      <c r="EAA60" s="479"/>
      <c r="EAB60" s="479"/>
      <c r="EAC60" s="479"/>
      <c r="EAD60" s="479"/>
      <c r="EAE60" s="479"/>
      <c r="EAF60" s="479"/>
      <c r="EAG60" s="479"/>
      <c r="EAH60" s="479"/>
      <c r="EAI60" s="479"/>
      <c r="EAJ60" s="479"/>
      <c r="EAK60" s="479"/>
      <c r="EAL60" s="479"/>
      <c r="EAM60" s="479"/>
      <c r="EAN60" s="479"/>
      <c r="EAO60" s="479"/>
      <c r="EAP60" s="479"/>
      <c r="EAQ60" s="479"/>
      <c r="EAR60" s="479"/>
      <c r="EAS60" s="479"/>
      <c r="EAT60" s="479"/>
      <c r="EAU60" s="479"/>
      <c r="EAV60" s="479"/>
      <c r="EAW60" s="479"/>
      <c r="EAX60" s="479"/>
      <c r="EAY60" s="479"/>
      <c r="EAZ60" s="479"/>
      <c r="EBA60" s="479"/>
      <c r="EBB60" s="479"/>
      <c r="EBC60" s="479"/>
      <c r="EBD60" s="479"/>
      <c r="EBE60" s="479"/>
      <c r="EBF60" s="479"/>
      <c r="EBG60" s="479"/>
      <c r="EBH60" s="479"/>
      <c r="EBI60" s="479"/>
      <c r="EBJ60" s="479"/>
      <c r="EBK60" s="479"/>
      <c r="EBL60" s="479"/>
      <c r="EBM60" s="479"/>
      <c r="EBN60" s="479"/>
      <c r="EBO60" s="479"/>
      <c r="EBP60" s="479"/>
      <c r="EBQ60" s="479"/>
      <c r="EBR60" s="479"/>
      <c r="EBS60" s="479"/>
      <c r="EBT60" s="479"/>
      <c r="EBU60" s="479"/>
      <c r="EBV60" s="479"/>
      <c r="EBW60" s="479"/>
      <c r="EBX60" s="479"/>
      <c r="EBY60" s="479"/>
      <c r="EBZ60" s="479"/>
      <c r="ECA60" s="479"/>
      <c r="ECB60" s="479"/>
      <c r="ECC60" s="479"/>
      <c r="ECD60" s="479"/>
      <c r="ECE60" s="479"/>
      <c r="ECF60" s="479"/>
      <c r="ECG60" s="479"/>
      <c r="ECH60" s="479"/>
      <c r="ECI60" s="479"/>
      <c r="ECJ60" s="479"/>
      <c r="ECK60" s="479"/>
      <c r="ECL60" s="479"/>
      <c r="ECM60" s="479"/>
      <c r="ECN60" s="479"/>
      <c r="ECO60" s="479"/>
      <c r="ECP60" s="479"/>
      <c r="ECQ60" s="479"/>
      <c r="ECR60" s="479"/>
      <c r="ECS60" s="479"/>
      <c r="ECT60" s="479"/>
      <c r="ECU60" s="479"/>
      <c r="ECV60" s="479"/>
      <c r="ECW60" s="479"/>
      <c r="ECX60" s="479"/>
      <c r="ECY60" s="479"/>
      <c r="ECZ60" s="479"/>
      <c r="EDA60" s="479"/>
      <c r="EDB60" s="479"/>
      <c r="EDC60" s="479"/>
      <c r="EDD60" s="479"/>
      <c r="EDE60" s="479"/>
      <c r="EDF60" s="479"/>
      <c r="EDG60" s="479"/>
      <c r="EDH60" s="479"/>
      <c r="EDI60" s="479"/>
      <c r="EDJ60" s="479"/>
      <c r="EDK60" s="479"/>
      <c r="EDL60" s="479"/>
      <c r="EDM60" s="479"/>
      <c r="EDN60" s="479"/>
      <c r="EDO60" s="479"/>
      <c r="EDP60" s="479"/>
      <c r="EDQ60" s="479"/>
      <c r="EDR60" s="479"/>
      <c r="EDS60" s="479"/>
      <c r="EDT60" s="479"/>
      <c r="EDU60" s="479"/>
      <c r="EDV60" s="479"/>
      <c r="EDW60" s="479"/>
      <c r="EDX60" s="479"/>
      <c r="EDY60" s="479"/>
      <c r="EDZ60" s="479"/>
      <c r="EEA60" s="479"/>
      <c r="EEB60" s="479"/>
      <c r="EEC60" s="479"/>
      <c r="EED60" s="479"/>
      <c r="EEE60" s="479"/>
      <c r="EEF60" s="479"/>
      <c r="EEG60" s="479"/>
      <c r="EEH60" s="479"/>
      <c r="EEI60" s="479"/>
      <c r="EEJ60" s="479"/>
      <c r="EEK60" s="479"/>
      <c r="EEL60" s="479"/>
      <c r="EEM60" s="479"/>
      <c r="EEN60" s="479"/>
      <c r="EEO60" s="479"/>
      <c r="EEP60" s="479"/>
      <c r="EEQ60" s="479"/>
      <c r="EER60" s="479"/>
      <c r="EES60" s="479"/>
      <c r="EET60" s="479"/>
      <c r="EEU60" s="479"/>
      <c r="EEV60" s="479"/>
      <c r="EEW60" s="479"/>
      <c r="EEX60" s="479"/>
      <c r="EEY60" s="479"/>
      <c r="EEZ60" s="479"/>
      <c r="EFA60" s="479"/>
      <c r="EFB60" s="479"/>
      <c r="EFC60" s="479"/>
      <c r="EFD60" s="479"/>
      <c r="EFE60" s="479"/>
      <c r="EFF60" s="479"/>
      <c r="EFG60" s="479"/>
      <c r="EFH60" s="479"/>
      <c r="EFI60" s="479"/>
      <c r="EFJ60" s="479"/>
      <c r="EFK60" s="479"/>
      <c r="EFL60" s="479"/>
      <c r="EFM60" s="479"/>
      <c r="EFN60" s="479"/>
      <c r="EFO60" s="479"/>
      <c r="EFP60" s="479"/>
      <c r="EFQ60" s="479"/>
      <c r="EFR60" s="479"/>
      <c r="EFS60" s="479"/>
      <c r="EFT60" s="479"/>
      <c r="EFU60" s="479"/>
      <c r="EFV60" s="479"/>
      <c r="EFW60" s="479"/>
      <c r="EFX60" s="479"/>
      <c r="EFY60" s="479"/>
      <c r="EFZ60" s="479"/>
      <c r="EGA60" s="479"/>
      <c r="EGB60" s="479"/>
      <c r="EGC60" s="479"/>
      <c r="EGD60" s="479"/>
      <c r="EGE60" s="479"/>
      <c r="EGF60" s="479"/>
      <c r="EGG60" s="479"/>
      <c r="EGH60" s="479"/>
      <c r="EGI60" s="479"/>
      <c r="EGJ60" s="479"/>
      <c r="EGK60" s="479"/>
      <c r="EGL60" s="479"/>
      <c r="EGM60" s="479"/>
      <c r="EGN60" s="479"/>
      <c r="EGO60" s="479"/>
      <c r="EGP60" s="479"/>
      <c r="EGQ60" s="479"/>
      <c r="EGR60" s="479"/>
      <c r="EGS60" s="479"/>
      <c r="EGT60" s="479"/>
      <c r="EGU60" s="479"/>
      <c r="EGV60" s="479"/>
      <c r="EGW60" s="479"/>
      <c r="EGX60" s="479"/>
      <c r="EGY60" s="479"/>
      <c r="EGZ60" s="479"/>
      <c r="EHA60" s="479"/>
      <c r="EHB60" s="479"/>
      <c r="EHC60" s="479"/>
      <c r="EHD60" s="479"/>
      <c r="EHE60" s="479"/>
      <c r="EHF60" s="479"/>
      <c r="EHG60" s="479"/>
      <c r="EHH60" s="479"/>
      <c r="EHI60" s="479"/>
      <c r="EHJ60" s="479"/>
      <c r="EHK60" s="479"/>
      <c r="EHL60" s="479"/>
      <c r="EHM60" s="479"/>
      <c r="EHN60" s="479"/>
      <c r="EHO60" s="479"/>
      <c r="EHP60" s="479"/>
      <c r="EHQ60" s="479"/>
      <c r="EHR60" s="479"/>
      <c r="EHS60" s="479"/>
      <c r="EHT60" s="479"/>
      <c r="EHU60" s="479"/>
      <c r="EHV60" s="479"/>
      <c r="EHW60" s="479"/>
      <c r="EHX60" s="479"/>
      <c r="EHY60" s="479"/>
      <c r="EHZ60" s="479"/>
      <c r="EIA60" s="479"/>
      <c r="EIB60" s="479"/>
      <c r="EIC60" s="479"/>
      <c r="EID60" s="479"/>
      <c r="EIE60" s="479"/>
      <c r="EIF60" s="479"/>
      <c r="EIG60" s="479"/>
      <c r="EIH60" s="479"/>
      <c r="EII60" s="479"/>
      <c r="EIJ60" s="479"/>
      <c r="EIK60" s="479"/>
      <c r="EIL60" s="479"/>
      <c r="EIM60" s="479"/>
      <c r="EIN60" s="479"/>
      <c r="EIO60" s="479"/>
      <c r="EIP60" s="479"/>
      <c r="EIQ60" s="479"/>
      <c r="EIR60" s="479"/>
      <c r="EIS60" s="479"/>
      <c r="EIT60" s="479"/>
      <c r="EIU60" s="479"/>
      <c r="EIV60" s="479"/>
      <c r="EIW60" s="479"/>
      <c r="EIX60" s="479"/>
      <c r="EIY60" s="479"/>
      <c r="EIZ60" s="479"/>
      <c r="EJA60" s="479"/>
      <c r="EJB60" s="479"/>
      <c r="EJC60" s="479"/>
      <c r="EJD60" s="479"/>
      <c r="EJE60" s="479"/>
      <c r="EJF60" s="479"/>
      <c r="EJG60" s="479"/>
      <c r="EJH60" s="479"/>
      <c r="EJI60" s="479"/>
      <c r="EJJ60" s="479"/>
      <c r="EJK60" s="479"/>
      <c r="EJL60" s="479"/>
      <c r="EJM60" s="479"/>
      <c r="EJN60" s="479"/>
      <c r="EJO60" s="479"/>
      <c r="EJP60" s="479"/>
      <c r="EJQ60" s="479"/>
      <c r="EJR60" s="479"/>
      <c r="EJS60" s="479"/>
      <c r="EJT60" s="479"/>
      <c r="EJU60" s="479"/>
      <c r="EJV60" s="479"/>
      <c r="EJW60" s="479"/>
      <c r="EJX60" s="479"/>
      <c r="EJY60" s="479"/>
      <c r="EJZ60" s="479"/>
      <c r="EKA60" s="479"/>
      <c r="EKB60" s="479"/>
      <c r="EKC60" s="479"/>
      <c r="EKD60" s="479"/>
      <c r="EKE60" s="479"/>
      <c r="EKF60" s="479"/>
      <c r="EKG60" s="479"/>
      <c r="EKH60" s="479"/>
      <c r="EKI60" s="479"/>
      <c r="EKJ60" s="479"/>
      <c r="EKK60" s="479"/>
      <c r="EKL60" s="479"/>
      <c r="EKM60" s="479"/>
      <c r="EKN60" s="479"/>
      <c r="EKO60" s="479"/>
      <c r="EKP60" s="479"/>
      <c r="EKQ60" s="479"/>
      <c r="EKR60" s="479"/>
      <c r="EKS60" s="479"/>
      <c r="EKT60" s="479"/>
      <c r="EKU60" s="479"/>
      <c r="EKV60" s="479"/>
      <c r="EKW60" s="479"/>
      <c r="EKX60" s="479"/>
      <c r="EKY60" s="479"/>
      <c r="EKZ60" s="479"/>
      <c r="ELA60" s="479"/>
      <c r="ELB60" s="479"/>
      <c r="ELC60" s="479"/>
      <c r="ELD60" s="479"/>
      <c r="ELE60" s="479"/>
      <c r="ELF60" s="479"/>
      <c r="ELG60" s="479"/>
      <c r="ELH60" s="479"/>
      <c r="ELI60" s="479"/>
      <c r="ELJ60" s="479"/>
      <c r="ELK60" s="479"/>
      <c r="ELL60" s="479"/>
      <c r="ELM60" s="479"/>
      <c r="ELN60" s="479"/>
      <c r="ELO60" s="479"/>
      <c r="ELP60" s="479"/>
      <c r="ELQ60" s="479"/>
      <c r="ELR60" s="479"/>
      <c r="ELS60" s="479"/>
      <c r="ELT60" s="479"/>
      <c r="ELU60" s="479"/>
      <c r="ELV60" s="479"/>
      <c r="ELW60" s="479"/>
      <c r="ELX60" s="479"/>
      <c r="ELY60" s="479"/>
      <c r="ELZ60" s="479"/>
      <c r="EMA60" s="479"/>
      <c r="EMB60" s="479"/>
      <c r="EMC60" s="479"/>
      <c r="EMD60" s="479"/>
      <c r="EME60" s="479"/>
      <c r="EMF60" s="479"/>
      <c r="EMG60" s="479"/>
      <c r="EMH60" s="479"/>
      <c r="EMI60" s="479"/>
      <c r="EMJ60" s="479"/>
      <c r="EMK60" s="479"/>
      <c r="EML60" s="479"/>
      <c r="EMM60" s="479"/>
      <c r="EMN60" s="479"/>
      <c r="EMO60" s="479"/>
      <c r="EMP60" s="479"/>
      <c r="EMQ60" s="479"/>
      <c r="EMR60" s="479"/>
      <c r="EMS60" s="479"/>
      <c r="EMT60" s="479"/>
      <c r="EMU60" s="479"/>
      <c r="EMV60" s="479"/>
      <c r="EMW60" s="479"/>
      <c r="EMX60" s="479"/>
      <c r="EMY60" s="479"/>
      <c r="EMZ60" s="479"/>
      <c r="ENA60" s="479"/>
      <c r="ENB60" s="479"/>
      <c r="ENC60" s="479"/>
      <c r="END60" s="479"/>
      <c r="ENE60" s="479"/>
      <c r="ENF60" s="479"/>
      <c r="ENG60" s="479"/>
      <c r="ENH60" s="479"/>
      <c r="ENI60" s="479"/>
      <c r="ENJ60" s="479"/>
      <c r="ENK60" s="479"/>
      <c r="ENL60" s="479"/>
      <c r="ENM60" s="479"/>
      <c r="ENN60" s="479"/>
      <c r="ENO60" s="479"/>
      <c r="ENP60" s="479"/>
      <c r="ENQ60" s="479"/>
      <c r="ENR60" s="479"/>
      <c r="ENS60" s="479"/>
      <c r="ENT60" s="479"/>
      <c r="ENU60" s="479"/>
      <c r="ENV60" s="479"/>
      <c r="ENW60" s="479"/>
      <c r="ENX60" s="479"/>
      <c r="ENY60" s="479"/>
      <c r="ENZ60" s="479"/>
      <c r="EOA60" s="479"/>
      <c r="EOB60" s="479"/>
      <c r="EOC60" s="479"/>
      <c r="EOD60" s="479"/>
      <c r="EOE60" s="479"/>
      <c r="EOF60" s="479"/>
      <c r="EOG60" s="479"/>
      <c r="EOH60" s="479"/>
      <c r="EOI60" s="479"/>
      <c r="EOJ60" s="479"/>
      <c r="EOK60" s="479"/>
      <c r="EOL60" s="479"/>
      <c r="EOM60" s="479"/>
      <c r="EON60" s="479"/>
      <c r="EOO60" s="479"/>
      <c r="EOP60" s="479"/>
      <c r="EOQ60" s="479"/>
      <c r="EOR60" s="479"/>
      <c r="EOS60" s="479"/>
      <c r="EOT60" s="479"/>
      <c r="EOU60" s="479"/>
      <c r="EOV60" s="479"/>
      <c r="EOW60" s="479"/>
      <c r="EOX60" s="479"/>
      <c r="EOY60" s="479"/>
      <c r="EOZ60" s="479"/>
      <c r="EPA60" s="479"/>
      <c r="EPB60" s="479"/>
      <c r="EPC60" s="479"/>
      <c r="EPD60" s="479"/>
      <c r="EPE60" s="479"/>
      <c r="EPF60" s="479"/>
      <c r="EPG60" s="479"/>
      <c r="EPH60" s="479"/>
      <c r="EPI60" s="479"/>
      <c r="EPJ60" s="479"/>
      <c r="EPK60" s="479"/>
      <c r="EPL60" s="479"/>
      <c r="EPM60" s="479"/>
      <c r="EPN60" s="479"/>
      <c r="EPO60" s="479"/>
      <c r="EPP60" s="479"/>
      <c r="EPQ60" s="479"/>
      <c r="EPR60" s="479"/>
      <c r="EPS60" s="479"/>
      <c r="EPT60" s="479"/>
      <c r="EPU60" s="479"/>
      <c r="EPV60" s="479"/>
      <c r="EPW60" s="479"/>
      <c r="EPX60" s="479"/>
      <c r="EPY60" s="479"/>
      <c r="EPZ60" s="479"/>
      <c r="EQA60" s="479"/>
      <c r="EQB60" s="479"/>
      <c r="EQC60" s="479"/>
      <c r="EQD60" s="479"/>
      <c r="EQE60" s="479"/>
      <c r="EQF60" s="479"/>
      <c r="EQG60" s="479"/>
      <c r="EQH60" s="479"/>
      <c r="EQI60" s="479"/>
      <c r="EQJ60" s="479"/>
      <c r="EQK60" s="479"/>
      <c r="EQL60" s="479"/>
      <c r="EQM60" s="479"/>
      <c r="EQN60" s="479"/>
      <c r="EQO60" s="479"/>
      <c r="EQP60" s="479"/>
      <c r="EQQ60" s="479"/>
      <c r="EQR60" s="479"/>
      <c r="EQS60" s="479"/>
      <c r="EQT60" s="479"/>
      <c r="EQU60" s="479"/>
      <c r="EQV60" s="479"/>
      <c r="EQW60" s="479"/>
      <c r="EQX60" s="479"/>
      <c r="EQY60" s="479"/>
      <c r="EQZ60" s="479"/>
      <c r="ERA60" s="479"/>
      <c r="ERB60" s="479"/>
      <c r="ERC60" s="479"/>
      <c r="ERD60" s="479"/>
      <c r="ERE60" s="479"/>
      <c r="ERF60" s="479"/>
      <c r="ERG60" s="479"/>
      <c r="ERH60" s="479"/>
      <c r="ERI60" s="479"/>
      <c r="ERJ60" s="479"/>
      <c r="ERK60" s="479"/>
      <c r="ERL60" s="479"/>
      <c r="ERM60" s="479"/>
      <c r="ERN60" s="479"/>
      <c r="ERO60" s="479"/>
      <c r="ERP60" s="479"/>
      <c r="ERQ60" s="479"/>
      <c r="ERR60" s="479"/>
      <c r="ERS60" s="479"/>
      <c r="ERT60" s="479"/>
      <c r="ERU60" s="479"/>
      <c r="ERV60" s="479"/>
      <c r="ERW60" s="479"/>
      <c r="ERX60" s="479"/>
      <c r="ERY60" s="479"/>
      <c r="ERZ60" s="479"/>
      <c r="ESA60" s="479"/>
      <c r="ESB60" s="479"/>
      <c r="ESC60" s="479"/>
      <c r="ESD60" s="479"/>
      <c r="ESE60" s="479"/>
      <c r="ESF60" s="479"/>
      <c r="ESG60" s="479"/>
      <c r="ESH60" s="479"/>
      <c r="ESI60" s="479"/>
      <c r="ESJ60" s="479"/>
      <c r="ESK60" s="479"/>
      <c r="ESL60" s="479"/>
      <c r="ESM60" s="479"/>
      <c r="ESN60" s="479"/>
      <c r="ESO60" s="479"/>
      <c r="ESP60" s="479"/>
      <c r="ESQ60" s="479"/>
      <c r="ESR60" s="479"/>
      <c r="ESS60" s="479"/>
      <c r="EST60" s="479"/>
      <c r="ESU60" s="479"/>
      <c r="ESV60" s="479"/>
      <c r="ESW60" s="479"/>
      <c r="ESX60" s="479"/>
      <c r="ESY60" s="479"/>
      <c r="ESZ60" s="479"/>
      <c r="ETA60" s="479"/>
      <c r="ETB60" s="479"/>
      <c r="ETC60" s="479"/>
      <c r="ETD60" s="479"/>
      <c r="ETE60" s="479"/>
      <c r="ETF60" s="479"/>
      <c r="ETG60" s="479"/>
      <c r="ETH60" s="479"/>
      <c r="ETI60" s="479"/>
      <c r="ETJ60" s="479"/>
      <c r="ETK60" s="479"/>
      <c r="ETL60" s="479"/>
      <c r="ETM60" s="479"/>
      <c r="ETN60" s="479"/>
      <c r="ETO60" s="479"/>
      <c r="ETP60" s="479"/>
      <c r="ETQ60" s="479"/>
      <c r="ETR60" s="479"/>
      <c r="ETS60" s="479"/>
      <c r="ETT60" s="479"/>
      <c r="ETU60" s="479"/>
      <c r="ETV60" s="479"/>
      <c r="ETW60" s="479"/>
      <c r="ETX60" s="479"/>
      <c r="ETY60" s="479"/>
      <c r="ETZ60" s="479"/>
      <c r="EUA60" s="479"/>
      <c r="EUB60" s="479"/>
      <c r="EUC60" s="479"/>
      <c r="EUD60" s="479"/>
      <c r="EUE60" s="479"/>
      <c r="EUF60" s="479"/>
      <c r="EUG60" s="479"/>
      <c r="EUH60" s="479"/>
      <c r="EUI60" s="479"/>
      <c r="EUJ60" s="479"/>
      <c r="EUK60" s="479"/>
      <c r="EUL60" s="479"/>
      <c r="EUM60" s="479"/>
      <c r="EUN60" s="479"/>
      <c r="EUO60" s="479"/>
      <c r="EUP60" s="479"/>
      <c r="EUQ60" s="479"/>
      <c r="EUR60" s="479"/>
      <c r="EUS60" s="479"/>
      <c r="EUT60" s="479"/>
      <c r="EUU60" s="479"/>
      <c r="EUV60" s="479"/>
      <c r="EUW60" s="479"/>
      <c r="EUX60" s="479"/>
      <c r="EUY60" s="479"/>
      <c r="EUZ60" s="479"/>
      <c r="EVA60" s="479"/>
      <c r="EVB60" s="479"/>
      <c r="EVC60" s="479"/>
      <c r="EVD60" s="479"/>
      <c r="EVE60" s="479"/>
      <c r="EVF60" s="479"/>
      <c r="EVG60" s="479"/>
      <c r="EVH60" s="479"/>
      <c r="EVI60" s="479"/>
      <c r="EVJ60" s="479"/>
      <c r="EVK60" s="479"/>
      <c r="EVL60" s="479"/>
      <c r="EVM60" s="479"/>
      <c r="EVN60" s="479"/>
      <c r="EVO60" s="479"/>
      <c r="EVP60" s="479"/>
      <c r="EVQ60" s="479"/>
      <c r="EVR60" s="479"/>
      <c r="EVS60" s="479"/>
      <c r="EVT60" s="479"/>
      <c r="EVU60" s="479"/>
      <c r="EVV60" s="479"/>
      <c r="EVW60" s="479"/>
      <c r="EVX60" s="479"/>
      <c r="EVY60" s="479"/>
      <c r="EVZ60" s="479"/>
      <c r="EWA60" s="479"/>
      <c r="EWB60" s="479"/>
      <c r="EWC60" s="479"/>
      <c r="EWD60" s="479"/>
      <c r="EWE60" s="479"/>
      <c r="EWF60" s="479"/>
      <c r="EWG60" s="479"/>
      <c r="EWH60" s="479"/>
      <c r="EWI60" s="479"/>
      <c r="EWJ60" s="479"/>
      <c r="EWK60" s="479"/>
      <c r="EWL60" s="479"/>
      <c r="EWM60" s="479"/>
      <c r="EWN60" s="479"/>
      <c r="EWO60" s="479"/>
      <c r="EWP60" s="479"/>
      <c r="EWQ60" s="479"/>
      <c r="EWR60" s="479"/>
      <c r="EWS60" s="479"/>
      <c r="EWT60" s="479"/>
      <c r="EWU60" s="479"/>
      <c r="EWV60" s="479"/>
      <c r="EWW60" s="479"/>
      <c r="EWX60" s="479"/>
      <c r="EWY60" s="479"/>
      <c r="EWZ60" s="479"/>
      <c r="EXA60" s="479"/>
      <c r="EXB60" s="479"/>
      <c r="EXC60" s="479"/>
      <c r="EXD60" s="479"/>
      <c r="EXE60" s="479"/>
      <c r="EXF60" s="479"/>
      <c r="EXG60" s="479"/>
      <c r="EXH60" s="479"/>
      <c r="EXI60" s="479"/>
      <c r="EXJ60" s="479"/>
      <c r="EXK60" s="479"/>
      <c r="EXL60" s="479"/>
      <c r="EXM60" s="479"/>
      <c r="EXN60" s="479"/>
      <c r="EXO60" s="479"/>
      <c r="EXP60" s="479"/>
      <c r="EXQ60" s="479"/>
      <c r="EXR60" s="479"/>
      <c r="EXS60" s="479"/>
      <c r="EXT60" s="479"/>
      <c r="EXU60" s="479"/>
      <c r="EXV60" s="479"/>
      <c r="EXW60" s="479"/>
      <c r="EXX60" s="479"/>
      <c r="EXY60" s="479"/>
      <c r="EXZ60" s="479"/>
      <c r="EYA60" s="479"/>
      <c r="EYB60" s="479"/>
      <c r="EYC60" s="479"/>
      <c r="EYD60" s="479"/>
      <c r="EYE60" s="479"/>
      <c r="EYF60" s="479"/>
      <c r="EYG60" s="479"/>
      <c r="EYH60" s="479"/>
      <c r="EYI60" s="479"/>
      <c r="EYJ60" s="479"/>
      <c r="EYK60" s="479"/>
      <c r="EYL60" s="479"/>
      <c r="EYM60" s="479"/>
      <c r="EYN60" s="479"/>
      <c r="EYO60" s="479"/>
      <c r="EYP60" s="479"/>
      <c r="EYQ60" s="479"/>
      <c r="EYR60" s="479"/>
      <c r="EYS60" s="479"/>
      <c r="EYT60" s="479"/>
      <c r="EYU60" s="479"/>
      <c r="EYV60" s="479"/>
      <c r="EYW60" s="479"/>
      <c r="EYX60" s="479"/>
      <c r="EYY60" s="479"/>
      <c r="EYZ60" s="479"/>
      <c r="EZA60" s="479"/>
      <c r="EZB60" s="479"/>
      <c r="EZC60" s="479"/>
      <c r="EZD60" s="479"/>
      <c r="EZE60" s="479"/>
      <c r="EZF60" s="479"/>
      <c r="EZG60" s="479"/>
      <c r="EZH60" s="479"/>
      <c r="EZI60" s="479"/>
      <c r="EZJ60" s="479"/>
      <c r="EZK60" s="479"/>
      <c r="EZL60" s="479"/>
      <c r="EZM60" s="479"/>
      <c r="EZN60" s="479"/>
      <c r="EZO60" s="479"/>
      <c r="EZP60" s="479"/>
      <c r="EZQ60" s="479"/>
      <c r="EZR60" s="479"/>
      <c r="EZS60" s="479"/>
      <c r="EZT60" s="479"/>
      <c r="EZU60" s="479"/>
      <c r="EZV60" s="479"/>
      <c r="EZW60" s="479"/>
      <c r="EZX60" s="479"/>
      <c r="EZY60" s="479"/>
      <c r="EZZ60" s="479"/>
      <c r="FAA60" s="479"/>
      <c r="FAB60" s="479"/>
      <c r="FAC60" s="479"/>
      <c r="FAD60" s="479"/>
      <c r="FAE60" s="479"/>
      <c r="FAF60" s="479"/>
      <c r="FAG60" s="479"/>
      <c r="FAH60" s="479"/>
      <c r="FAI60" s="479"/>
      <c r="FAJ60" s="479"/>
      <c r="FAK60" s="479"/>
      <c r="FAL60" s="479"/>
      <c r="FAM60" s="479"/>
      <c r="FAN60" s="479"/>
      <c r="FAO60" s="479"/>
      <c r="FAP60" s="479"/>
      <c r="FAQ60" s="479"/>
      <c r="FAR60" s="479"/>
      <c r="FAS60" s="479"/>
      <c r="FAT60" s="479"/>
      <c r="FAU60" s="479"/>
      <c r="FAV60" s="479"/>
      <c r="FAW60" s="479"/>
      <c r="FAX60" s="479"/>
      <c r="FAY60" s="479"/>
      <c r="FAZ60" s="479"/>
      <c r="FBA60" s="479"/>
      <c r="FBB60" s="479"/>
      <c r="FBC60" s="479"/>
      <c r="FBD60" s="479"/>
      <c r="FBE60" s="479"/>
      <c r="FBF60" s="479"/>
      <c r="FBG60" s="479"/>
      <c r="FBH60" s="479"/>
      <c r="FBI60" s="479"/>
      <c r="FBJ60" s="479"/>
      <c r="FBK60" s="479"/>
      <c r="FBL60" s="479"/>
      <c r="FBM60" s="479"/>
      <c r="FBN60" s="479"/>
      <c r="FBO60" s="479"/>
      <c r="FBP60" s="479"/>
      <c r="FBQ60" s="479"/>
      <c r="FBR60" s="479"/>
      <c r="FBS60" s="479"/>
      <c r="FBT60" s="479"/>
      <c r="FBU60" s="479"/>
      <c r="FBV60" s="479"/>
      <c r="FBW60" s="479"/>
      <c r="FBX60" s="479"/>
      <c r="FBY60" s="479"/>
      <c r="FBZ60" s="479"/>
      <c r="FCA60" s="479"/>
      <c r="FCB60" s="479"/>
      <c r="FCC60" s="479"/>
      <c r="FCD60" s="479"/>
      <c r="FCE60" s="479"/>
      <c r="FCF60" s="479"/>
      <c r="FCG60" s="479"/>
      <c r="FCH60" s="479"/>
      <c r="FCI60" s="479"/>
      <c r="FCJ60" s="479"/>
      <c r="FCK60" s="479"/>
      <c r="FCL60" s="479"/>
      <c r="FCM60" s="479"/>
      <c r="FCN60" s="479"/>
      <c r="FCO60" s="479"/>
      <c r="FCP60" s="479"/>
      <c r="FCQ60" s="479"/>
      <c r="FCR60" s="479"/>
      <c r="FCS60" s="479"/>
      <c r="FCT60" s="479"/>
      <c r="FCU60" s="479"/>
      <c r="FCV60" s="479"/>
      <c r="FCW60" s="479"/>
      <c r="FCX60" s="479"/>
      <c r="FCY60" s="479"/>
      <c r="FCZ60" s="479"/>
      <c r="FDA60" s="479"/>
      <c r="FDB60" s="479"/>
      <c r="FDC60" s="479"/>
      <c r="FDD60" s="479"/>
      <c r="FDE60" s="479"/>
      <c r="FDF60" s="479"/>
      <c r="FDG60" s="479"/>
      <c r="FDH60" s="479"/>
      <c r="FDI60" s="479"/>
      <c r="FDJ60" s="479"/>
      <c r="FDK60" s="479"/>
      <c r="FDL60" s="479"/>
      <c r="FDM60" s="479"/>
      <c r="FDN60" s="479"/>
      <c r="FDO60" s="479"/>
      <c r="FDP60" s="479"/>
      <c r="FDQ60" s="479"/>
      <c r="FDR60" s="479"/>
      <c r="FDS60" s="479"/>
      <c r="FDT60" s="479"/>
      <c r="FDU60" s="479"/>
      <c r="FDV60" s="479"/>
      <c r="FDW60" s="479"/>
      <c r="FDX60" s="479"/>
      <c r="FDY60" s="479"/>
      <c r="FDZ60" s="479"/>
      <c r="FEA60" s="479"/>
      <c r="FEB60" s="479"/>
      <c r="FEC60" s="479"/>
      <c r="FED60" s="479"/>
      <c r="FEE60" s="479"/>
      <c r="FEF60" s="479"/>
      <c r="FEG60" s="479"/>
      <c r="FEH60" s="479"/>
      <c r="FEI60" s="479"/>
      <c r="FEJ60" s="479"/>
      <c r="FEK60" s="479"/>
      <c r="FEL60" s="479"/>
      <c r="FEM60" s="479"/>
      <c r="FEN60" s="479"/>
      <c r="FEO60" s="479"/>
      <c r="FEP60" s="479"/>
      <c r="FEQ60" s="479"/>
      <c r="FER60" s="479"/>
      <c r="FES60" s="479"/>
      <c r="FET60" s="479"/>
      <c r="FEU60" s="479"/>
      <c r="FEV60" s="479"/>
      <c r="FEW60" s="479"/>
      <c r="FEX60" s="479"/>
      <c r="FEY60" s="479"/>
      <c r="FEZ60" s="479"/>
      <c r="FFA60" s="479"/>
      <c r="FFB60" s="479"/>
      <c r="FFC60" s="479"/>
      <c r="FFD60" s="479"/>
      <c r="FFE60" s="479"/>
      <c r="FFF60" s="479"/>
      <c r="FFG60" s="479"/>
      <c r="FFH60" s="479"/>
      <c r="FFI60" s="479"/>
      <c r="FFJ60" s="479"/>
      <c r="FFK60" s="479"/>
      <c r="FFL60" s="479"/>
      <c r="FFM60" s="479"/>
      <c r="FFN60" s="479"/>
      <c r="FFO60" s="479"/>
      <c r="FFP60" s="479"/>
      <c r="FFQ60" s="479"/>
      <c r="FFR60" s="479"/>
      <c r="FFS60" s="479"/>
      <c r="FFT60" s="479"/>
      <c r="FFU60" s="479"/>
      <c r="FFV60" s="479"/>
      <c r="FFW60" s="479"/>
      <c r="FFX60" s="479"/>
      <c r="FFY60" s="479"/>
      <c r="FFZ60" s="479"/>
      <c r="FGA60" s="479"/>
      <c r="FGB60" s="479"/>
      <c r="FGC60" s="479"/>
      <c r="FGD60" s="479"/>
      <c r="FGE60" s="479"/>
      <c r="FGF60" s="479"/>
      <c r="FGG60" s="479"/>
      <c r="FGH60" s="479"/>
      <c r="FGI60" s="479"/>
      <c r="FGJ60" s="479"/>
      <c r="FGK60" s="479"/>
      <c r="FGL60" s="479"/>
      <c r="FGM60" s="479"/>
      <c r="FGN60" s="479"/>
      <c r="FGO60" s="479"/>
      <c r="FGP60" s="479"/>
      <c r="FGQ60" s="479"/>
      <c r="FGR60" s="479"/>
      <c r="FGS60" s="479"/>
      <c r="FGT60" s="479"/>
      <c r="FGU60" s="479"/>
      <c r="FGV60" s="479"/>
      <c r="FGW60" s="479"/>
      <c r="FGX60" s="479"/>
      <c r="FGY60" s="479"/>
      <c r="FGZ60" s="479"/>
      <c r="FHA60" s="479"/>
      <c r="FHB60" s="479"/>
      <c r="FHC60" s="479"/>
      <c r="FHD60" s="479"/>
      <c r="FHE60" s="479"/>
      <c r="FHF60" s="479"/>
      <c r="FHG60" s="479"/>
      <c r="FHH60" s="479"/>
      <c r="FHI60" s="479"/>
      <c r="FHJ60" s="479"/>
      <c r="FHK60" s="479"/>
      <c r="FHL60" s="479"/>
      <c r="FHM60" s="479"/>
      <c r="FHN60" s="479"/>
      <c r="FHO60" s="479"/>
      <c r="FHP60" s="479"/>
      <c r="FHQ60" s="479"/>
      <c r="FHR60" s="479"/>
      <c r="FHS60" s="479"/>
      <c r="FHT60" s="479"/>
      <c r="FHU60" s="479"/>
      <c r="FHV60" s="479"/>
      <c r="FHW60" s="479"/>
      <c r="FHX60" s="479"/>
      <c r="FHY60" s="479"/>
      <c r="FHZ60" s="479"/>
      <c r="FIA60" s="479"/>
      <c r="FIB60" s="479"/>
      <c r="FIC60" s="479"/>
      <c r="FID60" s="479"/>
      <c r="FIE60" s="479"/>
      <c r="FIF60" s="479"/>
      <c r="FIG60" s="479"/>
      <c r="FIH60" s="479"/>
      <c r="FII60" s="479"/>
      <c r="FIJ60" s="479"/>
      <c r="FIK60" s="479"/>
      <c r="FIL60" s="479"/>
      <c r="FIM60" s="479"/>
      <c r="FIN60" s="479"/>
      <c r="FIO60" s="479"/>
      <c r="FIP60" s="479"/>
      <c r="FIQ60" s="479"/>
      <c r="FIR60" s="479"/>
      <c r="FIS60" s="479"/>
      <c r="FIT60" s="479"/>
      <c r="FIU60" s="479"/>
      <c r="FIV60" s="479"/>
      <c r="FIW60" s="479"/>
      <c r="FIX60" s="479"/>
      <c r="FIY60" s="479"/>
      <c r="FIZ60" s="479"/>
      <c r="FJA60" s="479"/>
      <c r="FJB60" s="479"/>
      <c r="FJC60" s="479"/>
      <c r="FJD60" s="479"/>
      <c r="FJE60" s="479"/>
      <c r="FJF60" s="479"/>
      <c r="FJG60" s="479"/>
      <c r="FJH60" s="479"/>
      <c r="FJI60" s="479"/>
      <c r="FJJ60" s="479"/>
      <c r="FJK60" s="479"/>
      <c r="FJL60" s="479"/>
      <c r="FJM60" s="479"/>
      <c r="FJN60" s="479"/>
      <c r="FJO60" s="479"/>
      <c r="FJP60" s="479"/>
      <c r="FJQ60" s="479"/>
      <c r="FJR60" s="479"/>
      <c r="FJS60" s="479"/>
      <c r="FJT60" s="479"/>
      <c r="FJU60" s="479"/>
      <c r="FJV60" s="479"/>
      <c r="FJW60" s="479"/>
      <c r="FJX60" s="479"/>
      <c r="FJY60" s="479"/>
      <c r="FJZ60" s="479"/>
      <c r="FKA60" s="479"/>
      <c r="FKB60" s="479"/>
      <c r="FKC60" s="479"/>
      <c r="FKD60" s="479"/>
      <c r="FKE60" s="479"/>
      <c r="FKF60" s="479"/>
      <c r="FKG60" s="479"/>
      <c r="FKH60" s="479"/>
      <c r="FKI60" s="479"/>
      <c r="FKJ60" s="479"/>
      <c r="FKK60" s="479"/>
      <c r="FKL60" s="479"/>
      <c r="FKM60" s="479"/>
      <c r="FKN60" s="479"/>
      <c r="FKO60" s="479"/>
      <c r="FKP60" s="479"/>
      <c r="FKQ60" s="479"/>
      <c r="FKR60" s="479"/>
      <c r="FKS60" s="479"/>
      <c r="FKT60" s="479"/>
      <c r="FKU60" s="479"/>
      <c r="FKV60" s="479"/>
      <c r="FKW60" s="479"/>
      <c r="FKX60" s="479"/>
      <c r="FKY60" s="479"/>
      <c r="FKZ60" s="479"/>
      <c r="FLA60" s="479"/>
      <c r="FLB60" s="479"/>
      <c r="FLC60" s="479"/>
      <c r="FLD60" s="479"/>
      <c r="FLE60" s="479"/>
      <c r="FLF60" s="479"/>
      <c r="FLG60" s="479"/>
      <c r="FLH60" s="479"/>
      <c r="FLI60" s="479"/>
      <c r="FLJ60" s="479"/>
      <c r="FLK60" s="479"/>
      <c r="FLL60" s="479"/>
      <c r="FLM60" s="479"/>
      <c r="FLN60" s="479"/>
      <c r="FLO60" s="479"/>
      <c r="FLP60" s="479"/>
      <c r="FLQ60" s="479"/>
      <c r="FLR60" s="479"/>
      <c r="FLS60" s="479"/>
      <c r="FLT60" s="479"/>
      <c r="FLU60" s="479"/>
      <c r="FLV60" s="479"/>
      <c r="FLW60" s="479"/>
      <c r="FLX60" s="479"/>
      <c r="FLY60" s="479"/>
      <c r="FLZ60" s="479"/>
      <c r="FMA60" s="479"/>
      <c r="FMB60" s="479"/>
      <c r="FMC60" s="479"/>
      <c r="FMD60" s="479"/>
      <c r="FME60" s="479"/>
      <c r="FMF60" s="479"/>
      <c r="FMG60" s="479"/>
      <c r="FMH60" s="479"/>
      <c r="FMI60" s="479"/>
      <c r="FMJ60" s="479"/>
      <c r="FMK60" s="479"/>
      <c r="FML60" s="479"/>
      <c r="FMM60" s="479"/>
      <c r="FMN60" s="479"/>
      <c r="FMO60" s="479"/>
      <c r="FMP60" s="479"/>
      <c r="FMQ60" s="479"/>
      <c r="FMR60" s="479"/>
      <c r="FMS60" s="479"/>
      <c r="FMT60" s="479"/>
      <c r="FMU60" s="479"/>
      <c r="FMV60" s="479"/>
      <c r="FMW60" s="479"/>
      <c r="FMX60" s="479"/>
      <c r="FMY60" s="479"/>
      <c r="FMZ60" s="479"/>
      <c r="FNA60" s="479"/>
      <c r="FNB60" s="479"/>
      <c r="FNC60" s="479"/>
      <c r="FND60" s="479"/>
      <c r="FNE60" s="479"/>
      <c r="FNF60" s="479"/>
      <c r="FNG60" s="479"/>
      <c r="FNH60" s="479"/>
      <c r="FNI60" s="479"/>
      <c r="FNJ60" s="479"/>
      <c r="FNK60" s="479"/>
      <c r="FNL60" s="479"/>
      <c r="FNM60" s="479"/>
      <c r="FNN60" s="479"/>
      <c r="FNO60" s="479"/>
      <c r="FNP60" s="479"/>
      <c r="FNQ60" s="479"/>
      <c r="FNR60" s="479"/>
      <c r="FNS60" s="479"/>
      <c r="FNT60" s="479"/>
      <c r="FNU60" s="479"/>
      <c r="FNV60" s="479"/>
      <c r="FNW60" s="479"/>
      <c r="FNX60" s="479"/>
      <c r="FNY60" s="479"/>
      <c r="FNZ60" s="479"/>
      <c r="FOA60" s="479"/>
      <c r="FOB60" s="479"/>
      <c r="FOC60" s="479"/>
      <c r="FOD60" s="479"/>
      <c r="FOE60" s="479"/>
      <c r="FOF60" s="479"/>
      <c r="FOG60" s="479"/>
      <c r="FOH60" s="479"/>
      <c r="FOI60" s="479"/>
      <c r="FOJ60" s="479"/>
      <c r="FOK60" s="479"/>
      <c r="FOL60" s="479"/>
      <c r="FOM60" s="479"/>
      <c r="FON60" s="479"/>
      <c r="FOO60" s="479"/>
      <c r="FOP60" s="479"/>
      <c r="FOQ60" s="479"/>
      <c r="FOR60" s="479"/>
      <c r="FOS60" s="479"/>
      <c r="FOT60" s="479"/>
      <c r="FOU60" s="479"/>
      <c r="FOV60" s="479"/>
      <c r="FOW60" s="479"/>
      <c r="FOX60" s="479"/>
      <c r="FOY60" s="479"/>
      <c r="FOZ60" s="479"/>
      <c r="FPA60" s="479"/>
      <c r="FPB60" s="479"/>
      <c r="FPC60" s="479"/>
      <c r="FPD60" s="479"/>
      <c r="FPE60" s="479"/>
      <c r="FPF60" s="479"/>
      <c r="FPG60" s="479"/>
      <c r="FPH60" s="479"/>
      <c r="FPI60" s="479"/>
      <c r="FPJ60" s="479"/>
      <c r="FPK60" s="479"/>
      <c r="FPL60" s="479"/>
      <c r="FPM60" s="479"/>
      <c r="FPN60" s="479"/>
      <c r="FPO60" s="479"/>
      <c r="FPP60" s="479"/>
      <c r="FPQ60" s="479"/>
      <c r="FPR60" s="479"/>
      <c r="FPS60" s="479"/>
      <c r="FPT60" s="479"/>
      <c r="FPU60" s="479"/>
      <c r="FPV60" s="479"/>
      <c r="FPW60" s="479"/>
      <c r="FPX60" s="479"/>
      <c r="FPY60" s="479"/>
      <c r="FPZ60" s="479"/>
      <c r="FQA60" s="479"/>
      <c r="FQB60" s="479"/>
      <c r="FQC60" s="479"/>
      <c r="FQD60" s="479"/>
      <c r="FQE60" s="479"/>
      <c r="FQF60" s="479"/>
      <c r="FQG60" s="479"/>
      <c r="FQH60" s="479"/>
      <c r="FQI60" s="479"/>
      <c r="FQJ60" s="479"/>
      <c r="FQK60" s="479"/>
      <c r="FQL60" s="479"/>
      <c r="FQM60" s="479"/>
      <c r="FQN60" s="479"/>
      <c r="FQO60" s="479"/>
      <c r="FQP60" s="479"/>
      <c r="FQQ60" s="479"/>
      <c r="FQR60" s="479"/>
      <c r="FQS60" s="479"/>
      <c r="FQT60" s="479"/>
      <c r="FQU60" s="479"/>
      <c r="FQV60" s="479"/>
      <c r="FQW60" s="479"/>
      <c r="FQX60" s="479"/>
      <c r="FQY60" s="479"/>
      <c r="FQZ60" s="479"/>
      <c r="FRA60" s="479"/>
      <c r="FRB60" s="479"/>
      <c r="FRC60" s="479"/>
      <c r="FRD60" s="479"/>
      <c r="FRE60" s="479"/>
      <c r="FRF60" s="479"/>
      <c r="FRG60" s="479"/>
      <c r="FRH60" s="479"/>
      <c r="FRI60" s="479"/>
      <c r="FRJ60" s="479"/>
      <c r="FRK60" s="479"/>
      <c r="FRL60" s="479"/>
      <c r="FRM60" s="479"/>
      <c r="FRN60" s="479"/>
      <c r="FRO60" s="479"/>
      <c r="FRP60" s="479"/>
      <c r="FRQ60" s="479"/>
      <c r="FRR60" s="479"/>
      <c r="FRS60" s="479"/>
      <c r="FRT60" s="479"/>
      <c r="FRU60" s="479"/>
      <c r="FRV60" s="479"/>
      <c r="FRW60" s="479"/>
      <c r="FRX60" s="479"/>
      <c r="FRY60" s="479"/>
      <c r="FRZ60" s="479"/>
      <c r="FSA60" s="479"/>
      <c r="FSB60" s="479"/>
      <c r="FSC60" s="479"/>
      <c r="FSD60" s="479"/>
      <c r="FSE60" s="479"/>
      <c r="FSF60" s="479"/>
      <c r="FSG60" s="479"/>
      <c r="FSH60" s="479"/>
      <c r="FSI60" s="479"/>
      <c r="FSJ60" s="479"/>
      <c r="FSK60" s="479"/>
      <c r="FSL60" s="479"/>
      <c r="FSM60" s="479"/>
      <c r="FSN60" s="479"/>
      <c r="FSO60" s="479"/>
      <c r="FSP60" s="479"/>
      <c r="FSQ60" s="479"/>
      <c r="FSR60" s="479"/>
      <c r="FSS60" s="479"/>
      <c r="FST60" s="479"/>
      <c r="FSU60" s="479"/>
      <c r="FSV60" s="479"/>
      <c r="FSW60" s="479"/>
      <c r="FSX60" s="479"/>
      <c r="FSY60" s="479"/>
      <c r="FSZ60" s="479"/>
      <c r="FTA60" s="479"/>
      <c r="FTB60" s="479"/>
      <c r="FTC60" s="479"/>
      <c r="FTD60" s="479"/>
      <c r="FTE60" s="479"/>
      <c r="FTF60" s="479"/>
      <c r="FTG60" s="479"/>
      <c r="FTH60" s="479"/>
      <c r="FTI60" s="479"/>
      <c r="FTJ60" s="479"/>
      <c r="FTK60" s="479"/>
      <c r="FTL60" s="479"/>
      <c r="FTM60" s="479"/>
      <c r="FTN60" s="479"/>
      <c r="FTO60" s="479"/>
      <c r="FTP60" s="479"/>
      <c r="FTQ60" s="479"/>
      <c r="FTR60" s="479"/>
      <c r="FTS60" s="479"/>
      <c r="FTT60" s="479"/>
      <c r="FTU60" s="479"/>
      <c r="FTV60" s="479"/>
      <c r="FTW60" s="479"/>
      <c r="FTX60" s="479"/>
      <c r="FTY60" s="479"/>
      <c r="FTZ60" s="479"/>
      <c r="FUA60" s="479"/>
      <c r="FUB60" s="479"/>
      <c r="FUC60" s="479"/>
      <c r="FUD60" s="479"/>
      <c r="FUE60" s="479"/>
      <c r="FUF60" s="479"/>
      <c r="FUG60" s="479"/>
      <c r="FUH60" s="479"/>
      <c r="FUI60" s="479"/>
      <c r="FUJ60" s="479"/>
      <c r="FUK60" s="479"/>
      <c r="FUL60" s="479"/>
      <c r="FUM60" s="479"/>
      <c r="FUN60" s="479"/>
      <c r="FUO60" s="479"/>
      <c r="FUP60" s="479"/>
      <c r="FUQ60" s="479"/>
      <c r="FUR60" s="479"/>
      <c r="FUS60" s="479"/>
      <c r="FUT60" s="479"/>
      <c r="FUU60" s="479"/>
      <c r="FUV60" s="479"/>
      <c r="FUW60" s="479"/>
      <c r="FUX60" s="479"/>
      <c r="FUY60" s="479"/>
      <c r="FUZ60" s="479"/>
      <c r="FVA60" s="479"/>
      <c r="FVB60" s="479"/>
      <c r="FVC60" s="479"/>
      <c r="FVD60" s="479"/>
      <c r="FVE60" s="479"/>
      <c r="FVF60" s="479"/>
      <c r="FVG60" s="479"/>
      <c r="FVH60" s="479"/>
      <c r="FVI60" s="479"/>
      <c r="FVJ60" s="479"/>
      <c r="FVK60" s="479"/>
      <c r="FVL60" s="479"/>
      <c r="FVM60" s="479"/>
      <c r="FVN60" s="479"/>
      <c r="FVO60" s="479"/>
      <c r="FVP60" s="479"/>
      <c r="FVQ60" s="479"/>
      <c r="FVR60" s="479"/>
      <c r="FVS60" s="479"/>
      <c r="FVT60" s="479"/>
      <c r="FVU60" s="479"/>
      <c r="FVV60" s="479"/>
      <c r="FVW60" s="479"/>
      <c r="FVX60" s="479"/>
      <c r="FVY60" s="479"/>
      <c r="FVZ60" s="479"/>
      <c r="FWA60" s="479"/>
      <c r="FWB60" s="479"/>
      <c r="FWC60" s="479"/>
      <c r="FWD60" s="479"/>
      <c r="FWE60" s="479"/>
      <c r="FWF60" s="479"/>
      <c r="FWG60" s="479"/>
      <c r="FWH60" s="479"/>
      <c r="FWI60" s="479"/>
      <c r="FWJ60" s="479"/>
      <c r="FWK60" s="479"/>
      <c r="FWL60" s="479"/>
      <c r="FWM60" s="479"/>
      <c r="FWN60" s="479"/>
      <c r="FWO60" s="479"/>
      <c r="FWP60" s="479"/>
      <c r="FWQ60" s="479"/>
      <c r="FWR60" s="479"/>
      <c r="FWS60" s="479"/>
      <c r="FWT60" s="479"/>
      <c r="FWU60" s="479"/>
      <c r="FWV60" s="479"/>
      <c r="FWW60" s="479"/>
      <c r="FWX60" s="479"/>
      <c r="FWY60" s="479"/>
      <c r="FWZ60" s="479"/>
      <c r="FXA60" s="479"/>
      <c r="FXB60" s="479"/>
      <c r="FXC60" s="479"/>
      <c r="FXD60" s="479"/>
      <c r="FXE60" s="479"/>
      <c r="FXF60" s="479"/>
      <c r="FXG60" s="479"/>
      <c r="FXH60" s="479"/>
      <c r="FXI60" s="479"/>
      <c r="FXJ60" s="479"/>
      <c r="FXK60" s="479"/>
      <c r="FXL60" s="479"/>
      <c r="FXM60" s="479"/>
      <c r="FXN60" s="479"/>
      <c r="FXO60" s="479"/>
      <c r="FXP60" s="479"/>
      <c r="FXQ60" s="479"/>
      <c r="FXR60" s="479"/>
      <c r="FXS60" s="479"/>
      <c r="FXT60" s="479"/>
      <c r="FXU60" s="479"/>
      <c r="FXV60" s="479"/>
      <c r="FXW60" s="479"/>
      <c r="FXX60" s="479"/>
      <c r="FXY60" s="479"/>
      <c r="FXZ60" s="479"/>
      <c r="FYA60" s="479"/>
      <c r="FYB60" s="479"/>
      <c r="FYC60" s="479"/>
      <c r="FYD60" s="479"/>
      <c r="FYE60" s="479"/>
      <c r="FYF60" s="479"/>
      <c r="FYG60" s="479"/>
      <c r="FYH60" s="479"/>
      <c r="FYI60" s="479"/>
      <c r="FYJ60" s="479"/>
      <c r="FYK60" s="479"/>
      <c r="FYL60" s="479"/>
      <c r="FYM60" s="479"/>
      <c r="FYN60" s="479"/>
      <c r="FYO60" s="479"/>
      <c r="FYP60" s="479"/>
      <c r="FYQ60" s="479"/>
      <c r="FYR60" s="479"/>
      <c r="FYS60" s="479"/>
      <c r="FYT60" s="479"/>
      <c r="FYU60" s="479"/>
      <c r="FYV60" s="479"/>
      <c r="FYW60" s="479"/>
      <c r="FYX60" s="479"/>
      <c r="FYY60" s="479"/>
      <c r="FYZ60" s="479"/>
      <c r="FZA60" s="479"/>
      <c r="FZB60" s="479"/>
      <c r="FZC60" s="479"/>
      <c r="FZD60" s="479"/>
      <c r="FZE60" s="479"/>
      <c r="FZF60" s="479"/>
      <c r="FZG60" s="479"/>
      <c r="FZH60" s="479"/>
      <c r="FZI60" s="479"/>
      <c r="FZJ60" s="479"/>
      <c r="FZK60" s="479"/>
      <c r="FZL60" s="479"/>
      <c r="FZM60" s="479"/>
      <c r="FZN60" s="479"/>
      <c r="FZO60" s="479"/>
      <c r="FZP60" s="479"/>
      <c r="FZQ60" s="479"/>
      <c r="FZR60" s="479"/>
      <c r="FZS60" s="479"/>
      <c r="FZT60" s="479"/>
      <c r="FZU60" s="479"/>
      <c r="FZV60" s="479"/>
      <c r="FZW60" s="479"/>
      <c r="FZX60" s="479"/>
      <c r="FZY60" s="479"/>
      <c r="FZZ60" s="479"/>
      <c r="GAA60" s="479"/>
      <c r="GAB60" s="479"/>
      <c r="GAC60" s="479"/>
      <c r="GAD60" s="479"/>
      <c r="GAE60" s="479"/>
      <c r="GAF60" s="479"/>
      <c r="GAG60" s="479"/>
      <c r="GAH60" s="479"/>
      <c r="GAI60" s="479"/>
      <c r="GAJ60" s="479"/>
      <c r="GAK60" s="479"/>
      <c r="GAL60" s="479"/>
      <c r="GAM60" s="479"/>
      <c r="GAN60" s="479"/>
      <c r="GAO60" s="479"/>
      <c r="GAP60" s="479"/>
      <c r="GAQ60" s="479"/>
      <c r="GAR60" s="479"/>
      <c r="GAS60" s="479"/>
      <c r="GAT60" s="479"/>
      <c r="GAU60" s="479"/>
      <c r="GAV60" s="479"/>
      <c r="GAW60" s="479"/>
      <c r="GAX60" s="479"/>
      <c r="GAY60" s="479"/>
      <c r="GAZ60" s="479"/>
      <c r="GBA60" s="479"/>
      <c r="GBB60" s="479"/>
      <c r="GBC60" s="479"/>
      <c r="GBD60" s="479"/>
      <c r="GBE60" s="479"/>
      <c r="GBF60" s="479"/>
      <c r="GBG60" s="479"/>
      <c r="GBH60" s="479"/>
      <c r="GBI60" s="479"/>
      <c r="GBJ60" s="479"/>
      <c r="GBK60" s="479"/>
      <c r="GBL60" s="479"/>
      <c r="GBM60" s="479"/>
      <c r="GBN60" s="479"/>
      <c r="GBO60" s="479"/>
      <c r="GBP60" s="479"/>
      <c r="GBQ60" s="479"/>
      <c r="GBR60" s="479"/>
      <c r="GBS60" s="479"/>
      <c r="GBT60" s="479"/>
      <c r="GBU60" s="479"/>
      <c r="GBV60" s="479"/>
      <c r="GBW60" s="479"/>
      <c r="GBX60" s="479"/>
      <c r="GBY60" s="479"/>
      <c r="GBZ60" s="479"/>
      <c r="GCA60" s="479"/>
      <c r="GCB60" s="479"/>
      <c r="GCC60" s="479"/>
      <c r="GCD60" s="479"/>
      <c r="GCE60" s="479"/>
      <c r="GCF60" s="479"/>
      <c r="GCG60" s="479"/>
      <c r="GCH60" s="479"/>
      <c r="GCI60" s="479"/>
      <c r="GCJ60" s="479"/>
      <c r="GCK60" s="479"/>
      <c r="GCL60" s="479"/>
      <c r="GCM60" s="479"/>
      <c r="GCN60" s="479"/>
      <c r="GCO60" s="479"/>
      <c r="GCP60" s="479"/>
      <c r="GCQ60" s="479"/>
      <c r="GCR60" s="479"/>
      <c r="GCS60" s="479"/>
      <c r="GCT60" s="479"/>
      <c r="GCU60" s="479"/>
      <c r="GCV60" s="479"/>
      <c r="GCW60" s="479"/>
      <c r="GCX60" s="479"/>
      <c r="GCY60" s="479"/>
      <c r="GCZ60" s="479"/>
      <c r="GDA60" s="479"/>
      <c r="GDB60" s="479"/>
      <c r="GDC60" s="479"/>
      <c r="GDD60" s="479"/>
      <c r="GDE60" s="479"/>
      <c r="GDF60" s="479"/>
      <c r="GDG60" s="479"/>
      <c r="GDH60" s="479"/>
      <c r="GDI60" s="479"/>
      <c r="GDJ60" s="479"/>
      <c r="GDK60" s="479"/>
      <c r="GDL60" s="479"/>
      <c r="GDM60" s="479"/>
      <c r="GDN60" s="479"/>
      <c r="GDO60" s="479"/>
      <c r="GDP60" s="479"/>
      <c r="GDQ60" s="479"/>
      <c r="GDR60" s="479"/>
      <c r="GDS60" s="479"/>
      <c r="GDT60" s="479"/>
      <c r="GDU60" s="479"/>
      <c r="GDV60" s="479"/>
      <c r="GDW60" s="479"/>
      <c r="GDX60" s="479"/>
      <c r="GDY60" s="479"/>
      <c r="GDZ60" s="479"/>
      <c r="GEA60" s="479"/>
      <c r="GEB60" s="479"/>
      <c r="GEC60" s="479"/>
      <c r="GED60" s="479"/>
      <c r="GEE60" s="479"/>
      <c r="GEF60" s="479"/>
      <c r="GEG60" s="479"/>
      <c r="GEH60" s="479"/>
      <c r="GEI60" s="479"/>
      <c r="GEJ60" s="479"/>
      <c r="GEK60" s="479"/>
      <c r="GEL60" s="479"/>
      <c r="GEM60" s="479"/>
      <c r="GEN60" s="479"/>
      <c r="GEO60" s="479"/>
      <c r="GEP60" s="479"/>
      <c r="GEQ60" s="479"/>
      <c r="GER60" s="479"/>
      <c r="GES60" s="479"/>
      <c r="GET60" s="479"/>
      <c r="GEU60" s="479"/>
      <c r="GEV60" s="479"/>
      <c r="GEW60" s="479"/>
      <c r="GEX60" s="479"/>
      <c r="GEY60" s="479"/>
      <c r="GEZ60" s="479"/>
      <c r="GFA60" s="479"/>
      <c r="GFB60" s="479"/>
      <c r="GFC60" s="479"/>
      <c r="GFD60" s="479"/>
      <c r="GFE60" s="479"/>
      <c r="GFF60" s="479"/>
      <c r="GFG60" s="479"/>
      <c r="GFH60" s="479"/>
      <c r="GFI60" s="479"/>
      <c r="GFJ60" s="479"/>
      <c r="GFK60" s="479"/>
      <c r="GFL60" s="479"/>
      <c r="GFM60" s="479"/>
      <c r="GFN60" s="479"/>
      <c r="GFO60" s="479"/>
      <c r="GFP60" s="479"/>
      <c r="GFQ60" s="479"/>
      <c r="GFR60" s="479"/>
      <c r="GFS60" s="479"/>
      <c r="GFT60" s="479"/>
      <c r="GFU60" s="479"/>
      <c r="GFV60" s="479"/>
      <c r="GFW60" s="479"/>
      <c r="GFX60" s="479"/>
      <c r="GFY60" s="479"/>
      <c r="GFZ60" s="479"/>
      <c r="GGA60" s="479"/>
      <c r="GGB60" s="479"/>
      <c r="GGC60" s="479"/>
      <c r="GGD60" s="479"/>
      <c r="GGE60" s="479"/>
      <c r="GGF60" s="479"/>
      <c r="GGG60" s="479"/>
      <c r="GGH60" s="479"/>
      <c r="GGI60" s="479"/>
      <c r="GGJ60" s="479"/>
      <c r="GGK60" s="479"/>
      <c r="GGL60" s="479"/>
      <c r="GGM60" s="479"/>
      <c r="GGN60" s="479"/>
      <c r="GGO60" s="479"/>
      <c r="GGP60" s="479"/>
      <c r="GGQ60" s="479"/>
      <c r="GGR60" s="479"/>
      <c r="GGS60" s="479"/>
      <c r="GGT60" s="479"/>
      <c r="GGU60" s="479"/>
      <c r="GGV60" s="479"/>
      <c r="GGW60" s="479"/>
      <c r="GGX60" s="479"/>
      <c r="GGY60" s="479"/>
      <c r="GGZ60" s="479"/>
      <c r="GHA60" s="479"/>
      <c r="GHB60" s="479"/>
      <c r="GHC60" s="479"/>
      <c r="GHD60" s="479"/>
      <c r="GHE60" s="479"/>
      <c r="GHF60" s="479"/>
      <c r="GHG60" s="479"/>
      <c r="GHH60" s="479"/>
      <c r="GHI60" s="479"/>
      <c r="GHJ60" s="479"/>
      <c r="GHK60" s="479"/>
      <c r="GHL60" s="479"/>
      <c r="GHM60" s="479"/>
      <c r="GHN60" s="479"/>
      <c r="GHO60" s="479"/>
      <c r="GHP60" s="479"/>
      <c r="GHQ60" s="479"/>
      <c r="GHR60" s="479"/>
      <c r="GHS60" s="479"/>
      <c r="GHT60" s="479"/>
      <c r="GHU60" s="479"/>
      <c r="GHV60" s="479"/>
      <c r="GHW60" s="479"/>
      <c r="GHX60" s="479"/>
      <c r="GHY60" s="479"/>
      <c r="GHZ60" s="479"/>
      <c r="GIA60" s="479"/>
      <c r="GIB60" s="479"/>
      <c r="GIC60" s="479"/>
      <c r="GID60" s="479"/>
      <c r="GIE60" s="479"/>
      <c r="GIF60" s="479"/>
      <c r="GIG60" s="479"/>
      <c r="GIH60" s="479"/>
      <c r="GII60" s="479"/>
      <c r="GIJ60" s="479"/>
      <c r="GIK60" s="479"/>
      <c r="GIL60" s="479"/>
      <c r="GIM60" s="479"/>
      <c r="GIN60" s="479"/>
      <c r="GIO60" s="479"/>
      <c r="GIP60" s="479"/>
      <c r="GIQ60" s="479"/>
      <c r="GIR60" s="479"/>
      <c r="GIS60" s="479"/>
      <c r="GIT60" s="479"/>
      <c r="GIU60" s="479"/>
      <c r="GIV60" s="479"/>
      <c r="GIW60" s="479"/>
      <c r="GIX60" s="479"/>
      <c r="GIY60" s="479"/>
      <c r="GIZ60" s="479"/>
      <c r="GJA60" s="479"/>
      <c r="GJB60" s="479"/>
      <c r="GJC60" s="479"/>
      <c r="GJD60" s="479"/>
      <c r="GJE60" s="479"/>
      <c r="GJF60" s="479"/>
      <c r="GJG60" s="479"/>
      <c r="GJH60" s="479"/>
      <c r="GJI60" s="479"/>
      <c r="GJJ60" s="479"/>
      <c r="GJK60" s="479"/>
      <c r="GJL60" s="479"/>
      <c r="GJM60" s="479"/>
      <c r="GJN60" s="479"/>
      <c r="GJO60" s="479"/>
      <c r="GJP60" s="479"/>
      <c r="GJQ60" s="479"/>
      <c r="GJR60" s="479"/>
      <c r="GJS60" s="479"/>
      <c r="GJT60" s="479"/>
      <c r="GJU60" s="479"/>
      <c r="GJV60" s="479"/>
      <c r="GJW60" s="479"/>
      <c r="GJX60" s="479"/>
      <c r="GJY60" s="479"/>
      <c r="GJZ60" s="479"/>
      <c r="GKA60" s="479"/>
      <c r="GKB60" s="479"/>
      <c r="GKC60" s="479"/>
      <c r="GKD60" s="479"/>
      <c r="GKE60" s="479"/>
      <c r="GKF60" s="479"/>
      <c r="GKG60" s="479"/>
      <c r="GKH60" s="479"/>
      <c r="GKI60" s="479"/>
      <c r="GKJ60" s="479"/>
      <c r="GKK60" s="479"/>
      <c r="GKL60" s="479"/>
      <c r="GKM60" s="479"/>
      <c r="GKN60" s="479"/>
      <c r="GKO60" s="479"/>
      <c r="GKP60" s="479"/>
      <c r="GKQ60" s="479"/>
      <c r="GKR60" s="479"/>
      <c r="GKS60" s="479"/>
      <c r="GKT60" s="479"/>
      <c r="GKU60" s="479"/>
      <c r="GKV60" s="479"/>
      <c r="GKW60" s="479"/>
      <c r="GKX60" s="479"/>
      <c r="GKY60" s="479"/>
      <c r="GKZ60" s="479"/>
      <c r="GLA60" s="479"/>
      <c r="GLB60" s="479"/>
      <c r="GLC60" s="479"/>
      <c r="GLD60" s="479"/>
      <c r="GLE60" s="479"/>
      <c r="GLF60" s="479"/>
      <c r="GLG60" s="479"/>
      <c r="GLH60" s="479"/>
      <c r="GLI60" s="479"/>
      <c r="GLJ60" s="479"/>
      <c r="GLK60" s="479"/>
      <c r="GLL60" s="479"/>
      <c r="GLM60" s="479"/>
      <c r="GLN60" s="479"/>
      <c r="GLO60" s="479"/>
      <c r="GLP60" s="479"/>
      <c r="GLQ60" s="479"/>
      <c r="GLR60" s="479"/>
      <c r="GLS60" s="479"/>
      <c r="GLT60" s="479"/>
      <c r="GLU60" s="479"/>
      <c r="GLV60" s="479"/>
      <c r="GLW60" s="479"/>
      <c r="GLX60" s="479"/>
      <c r="GLY60" s="479"/>
      <c r="GLZ60" s="479"/>
      <c r="GMA60" s="479"/>
      <c r="GMB60" s="479"/>
      <c r="GMC60" s="479"/>
      <c r="GMD60" s="479"/>
      <c r="GME60" s="479"/>
      <c r="GMF60" s="479"/>
      <c r="GMG60" s="479"/>
      <c r="GMH60" s="479"/>
      <c r="GMI60" s="479"/>
      <c r="GMJ60" s="479"/>
      <c r="GMK60" s="479"/>
      <c r="GML60" s="479"/>
      <c r="GMM60" s="479"/>
      <c r="GMN60" s="479"/>
      <c r="GMO60" s="479"/>
      <c r="GMP60" s="479"/>
      <c r="GMQ60" s="479"/>
      <c r="GMR60" s="479"/>
      <c r="GMS60" s="479"/>
      <c r="GMT60" s="479"/>
      <c r="GMU60" s="479"/>
      <c r="GMV60" s="479"/>
      <c r="GMW60" s="479"/>
      <c r="GMX60" s="479"/>
      <c r="GMY60" s="479"/>
      <c r="GMZ60" s="479"/>
      <c r="GNA60" s="479"/>
      <c r="GNB60" s="479"/>
      <c r="GNC60" s="479"/>
      <c r="GND60" s="479"/>
      <c r="GNE60" s="479"/>
      <c r="GNF60" s="479"/>
      <c r="GNG60" s="479"/>
      <c r="GNH60" s="479"/>
      <c r="GNI60" s="479"/>
      <c r="GNJ60" s="479"/>
      <c r="GNK60" s="479"/>
      <c r="GNL60" s="479"/>
      <c r="GNM60" s="479"/>
      <c r="GNN60" s="479"/>
      <c r="GNO60" s="479"/>
      <c r="GNP60" s="479"/>
      <c r="GNQ60" s="479"/>
      <c r="GNR60" s="479"/>
      <c r="GNS60" s="479"/>
      <c r="GNT60" s="479"/>
      <c r="GNU60" s="479"/>
      <c r="GNV60" s="479"/>
      <c r="GNW60" s="479"/>
      <c r="GNX60" s="479"/>
      <c r="GNY60" s="479"/>
      <c r="GNZ60" s="479"/>
      <c r="GOA60" s="479"/>
      <c r="GOB60" s="479"/>
      <c r="GOC60" s="479"/>
      <c r="GOD60" s="479"/>
      <c r="GOE60" s="479"/>
      <c r="GOF60" s="479"/>
      <c r="GOG60" s="479"/>
      <c r="GOH60" s="479"/>
      <c r="GOI60" s="479"/>
      <c r="GOJ60" s="479"/>
      <c r="GOK60" s="479"/>
      <c r="GOL60" s="479"/>
      <c r="GOM60" s="479"/>
      <c r="GON60" s="479"/>
      <c r="GOO60" s="479"/>
      <c r="GOP60" s="479"/>
      <c r="GOQ60" s="479"/>
      <c r="GOR60" s="479"/>
      <c r="GOS60" s="479"/>
      <c r="GOT60" s="479"/>
      <c r="GOU60" s="479"/>
      <c r="GOV60" s="479"/>
      <c r="GOW60" s="479"/>
      <c r="GOX60" s="479"/>
      <c r="GOY60" s="479"/>
      <c r="GOZ60" s="479"/>
      <c r="GPA60" s="479"/>
      <c r="GPB60" s="479"/>
      <c r="GPC60" s="479"/>
      <c r="GPD60" s="479"/>
      <c r="GPE60" s="479"/>
      <c r="GPF60" s="479"/>
      <c r="GPG60" s="479"/>
      <c r="GPH60" s="479"/>
      <c r="GPI60" s="479"/>
      <c r="GPJ60" s="479"/>
      <c r="GPK60" s="479"/>
      <c r="GPL60" s="479"/>
      <c r="GPM60" s="479"/>
      <c r="GPN60" s="479"/>
      <c r="GPO60" s="479"/>
      <c r="GPP60" s="479"/>
      <c r="GPQ60" s="479"/>
      <c r="GPR60" s="479"/>
      <c r="GPS60" s="479"/>
      <c r="GPT60" s="479"/>
      <c r="GPU60" s="479"/>
      <c r="GPV60" s="479"/>
      <c r="GPW60" s="479"/>
      <c r="GPX60" s="479"/>
      <c r="GPY60" s="479"/>
      <c r="GPZ60" s="479"/>
      <c r="GQA60" s="479"/>
      <c r="GQB60" s="479"/>
      <c r="GQC60" s="479"/>
      <c r="GQD60" s="479"/>
      <c r="GQE60" s="479"/>
      <c r="GQF60" s="479"/>
      <c r="GQG60" s="479"/>
      <c r="GQH60" s="479"/>
      <c r="GQI60" s="479"/>
      <c r="GQJ60" s="479"/>
      <c r="GQK60" s="479"/>
      <c r="GQL60" s="479"/>
      <c r="GQM60" s="479"/>
      <c r="GQN60" s="479"/>
      <c r="GQO60" s="479"/>
      <c r="GQP60" s="479"/>
      <c r="GQQ60" s="479"/>
      <c r="GQR60" s="479"/>
      <c r="GQS60" s="479"/>
      <c r="GQT60" s="479"/>
      <c r="GQU60" s="479"/>
      <c r="GQV60" s="479"/>
      <c r="GQW60" s="479"/>
      <c r="GQX60" s="479"/>
      <c r="GQY60" s="479"/>
      <c r="GQZ60" s="479"/>
      <c r="GRA60" s="479"/>
      <c r="GRB60" s="479"/>
      <c r="GRC60" s="479"/>
      <c r="GRD60" s="479"/>
      <c r="GRE60" s="479"/>
      <c r="GRF60" s="479"/>
      <c r="GRG60" s="479"/>
      <c r="GRH60" s="479"/>
      <c r="GRI60" s="479"/>
      <c r="GRJ60" s="479"/>
      <c r="GRK60" s="479"/>
      <c r="GRL60" s="479"/>
      <c r="GRM60" s="479"/>
      <c r="GRN60" s="479"/>
      <c r="GRO60" s="479"/>
      <c r="GRP60" s="479"/>
      <c r="GRQ60" s="479"/>
      <c r="GRR60" s="479"/>
      <c r="GRS60" s="479"/>
      <c r="GRT60" s="479"/>
      <c r="GRU60" s="479"/>
      <c r="GRV60" s="479"/>
      <c r="GRW60" s="479"/>
      <c r="GRX60" s="479"/>
      <c r="GRY60" s="479"/>
      <c r="GRZ60" s="479"/>
      <c r="GSA60" s="479"/>
      <c r="GSB60" s="479"/>
      <c r="GSC60" s="479"/>
      <c r="GSD60" s="479"/>
      <c r="GSE60" s="479"/>
      <c r="GSF60" s="479"/>
      <c r="GSG60" s="479"/>
      <c r="GSH60" s="479"/>
      <c r="GSI60" s="479"/>
      <c r="GSJ60" s="479"/>
      <c r="GSK60" s="479"/>
      <c r="GSL60" s="479"/>
      <c r="GSM60" s="479"/>
      <c r="GSN60" s="479"/>
      <c r="GSO60" s="479"/>
      <c r="GSP60" s="479"/>
      <c r="GSQ60" s="479"/>
      <c r="GSR60" s="479"/>
      <c r="GSS60" s="479"/>
      <c r="GST60" s="479"/>
      <c r="GSU60" s="479"/>
      <c r="GSV60" s="479"/>
      <c r="GSW60" s="479"/>
      <c r="GSX60" s="479"/>
      <c r="GSY60" s="479"/>
      <c r="GSZ60" s="479"/>
      <c r="GTA60" s="479"/>
      <c r="GTB60" s="479"/>
      <c r="GTC60" s="479"/>
      <c r="GTD60" s="479"/>
      <c r="GTE60" s="479"/>
      <c r="GTF60" s="479"/>
      <c r="GTG60" s="479"/>
      <c r="GTH60" s="479"/>
      <c r="GTI60" s="479"/>
      <c r="GTJ60" s="479"/>
      <c r="GTK60" s="479"/>
      <c r="GTL60" s="479"/>
      <c r="GTM60" s="479"/>
      <c r="GTN60" s="479"/>
      <c r="GTO60" s="479"/>
      <c r="GTP60" s="479"/>
      <c r="GTQ60" s="479"/>
      <c r="GTR60" s="479"/>
      <c r="GTS60" s="479"/>
      <c r="GTT60" s="479"/>
      <c r="GTU60" s="479"/>
      <c r="GTV60" s="479"/>
      <c r="GTW60" s="479"/>
      <c r="GTX60" s="479"/>
      <c r="GTY60" s="479"/>
      <c r="GTZ60" s="479"/>
      <c r="GUA60" s="479"/>
      <c r="GUB60" s="479"/>
      <c r="GUC60" s="479"/>
      <c r="GUD60" s="479"/>
      <c r="GUE60" s="479"/>
      <c r="GUF60" s="479"/>
      <c r="GUG60" s="479"/>
      <c r="GUH60" s="479"/>
      <c r="GUI60" s="479"/>
      <c r="GUJ60" s="479"/>
      <c r="GUK60" s="479"/>
      <c r="GUL60" s="479"/>
      <c r="GUM60" s="479"/>
      <c r="GUN60" s="479"/>
      <c r="GUO60" s="479"/>
      <c r="GUP60" s="479"/>
      <c r="GUQ60" s="479"/>
      <c r="GUR60" s="479"/>
      <c r="GUS60" s="479"/>
      <c r="GUT60" s="479"/>
      <c r="GUU60" s="479"/>
      <c r="GUV60" s="479"/>
      <c r="GUW60" s="479"/>
      <c r="GUX60" s="479"/>
      <c r="GUY60" s="479"/>
      <c r="GUZ60" s="479"/>
      <c r="GVA60" s="479"/>
      <c r="GVB60" s="479"/>
      <c r="GVC60" s="479"/>
      <c r="GVD60" s="479"/>
      <c r="GVE60" s="479"/>
      <c r="GVF60" s="479"/>
      <c r="GVG60" s="479"/>
      <c r="GVH60" s="479"/>
      <c r="GVI60" s="479"/>
      <c r="GVJ60" s="479"/>
      <c r="GVK60" s="479"/>
      <c r="GVL60" s="479"/>
      <c r="GVM60" s="479"/>
      <c r="GVN60" s="479"/>
      <c r="GVO60" s="479"/>
      <c r="GVP60" s="479"/>
      <c r="GVQ60" s="479"/>
      <c r="GVR60" s="479"/>
      <c r="GVS60" s="479"/>
      <c r="GVT60" s="479"/>
      <c r="GVU60" s="479"/>
      <c r="GVV60" s="479"/>
      <c r="GVW60" s="479"/>
      <c r="GVX60" s="479"/>
      <c r="GVY60" s="479"/>
      <c r="GVZ60" s="479"/>
      <c r="GWA60" s="479"/>
      <c r="GWB60" s="479"/>
      <c r="GWC60" s="479"/>
      <c r="GWD60" s="479"/>
      <c r="GWE60" s="479"/>
      <c r="GWF60" s="479"/>
      <c r="GWG60" s="479"/>
      <c r="GWH60" s="479"/>
      <c r="GWI60" s="479"/>
      <c r="GWJ60" s="479"/>
      <c r="GWK60" s="479"/>
      <c r="GWL60" s="479"/>
      <c r="GWM60" s="479"/>
      <c r="GWN60" s="479"/>
      <c r="GWO60" s="479"/>
      <c r="GWP60" s="479"/>
      <c r="GWQ60" s="479"/>
      <c r="GWR60" s="479"/>
      <c r="GWS60" s="479"/>
      <c r="GWT60" s="479"/>
      <c r="GWU60" s="479"/>
      <c r="GWV60" s="479"/>
      <c r="GWW60" s="479"/>
      <c r="GWX60" s="479"/>
      <c r="GWY60" s="479"/>
      <c r="GWZ60" s="479"/>
      <c r="GXA60" s="479"/>
      <c r="GXB60" s="479"/>
      <c r="GXC60" s="479"/>
      <c r="GXD60" s="479"/>
      <c r="GXE60" s="479"/>
      <c r="GXF60" s="479"/>
      <c r="GXG60" s="479"/>
      <c r="GXH60" s="479"/>
      <c r="GXI60" s="479"/>
      <c r="GXJ60" s="479"/>
      <c r="GXK60" s="479"/>
      <c r="GXL60" s="479"/>
      <c r="GXM60" s="479"/>
      <c r="GXN60" s="479"/>
      <c r="GXO60" s="479"/>
      <c r="GXP60" s="479"/>
      <c r="GXQ60" s="479"/>
      <c r="GXR60" s="479"/>
      <c r="GXS60" s="479"/>
      <c r="GXT60" s="479"/>
      <c r="GXU60" s="479"/>
      <c r="GXV60" s="479"/>
      <c r="GXW60" s="479"/>
      <c r="GXX60" s="479"/>
      <c r="GXY60" s="479"/>
      <c r="GXZ60" s="479"/>
      <c r="GYA60" s="479"/>
      <c r="GYB60" s="479"/>
      <c r="GYC60" s="479"/>
      <c r="GYD60" s="479"/>
      <c r="GYE60" s="479"/>
      <c r="GYF60" s="479"/>
      <c r="GYG60" s="479"/>
      <c r="GYH60" s="479"/>
      <c r="GYI60" s="479"/>
      <c r="GYJ60" s="479"/>
      <c r="GYK60" s="479"/>
      <c r="GYL60" s="479"/>
      <c r="GYM60" s="479"/>
      <c r="GYN60" s="479"/>
      <c r="GYO60" s="479"/>
      <c r="GYP60" s="479"/>
      <c r="GYQ60" s="479"/>
      <c r="GYR60" s="479"/>
      <c r="GYS60" s="479"/>
      <c r="GYT60" s="479"/>
      <c r="GYU60" s="479"/>
      <c r="GYV60" s="479"/>
      <c r="GYW60" s="479"/>
      <c r="GYX60" s="479"/>
      <c r="GYY60" s="479"/>
      <c r="GYZ60" s="479"/>
      <c r="GZA60" s="479"/>
      <c r="GZB60" s="479"/>
      <c r="GZC60" s="479"/>
      <c r="GZD60" s="479"/>
      <c r="GZE60" s="479"/>
      <c r="GZF60" s="479"/>
      <c r="GZG60" s="479"/>
      <c r="GZH60" s="479"/>
      <c r="GZI60" s="479"/>
      <c r="GZJ60" s="479"/>
      <c r="GZK60" s="479"/>
      <c r="GZL60" s="479"/>
      <c r="GZM60" s="479"/>
      <c r="GZN60" s="479"/>
      <c r="GZO60" s="479"/>
      <c r="GZP60" s="479"/>
      <c r="GZQ60" s="479"/>
      <c r="GZR60" s="479"/>
      <c r="GZS60" s="479"/>
      <c r="GZT60" s="479"/>
      <c r="GZU60" s="479"/>
      <c r="GZV60" s="479"/>
      <c r="GZW60" s="479"/>
      <c r="GZX60" s="479"/>
      <c r="GZY60" s="479"/>
      <c r="GZZ60" s="479"/>
      <c r="HAA60" s="479"/>
      <c r="HAB60" s="479"/>
      <c r="HAC60" s="479"/>
      <c r="HAD60" s="479"/>
      <c r="HAE60" s="479"/>
      <c r="HAF60" s="479"/>
      <c r="HAG60" s="479"/>
      <c r="HAH60" s="479"/>
      <c r="HAI60" s="479"/>
      <c r="HAJ60" s="479"/>
      <c r="HAK60" s="479"/>
      <c r="HAL60" s="479"/>
      <c r="HAM60" s="479"/>
      <c r="HAN60" s="479"/>
      <c r="HAO60" s="479"/>
      <c r="HAP60" s="479"/>
      <c r="HAQ60" s="479"/>
      <c r="HAR60" s="479"/>
      <c r="HAS60" s="479"/>
      <c r="HAT60" s="479"/>
      <c r="HAU60" s="479"/>
      <c r="HAV60" s="479"/>
      <c r="HAW60" s="479"/>
      <c r="HAX60" s="479"/>
      <c r="HAY60" s="479"/>
      <c r="HAZ60" s="479"/>
      <c r="HBA60" s="479"/>
      <c r="HBB60" s="479"/>
      <c r="HBC60" s="479"/>
      <c r="HBD60" s="479"/>
      <c r="HBE60" s="479"/>
      <c r="HBF60" s="479"/>
      <c r="HBG60" s="479"/>
      <c r="HBH60" s="479"/>
      <c r="HBI60" s="479"/>
      <c r="HBJ60" s="479"/>
      <c r="HBK60" s="479"/>
      <c r="HBL60" s="479"/>
      <c r="HBM60" s="479"/>
      <c r="HBN60" s="479"/>
      <c r="HBO60" s="479"/>
      <c r="HBP60" s="479"/>
      <c r="HBQ60" s="479"/>
      <c r="HBR60" s="479"/>
      <c r="HBS60" s="479"/>
      <c r="HBT60" s="479"/>
      <c r="HBU60" s="479"/>
      <c r="HBV60" s="479"/>
      <c r="HBW60" s="479"/>
      <c r="HBX60" s="479"/>
      <c r="HBY60" s="479"/>
      <c r="HBZ60" s="479"/>
      <c r="HCA60" s="479"/>
      <c r="HCB60" s="479"/>
      <c r="HCC60" s="479"/>
      <c r="HCD60" s="479"/>
      <c r="HCE60" s="479"/>
      <c r="HCF60" s="479"/>
      <c r="HCG60" s="479"/>
      <c r="HCH60" s="479"/>
      <c r="HCI60" s="479"/>
      <c r="HCJ60" s="479"/>
      <c r="HCK60" s="479"/>
      <c r="HCL60" s="479"/>
      <c r="HCM60" s="479"/>
      <c r="HCN60" s="479"/>
      <c r="HCO60" s="479"/>
      <c r="HCP60" s="479"/>
      <c r="HCQ60" s="479"/>
      <c r="HCR60" s="479"/>
      <c r="HCS60" s="479"/>
      <c r="HCT60" s="479"/>
      <c r="HCU60" s="479"/>
      <c r="HCV60" s="479"/>
      <c r="HCW60" s="479"/>
      <c r="HCX60" s="479"/>
      <c r="HCY60" s="479"/>
      <c r="HCZ60" s="479"/>
      <c r="HDA60" s="479"/>
      <c r="HDB60" s="479"/>
      <c r="HDC60" s="479"/>
      <c r="HDD60" s="479"/>
      <c r="HDE60" s="479"/>
      <c r="HDF60" s="479"/>
      <c r="HDG60" s="479"/>
      <c r="HDH60" s="479"/>
      <c r="HDI60" s="479"/>
      <c r="HDJ60" s="479"/>
      <c r="HDK60" s="479"/>
      <c r="HDL60" s="479"/>
      <c r="HDM60" s="479"/>
      <c r="HDN60" s="479"/>
      <c r="HDO60" s="479"/>
      <c r="HDP60" s="479"/>
      <c r="HDQ60" s="479"/>
      <c r="HDR60" s="479"/>
      <c r="HDS60" s="479"/>
      <c r="HDT60" s="479"/>
      <c r="HDU60" s="479"/>
      <c r="HDV60" s="479"/>
      <c r="HDW60" s="479"/>
      <c r="HDX60" s="479"/>
      <c r="HDY60" s="479"/>
      <c r="HDZ60" s="479"/>
      <c r="HEA60" s="479"/>
      <c r="HEB60" s="479"/>
      <c r="HEC60" s="479"/>
      <c r="HED60" s="479"/>
      <c r="HEE60" s="479"/>
      <c r="HEF60" s="479"/>
      <c r="HEG60" s="479"/>
      <c r="HEH60" s="479"/>
      <c r="HEI60" s="479"/>
      <c r="HEJ60" s="479"/>
      <c r="HEK60" s="479"/>
      <c r="HEL60" s="479"/>
      <c r="HEM60" s="479"/>
      <c r="HEN60" s="479"/>
      <c r="HEO60" s="479"/>
      <c r="HEP60" s="479"/>
      <c r="HEQ60" s="479"/>
      <c r="HER60" s="479"/>
      <c r="HES60" s="479"/>
      <c r="HET60" s="479"/>
      <c r="HEU60" s="479"/>
      <c r="HEV60" s="479"/>
      <c r="HEW60" s="479"/>
      <c r="HEX60" s="479"/>
      <c r="HEY60" s="479"/>
      <c r="HEZ60" s="479"/>
      <c r="HFA60" s="479"/>
      <c r="HFB60" s="479"/>
      <c r="HFC60" s="479"/>
      <c r="HFD60" s="479"/>
      <c r="HFE60" s="479"/>
      <c r="HFF60" s="479"/>
      <c r="HFG60" s="479"/>
      <c r="HFH60" s="479"/>
      <c r="HFI60" s="479"/>
      <c r="HFJ60" s="479"/>
      <c r="HFK60" s="479"/>
      <c r="HFL60" s="479"/>
      <c r="HFM60" s="479"/>
      <c r="HFN60" s="479"/>
      <c r="HFO60" s="479"/>
      <c r="HFP60" s="479"/>
      <c r="HFQ60" s="479"/>
      <c r="HFR60" s="479"/>
      <c r="HFS60" s="479"/>
      <c r="HFT60" s="479"/>
      <c r="HFU60" s="479"/>
      <c r="HFV60" s="479"/>
      <c r="HFW60" s="479"/>
      <c r="HFX60" s="479"/>
      <c r="HFY60" s="479"/>
      <c r="HFZ60" s="479"/>
      <c r="HGA60" s="479"/>
      <c r="HGB60" s="479"/>
      <c r="HGC60" s="479"/>
      <c r="HGD60" s="479"/>
      <c r="HGE60" s="479"/>
      <c r="HGF60" s="479"/>
      <c r="HGG60" s="479"/>
      <c r="HGH60" s="479"/>
      <c r="HGI60" s="479"/>
      <c r="HGJ60" s="479"/>
      <c r="HGK60" s="479"/>
      <c r="HGL60" s="479"/>
      <c r="HGM60" s="479"/>
      <c r="HGN60" s="479"/>
      <c r="HGO60" s="479"/>
      <c r="HGP60" s="479"/>
      <c r="HGQ60" s="479"/>
      <c r="HGR60" s="479"/>
      <c r="HGS60" s="479"/>
      <c r="HGT60" s="479"/>
      <c r="HGU60" s="479"/>
      <c r="HGV60" s="479"/>
      <c r="HGW60" s="479"/>
      <c r="HGX60" s="479"/>
      <c r="HGY60" s="479"/>
      <c r="HGZ60" s="479"/>
      <c r="HHA60" s="479"/>
      <c r="HHB60" s="479"/>
      <c r="HHC60" s="479"/>
      <c r="HHD60" s="479"/>
      <c r="HHE60" s="479"/>
      <c r="HHF60" s="479"/>
      <c r="HHG60" s="479"/>
      <c r="HHH60" s="479"/>
      <c r="HHI60" s="479"/>
      <c r="HHJ60" s="479"/>
      <c r="HHK60" s="479"/>
      <c r="HHL60" s="479"/>
      <c r="HHM60" s="479"/>
      <c r="HHN60" s="479"/>
      <c r="HHO60" s="479"/>
      <c r="HHP60" s="479"/>
      <c r="HHQ60" s="479"/>
      <c r="HHR60" s="479"/>
      <c r="HHS60" s="479"/>
      <c r="HHT60" s="479"/>
      <c r="HHU60" s="479"/>
      <c r="HHV60" s="479"/>
      <c r="HHW60" s="479"/>
      <c r="HHX60" s="479"/>
      <c r="HHY60" s="479"/>
      <c r="HHZ60" s="479"/>
      <c r="HIA60" s="479"/>
      <c r="HIB60" s="479"/>
      <c r="HIC60" s="479"/>
      <c r="HID60" s="479"/>
      <c r="HIE60" s="479"/>
      <c r="HIF60" s="479"/>
      <c r="HIG60" s="479"/>
      <c r="HIH60" s="479"/>
      <c r="HII60" s="479"/>
      <c r="HIJ60" s="479"/>
      <c r="HIK60" s="479"/>
      <c r="HIL60" s="479"/>
      <c r="HIM60" s="479"/>
      <c r="HIN60" s="479"/>
      <c r="HIO60" s="479"/>
      <c r="HIP60" s="479"/>
      <c r="HIQ60" s="479"/>
      <c r="HIR60" s="479"/>
      <c r="HIS60" s="479"/>
      <c r="HIT60" s="479"/>
      <c r="HIU60" s="479"/>
      <c r="HIV60" s="479"/>
      <c r="HIW60" s="479"/>
      <c r="HIX60" s="479"/>
      <c r="HIY60" s="479"/>
      <c r="HIZ60" s="479"/>
      <c r="HJA60" s="479"/>
      <c r="HJB60" s="479"/>
      <c r="HJC60" s="479"/>
      <c r="HJD60" s="479"/>
      <c r="HJE60" s="479"/>
      <c r="HJF60" s="479"/>
      <c r="HJG60" s="479"/>
      <c r="HJH60" s="479"/>
      <c r="HJI60" s="479"/>
      <c r="HJJ60" s="479"/>
      <c r="HJK60" s="479"/>
      <c r="HJL60" s="479"/>
      <c r="HJM60" s="479"/>
      <c r="HJN60" s="479"/>
      <c r="HJO60" s="479"/>
      <c r="HJP60" s="479"/>
      <c r="HJQ60" s="479"/>
      <c r="HJR60" s="479"/>
      <c r="HJS60" s="479"/>
      <c r="HJT60" s="479"/>
      <c r="HJU60" s="479"/>
      <c r="HJV60" s="479"/>
      <c r="HJW60" s="479"/>
      <c r="HJX60" s="479"/>
      <c r="HJY60" s="479"/>
      <c r="HJZ60" s="479"/>
      <c r="HKA60" s="479"/>
      <c r="HKB60" s="479"/>
      <c r="HKC60" s="479"/>
      <c r="HKD60" s="479"/>
      <c r="HKE60" s="479"/>
      <c r="HKF60" s="479"/>
      <c r="HKG60" s="479"/>
      <c r="HKH60" s="479"/>
      <c r="HKI60" s="479"/>
      <c r="HKJ60" s="479"/>
      <c r="HKK60" s="479"/>
      <c r="HKL60" s="479"/>
      <c r="HKM60" s="479"/>
      <c r="HKN60" s="479"/>
      <c r="HKO60" s="479"/>
      <c r="HKP60" s="479"/>
      <c r="HKQ60" s="479"/>
      <c r="HKR60" s="479"/>
      <c r="HKS60" s="479"/>
      <c r="HKT60" s="479"/>
      <c r="HKU60" s="479"/>
      <c r="HKV60" s="479"/>
      <c r="HKW60" s="479"/>
      <c r="HKX60" s="479"/>
      <c r="HKY60" s="479"/>
      <c r="HKZ60" s="479"/>
      <c r="HLA60" s="479"/>
      <c r="HLB60" s="479"/>
      <c r="HLC60" s="479"/>
      <c r="HLD60" s="479"/>
      <c r="HLE60" s="479"/>
      <c r="HLF60" s="479"/>
      <c r="HLG60" s="479"/>
      <c r="HLH60" s="479"/>
      <c r="HLI60" s="479"/>
      <c r="HLJ60" s="479"/>
      <c r="HLK60" s="479"/>
      <c r="HLL60" s="479"/>
      <c r="HLM60" s="479"/>
      <c r="HLN60" s="479"/>
      <c r="HLO60" s="479"/>
      <c r="HLP60" s="479"/>
      <c r="HLQ60" s="479"/>
      <c r="HLR60" s="479"/>
      <c r="HLS60" s="479"/>
      <c r="HLT60" s="479"/>
      <c r="HLU60" s="479"/>
      <c r="HLV60" s="479"/>
      <c r="HLW60" s="479"/>
      <c r="HLX60" s="479"/>
      <c r="HLY60" s="479"/>
      <c r="HLZ60" s="479"/>
      <c r="HMA60" s="479"/>
      <c r="HMB60" s="479"/>
      <c r="HMC60" s="479"/>
      <c r="HMD60" s="479"/>
      <c r="HME60" s="479"/>
      <c r="HMF60" s="479"/>
      <c r="HMG60" s="479"/>
      <c r="HMH60" s="479"/>
      <c r="HMI60" s="479"/>
      <c r="HMJ60" s="479"/>
      <c r="HMK60" s="479"/>
      <c r="HML60" s="479"/>
      <c r="HMM60" s="479"/>
      <c r="HMN60" s="479"/>
      <c r="HMO60" s="479"/>
      <c r="HMP60" s="479"/>
      <c r="HMQ60" s="479"/>
      <c r="HMR60" s="479"/>
      <c r="HMS60" s="479"/>
      <c r="HMT60" s="479"/>
      <c r="HMU60" s="479"/>
      <c r="HMV60" s="479"/>
      <c r="HMW60" s="479"/>
      <c r="HMX60" s="479"/>
      <c r="HMY60" s="479"/>
      <c r="HMZ60" s="479"/>
      <c r="HNA60" s="479"/>
      <c r="HNB60" s="479"/>
      <c r="HNC60" s="479"/>
      <c r="HND60" s="479"/>
      <c r="HNE60" s="479"/>
      <c r="HNF60" s="479"/>
      <c r="HNG60" s="479"/>
      <c r="HNH60" s="479"/>
      <c r="HNI60" s="479"/>
      <c r="HNJ60" s="479"/>
      <c r="HNK60" s="479"/>
      <c r="HNL60" s="479"/>
      <c r="HNM60" s="479"/>
      <c r="HNN60" s="479"/>
      <c r="HNO60" s="479"/>
      <c r="HNP60" s="479"/>
      <c r="HNQ60" s="479"/>
      <c r="HNR60" s="479"/>
      <c r="HNS60" s="479"/>
      <c r="HNT60" s="479"/>
      <c r="HNU60" s="479"/>
      <c r="HNV60" s="479"/>
      <c r="HNW60" s="479"/>
      <c r="HNX60" s="479"/>
      <c r="HNY60" s="479"/>
      <c r="HNZ60" s="479"/>
      <c r="HOA60" s="479"/>
      <c r="HOB60" s="479"/>
      <c r="HOC60" s="479"/>
      <c r="HOD60" s="479"/>
      <c r="HOE60" s="479"/>
      <c r="HOF60" s="479"/>
      <c r="HOG60" s="479"/>
      <c r="HOH60" s="479"/>
      <c r="HOI60" s="479"/>
      <c r="HOJ60" s="479"/>
      <c r="HOK60" s="479"/>
      <c r="HOL60" s="479"/>
      <c r="HOM60" s="479"/>
      <c r="HON60" s="479"/>
      <c r="HOO60" s="479"/>
      <c r="HOP60" s="479"/>
      <c r="HOQ60" s="479"/>
      <c r="HOR60" s="479"/>
      <c r="HOS60" s="479"/>
      <c r="HOT60" s="479"/>
      <c r="HOU60" s="479"/>
      <c r="HOV60" s="479"/>
      <c r="HOW60" s="479"/>
      <c r="HOX60" s="479"/>
      <c r="HOY60" s="479"/>
      <c r="HOZ60" s="479"/>
      <c r="HPA60" s="479"/>
      <c r="HPB60" s="479"/>
      <c r="HPC60" s="479"/>
      <c r="HPD60" s="479"/>
      <c r="HPE60" s="479"/>
      <c r="HPF60" s="479"/>
      <c r="HPG60" s="479"/>
      <c r="HPH60" s="479"/>
      <c r="HPI60" s="479"/>
      <c r="HPJ60" s="479"/>
      <c r="HPK60" s="479"/>
      <c r="HPL60" s="479"/>
      <c r="HPM60" s="479"/>
      <c r="HPN60" s="479"/>
      <c r="HPO60" s="479"/>
      <c r="HPP60" s="479"/>
      <c r="HPQ60" s="479"/>
      <c r="HPR60" s="479"/>
      <c r="HPS60" s="479"/>
      <c r="HPT60" s="479"/>
      <c r="HPU60" s="479"/>
      <c r="HPV60" s="479"/>
      <c r="HPW60" s="479"/>
      <c r="HPX60" s="479"/>
      <c r="HPY60" s="479"/>
      <c r="HPZ60" s="479"/>
      <c r="HQA60" s="479"/>
      <c r="HQB60" s="479"/>
      <c r="HQC60" s="479"/>
      <c r="HQD60" s="479"/>
      <c r="HQE60" s="479"/>
      <c r="HQF60" s="479"/>
      <c r="HQG60" s="479"/>
      <c r="HQH60" s="479"/>
      <c r="HQI60" s="479"/>
      <c r="HQJ60" s="479"/>
      <c r="HQK60" s="479"/>
      <c r="HQL60" s="479"/>
      <c r="HQM60" s="479"/>
      <c r="HQN60" s="479"/>
      <c r="HQO60" s="479"/>
      <c r="HQP60" s="479"/>
      <c r="HQQ60" s="479"/>
      <c r="HQR60" s="479"/>
      <c r="HQS60" s="479"/>
      <c r="HQT60" s="479"/>
      <c r="HQU60" s="479"/>
      <c r="HQV60" s="479"/>
      <c r="HQW60" s="479"/>
      <c r="HQX60" s="479"/>
      <c r="HQY60" s="479"/>
      <c r="HQZ60" s="479"/>
      <c r="HRA60" s="479"/>
      <c r="HRB60" s="479"/>
      <c r="HRC60" s="479"/>
      <c r="HRD60" s="479"/>
      <c r="HRE60" s="479"/>
      <c r="HRF60" s="479"/>
      <c r="HRG60" s="479"/>
      <c r="HRH60" s="479"/>
      <c r="HRI60" s="479"/>
      <c r="HRJ60" s="479"/>
      <c r="HRK60" s="479"/>
      <c r="HRL60" s="479"/>
      <c r="HRM60" s="479"/>
      <c r="HRN60" s="479"/>
      <c r="HRO60" s="479"/>
      <c r="HRP60" s="479"/>
      <c r="HRQ60" s="479"/>
      <c r="HRR60" s="479"/>
      <c r="HRS60" s="479"/>
      <c r="HRT60" s="479"/>
      <c r="HRU60" s="479"/>
      <c r="HRV60" s="479"/>
      <c r="HRW60" s="479"/>
      <c r="HRX60" s="479"/>
      <c r="HRY60" s="479"/>
      <c r="HRZ60" s="479"/>
      <c r="HSA60" s="479"/>
      <c r="HSB60" s="479"/>
      <c r="HSC60" s="479"/>
      <c r="HSD60" s="479"/>
      <c r="HSE60" s="479"/>
      <c r="HSF60" s="479"/>
      <c r="HSG60" s="479"/>
      <c r="HSH60" s="479"/>
      <c r="HSI60" s="479"/>
      <c r="HSJ60" s="479"/>
      <c r="HSK60" s="479"/>
      <c r="HSL60" s="479"/>
      <c r="HSM60" s="479"/>
      <c r="HSN60" s="479"/>
      <c r="HSO60" s="479"/>
      <c r="HSP60" s="479"/>
      <c r="HSQ60" s="479"/>
      <c r="HSR60" s="479"/>
      <c r="HSS60" s="479"/>
      <c r="HST60" s="479"/>
      <c r="HSU60" s="479"/>
      <c r="HSV60" s="479"/>
      <c r="HSW60" s="479"/>
      <c r="HSX60" s="479"/>
      <c r="HSY60" s="479"/>
      <c r="HSZ60" s="479"/>
      <c r="HTA60" s="479"/>
      <c r="HTB60" s="479"/>
      <c r="HTC60" s="479"/>
      <c r="HTD60" s="479"/>
      <c r="HTE60" s="479"/>
      <c r="HTF60" s="479"/>
      <c r="HTG60" s="479"/>
      <c r="HTH60" s="479"/>
      <c r="HTI60" s="479"/>
      <c r="HTJ60" s="479"/>
      <c r="HTK60" s="479"/>
      <c r="HTL60" s="479"/>
      <c r="HTM60" s="479"/>
      <c r="HTN60" s="479"/>
      <c r="HTO60" s="479"/>
      <c r="HTP60" s="479"/>
      <c r="HTQ60" s="479"/>
      <c r="HTR60" s="479"/>
      <c r="HTS60" s="479"/>
      <c r="HTT60" s="479"/>
      <c r="HTU60" s="479"/>
      <c r="HTV60" s="479"/>
      <c r="HTW60" s="479"/>
      <c r="HTX60" s="479"/>
      <c r="HTY60" s="479"/>
      <c r="HTZ60" s="479"/>
      <c r="HUA60" s="479"/>
      <c r="HUB60" s="479"/>
      <c r="HUC60" s="479"/>
      <c r="HUD60" s="479"/>
      <c r="HUE60" s="479"/>
      <c r="HUF60" s="479"/>
      <c r="HUG60" s="479"/>
      <c r="HUH60" s="479"/>
      <c r="HUI60" s="479"/>
      <c r="HUJ60" s="479"/>
      <c r="HUK60" s="479"/>
      <c r="HUL60" s="479"/>
      <c r="HUM60" s="479"/>
      <c r="HUN60" s="479"/>
      <c r="HUO60" s="479"/>
      <c r="HUP60" s="479"/>
      <c r="HUQ60" s="479"/>
      <c r="HUR60" s="479"/>
      <c r="HUS60" s="479"/>
      <c r="HUT60" s="479"/>
      <c r="HUU60" s="479"/>
      <c r="HUV60" s="479"/>
      <c r="HUW60" s="479"/>
      <c r="HUX60" s="479"/>
      <c r="HUY60" s="479"/>
      <c r="HUZ60" s="479"/>
      <c r="HVA60" s="479"/>
      <c r="HVB60" s="479"/>
      <c r="HVC60" s="479"/>
      <c r="HVD60" s="479"/>
      <c r="HVE60" s="479"/>
      <c r="HVF60" s="479"/>
      <c r="HVG60" s="479"/>
      <c r="HVH60" s="479"/>
      <c r="HVI60" s="479"/>
      <c r="HVJ60" s="479"/>
      <c r="HVK60" s="479"/>
      <c r="HVL60" s="479"/>
      <c r="HVM60" s="479"/>
      <c r="HVN60" s="479"/>
      <c r="HVO60" s="479"/>
      <c r="HVP60" s="479"/>
      <c r="HVQ60" s="479"/>
      <c r="HVR60" s="479"/>
      <c r="HVS60" s="479"/>
      <c r="HVT60" s="479"/>
      <c r="HVU60" s="479"/>
      <c r="HVV60" s="479"/>
      <c r="HVW60" s="479"/>
      <c r="HVX60" s="479"/>
      <c r="HVY60" s="479"/>
      <c r="HVZ60" s="479"/>
      <c r="HWA60" s="479"/>
      <c r="HWB60" s="479"/>
      <c r="HWC60" s="479"/>
      <c r="HWD60" s="479"/>
      <c r="HWE60" s="479"/>
      <c r="HWF60" s="479"/>
      <c r="HWG60" s="479"/>
      <c r="HWH60" s="479"/>
      <c r="HWI60" s="479"/>
      <c r="HWJ60" s="479"/>
      <c r="HWK60" s="479"/>
      <c r="HWL60" s="479"/>
      <c r="HWM60" s="479"/>
      <c r="HWN60" s="479"/>
      <c r="HWO60" s="479"/>
      <c r="HWP60" s="479"/>
      <c r="HWQ60" s="479"/>
      <c r="HWR60" s="479"/>
      <c r="HWS60" s="479"/>
      <c r="HWT60" s="479"/>
      <c r="HWU60" s="479"/>
      <c r="HWV60" s="479"/>
      <c r="HWW60" s="479"/>
      <c r="HWX60" s="479"/>
      <c r="HWY60" s="479"/>
      <c r="HWZ60" s="479"/>
      <c r="HXA60" s="479"/>
      <c r="HXB60" s="479"/>
      <c r="HXC60" s="479"/>
      <c r="HXD60" s="479"/>
      <c r="HXE60" s="479"/>
      <c r="HXF60" s="479"/>
      <c r="HXG60" s="479"/>
      <c r="HXH60" s="479"/>
      <c r="HXI60" s="479"/>
      <c r="HXJ60" s="479"/>
      <c r="HXK60" s="479"/>
      <c r="HXL60" s="479"/>
      <c r="HXM60" s="479"/>
      <c r="HXN60" s="479"/>
      <c r="HXO60" s="479"/>
      <c r="HXP60" s="479"/>
      <c r="HXQ60" s="479"/>
      <c r="HXR60" s="479"/>
      <c r="HXS60" s="479"/>
      <c r="HXT60" s="479"/>
      <c r="HXU60" s="479"/>
      <c r="HXV60" s="479"/>
      <c r="HXW60" s="479"/>
      <c r="HXX60" s="479"/>
      <c r="HXY60" s="479"/>
      <c r="HXZ60" s="479"/>
      <c r="HYA60" s="479"/>
      <c r="HYB60" s="479"/>
      <c r="HYC60" s="479"/>
      <c r="HYD60" s="479"/>
      <c r="HYE60" s="479"/>
      <c r="HYF60" s="479"/>
      <c r="HYG60" s="479"/>
      <c r="HYH60" s="479"/>
      <c r="HYI60" s="479"/>
      <c r="HYJ60" s="479"/>
      <c r="HYK60" s="479"/>
      <c r="HYL60" s="479"/>
      <c r="HYM60" s="479"/>
      <c r="HYN60" s="479"/>
      <c r="HYO60" s="479"/>
      <c r="HYP60" s="479"/>
      <c r="HYQ60" s="479"/>
      <c r="HYR60" s="479"/>
      <c r="HYS60" s="479"/>
      <c r="HYT60" s="479"/>
      <c r="HYU60" s="479"/>
      <c r="HYV60" s="479"/>
      <c r="HYW60" s="479"/>
      <c r="HYX60" s="479"/>
      <c r="HYY60" s="479"/>
      <c r="HYZ60" s="479"/>
      <c r="HZA60" s="479"/>
      <c r="HZB60" s="479"/>
      <c r="HZC60" s="479"/>
      <c r="HZD60" s="479"/>
      <c r="HZE60" s="479"/>
      <c r="HZF60" s="479"/>
      <c r="HZG60" s="479"/>
      <c r="HZH60" s="479"/>
      <c r="HZI60" s="479"/>
      <c r="HZJ60" s="479"/>
      <c r="HZK60" s="479"/>
      <c r="HZL60" s="479"/>
      <c r="HZM60" s="479"/>
      <c r="HZN60" s="479"/>
      <c r="HZO60" s="479"/>
      <c r="HZP60" s="479"/>
      <c r="HZQ60" s="479"/>
      <c r="HZR60" s="479"/>
      <c r="HZS60" s="479"/>
      <c r="HZT60" s="479"/>
      <c r="HZU60" s="479"/>
      <c r="HZV60" s="479"/>
      <c r="HZW60" s="479"/>
      <c r="HZX60" s="479"/>
      <c r="HZY60" s="479"/>
      <c r="HZZ60" s="479"/>
      <c r="IAA60" s="479"/>
      <c r="IAB60" s="479"/>
      <c r="IAC60" s="479"/>
      <c r="IAD60" s="479"/>
      <c r="IAE60" s="479"/>
      <c r="IAF60" s="479"/>
      <c r="IAG60" s="479"/>
      <c r="IAH60" s="479"/>
      <c r="IAI60" s="479"/>
      <c r="IAJ60" s="479"/>
      <c r="IAK60" s="479"/>
      <c r="IAL60" s="479"/>
      <c r="IAM60" s="479"/>
      <c r="IAN60" s="479"/>
      <c r="IAO60" s="479"/>
      <c r="IAP60" s="479"/>
      <c r="IAQ60" s="479"/>
      <c r="IAR60" s="479"/>
      <c r="IAS60" s="479"/>
      <c r="IAT60" s="479"/>
      <c r="IAU60" s="479"/>
      <c r="IAV60" s="479"/>
      <c r="IAW60" s="479"/>
      <c r="IAX60" s="479"/>
      <c r="IAY60" s="479"/>
      <c r="IAZ60" s="479"/>
      <c r="IBA60" s="479"/>
      <c r="IBB60" s="479"/>
      <c r="IBC60" s="479"/>
      <c r="IBD60" s="479"/>
      <c r="IBE60" s="479"/>
      <c r="IBF60" s="479"/>
      <c r="IBG60" s="479"/>
      <c r="IBH60" s="479"/>
      <c r="IBI60" s="479"/>
      <c r="IBJ60" s="479"/>
      <c r="IBK60" s="479"/>
      <c r="IBL60" s="479"/>
      <c r="IBM60" s="479"/>
      <c r="IBN60" s="479"/>
      <c r="IBO60" s="479"/>
      <c r="IBP60" s="479"/>
      <c r="IBQ60" s="479"/>
      <c r="IBR60" s="479"/>
      <c r="IBS60" s="479"/>
      <c r="IBT60" s="479"/>
      <c r="IBU60" s="479"/>
      <c r="IBV60" s="479"/>
      <c r="IBW60" s="479"/>
      <c r="IBX60" s="479"/>
      <c r="IBY60" s="479"/>
      <c r="IBZ60" s="479"/>
      <c r="ICA60" s="479"/>
      <c r="ICB60" s="479"/>
      <c r="ICC60" s="479"/>
      <c r="ICD60" s="479"/>
      <c r="ICE60" s="479"/>
      <c r="ICF60" s="479"/>
      <c r="ICG60" s="479"/>
      <c r="ICH60" s="479"/>
      <c r="ICI60" s="479"/>
      <c r="ICJ60" s="479"/>
      <c r="ICK60" s="479"/>
      <c r="ICL60" s="479"/>
      <c r="ICM60" s="479"/>
      <c r="ICN60" s="479"/>
      <c r="ICO60" s="479"/>
      <c r="ICP60" s="479"/>
      <c r="ICQ60" s="479"/>
      <c r="ICR60" s="479"/>
      <c r="ICS60" s="479"/>
      <c r="ICT60" s="479"/>
      <c r="ICU60" s="479"/>
      <c r="ICV60" s="479"/>
      <c r="ICW60" s="479"/>
      <c r="ICX60" s="479"/>
      <c r="ICY60" s="479"/>
      <c r="ICZ60" s="479"/>
      <c r="IDA60" s="479"/>
      <c r="IDB60" s="479"/>
      <c r="IDC60" s="479"/>
      <c r="IDD60" s="479"/>
      <c r="IDE60" s="479"/>
      <c r="IDF60" s="479"/>
      <c r="IDG60" s="479"/>
      <c r="IDH60" s="479"/>
      <c r="IDI60" s="479"/>
      <c r="IDJ60" s="479"/>
      <c r="IDK60" s="479"/>
      <c r="IDL60" s="479"/>
      <c r="IDM60" s="479"/>
      <c r="IDN60" s="479"/>
      <c r="IDO60" s="479"/>
      <c r="IDP60" s="479"/>
      <c r="IDQ60" s="479"/>
      <c r="IDR60" s="479"/>
      <c r="IDS60" s="479"/>
      <c r="IDT60" s="479"/>
      <c r="IDU60" s="479"/>
      <c r="IDV60" s="479"/>
      <c r="IDW60" s="479"/>
      <c r="IDX60" s="479"/>
      <c r="IDY60" s="479"/>
      <c r="IDZ60" s="479"/>
      <c r="IEA60" s="479"/>
      <c r="IEB60" s="479"/>
      <c r="IEC60" s="479"/>
      <c r="IED60" s="479"/>
      <c r="IEE60" s="479"/>
      <c r="IEF60" s="479"/>
      <c r="IEG60" s="479"/>
      <c r="IEH60" s="479"/>
      <c r="IEI60" s="479"/>
      <c r="IEJ60" s="479"/>
      <c r="IEK60" s="479"/>
      <c r="IEL60" s="479"/>
      <c r="IEM60" s="479"/>
      <c r="IEN60" s="479"/>
      <c r="IEO60" s="479"/>
      <c r="IEP60" s="479"/>
      <c r="IEQ60" s="479"/>
      <c r="IER60" s="479"/>
      <c r="IES60" s="479"/>
      <c r="IET60" s="479"/>
      <c r="IEU60" s="479"/>
      <c r="IEV60" s="479"/>
      <c r="IEW60" s="479"/>
      <c r="IEX60" s="479"/>
      <c r="IEY60" s="479"/>
      <c r="IEZ60" s="479"/>
      <c r="IFA60" s="479"/>
      <c r="IFB60" s="479"/>
      <c r="IFC60" s="479"/>
      <c r="IFD60" s="479"/>
      <c r="IFE60" s="479"/>
      <c r="IFF60" s="479"/>
      <c r="IFG60" s="479"/>
      <c r="IFH60" s="479"/>
      <c r="IFI60" s="479"/>
      <c r="IFJ60" s="479"/>
      <c r="IFK60" s="479"/>
      <c r="IFL60" s="479"/>
      <c r="IFM60" s="479"/>
      <c r="IFN60" s="479"/>
      <c r="IFO60" s="479"/>
      <c r="IFP60" s="479"/>
      <c r="IFQ60" s="479"/>
      <c r="IFR60" s="479"/>
      <c r="IFS60" s="479"/>
      <c r="IFT60" s="479"/>
      <c r="IFU60" s="479"/>
      <c r="IFV60" s="479"/>
      <c r="IFW60" s="479"/>
      <c r="IFX60" s="479"/>
      <c r="IFY60" s="479"/>
      <c r="IFZ60" s="479"/>
      <c r="IGA60" s="479"/>
      <c r="IGB60" s="479"/>
      <c r="IGC60" s="479"/>
      <c r="IGD60" s="479"/>
      <c r="IGE60" s="479"/>
      <c r="IGF60" s="479"/>
      <c r="IGG60" s="479"/>
      <c r="IGH60" s="479"/>
      <c r="IGI60" s="479"/>
      <c r="IGJ60" s="479"/>
      <c r="IGK60" s="479"/>
      <c r="IGL60" s="479"/>
      <c r="IGM60" s="479"/>
      <c r="IGN60" s="479"/>
      <c r="IGO60" s="479"/>
      <c r="IGP60" s="479"/>
      <c r="IGQ60" s="479"/>
      <c r="IGR60" s="479"/>
      <c r="IGS60" s="479"/>
      <c r="IGT60" s="479"/>
      <c r="IGU60" s="479"/>
      <c r="IGV60" s="479"/>
      <c r="IGW60" s="479"/>
      <c r="IGX60" s="479"/>
      <c r="IGY60" s="479"/>
      <c r="IGZ60" s="479"/>
      <c r="IHA60" s="479"/>
      <c r="IHB60" s="479"/>
      <c r="IHC60" s="479"/>
      <c r="IHD60" s="479"/>
      <c r="IHE60" s="479"/>
      <c r="IHF60" s="479"/>
      <c r="IHG60" s="479"/>
      <c r="IHH60" s="479"/>
      <c r="IHI60" s="479"/>
      <c r="IHJ60" s="479"/>
      <c r="IHK60" s="479"/>
      <c r="IHL60" s="479"/>
      <c r="IHM60" s="479"/>
      <c r="IHN60" s="479"/>
      <c r="IHO60" s="479"/>
      <c r="IHP60" s="479"/>
      <c r="IHQ60" s="479"/>
      <c r="IHR60" s="479"/>
      <c r="IHS60" s="479"/>
      <c r="IHT60" s="479"/>
      <c r="IHU60" s="479"/>
      <c r="IHV60" s="479"/>
      <c r="IHW60" s="479"/>
      <c r="IHX60" s="479"/>
      <c r="IHY60" s="479"/>
      <c r="IHZ60" s="479"/>
      <c r="IIA60" s="479"/>
      <c r="IIB60" s="479"/>
      <c r="IIC60" s="479"/>
      <c r="IID60" s="479"/>
      <c r="IIE60" s="479"/>
      <c r="IIF60" s="479"/>
      <c r="IIG60" s="479"/>
      <c r="IIH60" s="479"/>
      <c r="III60" s="479"/>
      <c r="IIJ60" s="479"/>
      <c r="IIK60" s="479"/>
      <c r="IIL60" s="479"/>
      <c r="IIM60" s="479"/>
      <c r="IIN60" s="479"/>
      <c r="IIO60" s="479"/>
      <c r="IIP60" s="479"/>
      <c r="IIQ60" s="479"/>
      <c r="IIR60" s="479"/>
      <c r="IIS60" s="479"/>
      <c r="IIT60" s="479"/>
      <c r="IIU60" s="479"/>
      <c r="IIV60" s="479"/>
      <c r="IIW60" s="479"/>
      <c r="IIX60" s="479"/>
      <c r="IIY60" s="479"/>
      <c r="IIZ60" s="479"/>
      <c r="IJA60" s="479"/>
      <c r="IJB60" s="479"/>
      <c r="IJC60" s="479"/>
      <c r="IJD60" s="479"/>
      <c r="IJE60" s="479"/>
      <c r="IJF60" s="479"/>
      <c r="IJG60" s="479"/>
      <c r="IJH60" s="479"/>
      <c r="IJI60" s="479"/>
      <c r="IJJ60" s="479"/>
      <c r="IJK60" s="479"/>
      <c r="IJL60" s="479"/>
      <c r="IJM60" s="479"/>
      <c r="IJN60" s="479"/>
      <c r="IJO60" s="479"/>
      <c r="IJP60" s="479"/>
      <c r="IJQ60" s="479"/>
      <c r="IJR60" s="479"/>
      <c r="IJS60" s="479"/>
      <c r="IJT60" s="479"/>
      <c r="IJU60" s="479"/>
      <c r="IJV60" s="479"/>
      <c r="IJW60" s="479"/>
      <c r="IJX60" s="479"/>
      <c r="IJY60" s="479"/>
      <c r="IJZ60" s="479"/>
      <c r="IKA60" s="479"/>
      <c r="IKB60" s="479"/>
      <c r="IKC60" s="479"/>
      <c r="IKD60" s="479"/>
      <c r="IKE60" s="479"/>
      <c r="IKF60" s="479"/>
      <c r="IKG60" s="479"/>
      <c r="IKH60" s="479"/>
      <c r="IKI60" s="479"/>
      <c r="IKJ60" s="479"/>
      <c r="IKK60" s="479"/>
      <c r="IKL60" s="479"/>
      <c r="IKM60" s="479"/>
      <c r="IKN60" s="479"/>
      <c r="IKO60" s="479"/>
      <c r="IKP60" s="479"/>
      <c r="IKQ60" s="479"/>
      <c r="IKR60" s="479"/>
      <c r="IKS60" s="479"/>
      <c r="IKT60" s="479"/>
      <c r="IKU60" s="479"/>
      <c r="IKV60" s="479"/>
      <c r="IKW60" s="479"/>
      <c r="IKX60" s="479"/>
      <c r="IKY60" s="479"/>
      <c r="IKZ60" s="479"/>
      <c r="ILA60" s="479"/>
      <c r="ILB60" s="479"/>
      <c r="ILC60" s="479"/>
      <c r="ILD60" s="479"/>
      <c r="ILE60" s="479"/>
      <c r="ILF60" s="479"/>
      <c r="ILG60" s="479"/>
      <c r="ILH60" s="479"/>
      <c r="ILI60" s="479"/>
      <c r="ILJ60" s="479"/>
      <c r="ILK60" s="479"/>
      <c r="ILL60" s="479"/>
      <c r="ILM60" s="479"/>
      <c r="ILN60" s="479"/>
      <c r="ILO60" s="479"/>
      <c r="ILP60" s="479"/>
      <c r="ILQ60" s="479"/>
      <c r="ILR60" s="479"/>
      <c r="ILS60" s="479"/>
      <c r="ILT60" s="479"/>
      <c r="ILU60" s="479"/>
      <c r="ILV60" s="479"/>
      <c r="ILW60" s="479"/>
      <c r="ILX60" s="479"/>
      <c r="ILY60" s="479"/>
      <c r="ILZ60" s="479"/>
      <c r="IMA60" s="479"/>
      <c r="IMB60" s="479"/>
      <c r="IMC60" s="479"/>
      <c r="IMD60" s="479"/>
      <c r="IME60" s="479"/>
      <c r="IMF60" s="479"/>
      <c r="IMG60" s="479"/>
      <c r="IMH60" s="479"/>
      <c r="IMI60" s="479"/>
      <c r="IMJ60" s="479"/>
      <c r="IMK60" s="479"/>
      <c r="IML60" s="479"/>
      <c r="IMM60" s="479"/>
      <c r="IMN60" s="479"/>
      <c r="IMO60" s="479"/>
      <c r="IMP60" s="479"/>
      <c r="IMQ60" s="479"/>
      <c r="IMR60" s="479"/>
      <c r="IMS60" s="479"/>
      <c r="IMT60" s="479"/>
      <c r="IMU60" s="479"/>
      <c r="IMV60" s="479"/>
      <c r="IMW60" s="479"/>
      <c r="IMX60" s="479"/>
      <c r="IMY60" s="479"/>
      <c r="IMZ60" s="479"/>
      <c r="INA60" s="479"/>
      <c r="INB60" s="479"/>
      <c r="INC60" s="479"/>
      <c r="IND60" s="479"/>
      <c r="INE60" s="479"/>
      <c r="INF60" s="479"/>
      <c r="ING60" s="479"/>
      <c r="INH60" s="479"/>
      <c r="INI60" s="479"/>
      <c r="INJ60" s="479"/>
      <c r="INK60" s="479"/>
      <c r="INL60" s="479"/>
      <c r="INM60" s="479"/>
      <c r="INN60" s="479"/>
      <c r="INO60" s="479"/>
      <c r="INP60" s="479"/>
      <c r="INQ60" s="479"/>
      <c r="INR60" s="479"/>
      <c r="INS60" s="479"/>
      <c r="INT60" s="479"/>
      <c r="INU60" s="479"/>
      <c r="INV60" s="479"/>
      <c r="INW60" s="479"/>
      <c r="INX60" s="479"/>
      <c r="INY60" s="479"/>
      <c r="INZ60" s="479"/>
      <c r="IOA60" s="479"/>
      <c r="IOB60" s="479"/>
      <c r="IOC60" s="479"/>
      <c r="IOD60" s="479"/>
      <c r="IOE60" s="479"/>
      <c r="IOF60" s="479"/>
      <c r="IOG60" s="479"/>
      <c r="IOH60" s="479"/>
      <c r="IOI60" s="479"/>
      <c r="IOJ60" s="479"/>
      <c r="IOK60" s="479"/>
      <c r="IOL60" s="479"/>
      <c r="IOM60" s="479"/>
      <c r="ION60" s="479"/>
      <c r="IOO60" s="479"/>
      <c r="IOP60" s="479"/>
      <c r="IOQ60" s="479"/>
      <c r="IOR60" s="479"/>
      <c r="IOS60" s="479"/>
      <c r="IOT60" s="479"/>
      <c r="IOU60" s="479"/>
      <c r="IOV60" s="479"/>
      <c r="IOW60" s="479"/>
      <c r="IOX60" s="479"/>
      <c r="IOY60" s="479"/>
      <c r="IOZ60" s="479"/>
      <c r="IPA60" s="479"/>
      <c r="IPB60" s="479"/>
      <c r="IPC60" s="479"/>
      <c r="IPD60" s="479"/>
      <c r="IPE60" s="479"/>
      <c r="IPF60" s="479"/>
      <c r="IPG60" s="479"/>
      <c r="IPH60" s="479"/>
      <c r="IPI60" s="479"/>
      <c r="IPJ60" s="479"/>
      <c r="IPK60" s="479"/>
      <c r="IPL60" s="479"/>
      <c r="IPM60" s="479"/>
      <c r="IPN60" s="479"/>
      <c r="IPO60" s="479"/>
      <c r="IPP60" s="479"/>
      <c r="IPQ60" s="479"/>
      <c r="IPR60" s="479"/>
      <c r="IPS60" s="479"/>
      <c r="IPT60" s="479"/>
      <c r="IPU60" s="479"/>
      <c r="IPV60" s="479"/>
      <c r="IPW60" s="479"/>
      <c r="IPX60" s="479"/>
      <c r="IPY60" s="479"/>
      <c r="IPZ60" s="479"/>
      <c r="IQA60" s="479"/>
      <c r="IQB60" s="479"/>
      <c r="IQC60" s="479"/>
      <c r="IQD60" s="479"/>
      <c r="IQE60" s="479"/>
      <c r="IQF60" s="479"/>
      <c r="IQG60" s="479"/>
      <c r="IQH60" s="479"/>
      <c r="IQI60" s="479"/>
      <c r="IQJ60" s="479"/>
      <c r="IQK60" s="479"/>
      <c r="IQL60" s="479"/>
      <c r="IQM60" s="479"/>
      <c r="IQN60" s="479"/>
      <c r="IQO60" s="479"/>
      <c r="IQP60" s="479"/>
      <c r="IQQ60" s="479"/>
      <c r="IQR60" s="479"/>
      <c r="IQS60" s="479"/>
      <c r="IQT60" s="479"/>
      <c r="IQU60" s="479"/>
      <c r="IQV60" s="479"/>
      <c r="IQW60" s="479"/>
      <c r="IQX60" s="479"/>
      <c r="IQY60" s="479"/>
      <c r="IQZ60" s="479"/>
      <c r="IRA60" s="479"/>
      <c r="IRB60" s="479"/>
      <c r="IRC60" s="479"/>
      <c r="IRD60" s="479"/>
      <c r="IRE60" s="479"/>
      <c r="IRF60" s="479"/>
      <c r="IRG60" s="479"/>
      <c r="IRH60" s="479"/>
      <c r="IRI60" s="479"/>
      <c r="IRJ60" s="479"/>
      <c r="IRK60" s="479"/>
      <c r="IRL60" s="479"/>
      <c r="IRM60" s="479"/>
      <c r="IRN60" s="479"/>
      <c r="IRO60" s="479"/>
      <c r="IRP60" s="479"/>
      <c r="IRQ60" s="479"/>
      <c r="IRR60" s="479"/>
      <c r="IRS60" s="479"/>
      <c r="IRT60" s="479"/>
      <c r="IRU60" s="479"/>
      <c r="IRV60" s="479"/>
      <c r="IRW60" s="479"/>
      <c r="IRX60" s="479"/>
      <c r="IRY60" s="479"/>
      <c r="IRZ60" s="479"/>
      <c r="ISA60" s="479"/>
      <c r="ISB60" s="479"/>
      <c r="ISC60" s="479"/>
      <c r="ISD60" s="479"/>
      <c r="ISE60" s="479"/>
      <c r="ISF60" s="479"/>
      <c r="ISG60" s="479"/>
      <c r="ISH60" s="479"/>
      <c r="ISI60" s="479"/>
      <c r="ISJ60" s="479"/>
      <c r="ISK60" s="479"/>
      <c r="ISL60" s="479"/>
      <c r="ISM60" s="479"/>
      <c r="ISN60" s="479"/>
      <c r="ISO60" s="479"/>
      <c r="ISP60" s="479"/>
      <c r="ISQ60" s="479"/>
      <c r="ISR60" s="479"/>
      <c r="ISS60" s="479"/>
      <c r="IST60" s="479"/>
      <c r="ISU60" s="479"/>
      <c r="ISV60" s="479"/>
      <c r="ISW60" s="479"/>
      <c r="ISX60" s="479"/>
      <c r="ISY60" s="479"/>
      <c r="ISZ60" s="479"/>
      <c r="ITA60" s="479"/>
      <c r="ITB60" s="479"/>
      <c r="ITC60" s="479"/>
      <c r="ITD60" s="479"/>
      <c r="ITE60" s="479"/>
      <c r="ITF60" s="479"/>
      <c r="ITG60" s="479"/>
      <c r="ITH60" s="479"/>
      <c r="ITI60" s="479"/>
      <c r="ITJ60" s="479"/>
      <c r="ITK60" s="479"/>
      <c r="ITL60" s="479"/>
      <c r="ITM60" s="479"/>
      <c r="ITN60" s="479"/>
      <c r="ITO60" s="479"/>
      <c r="ITP60" s="479"/>
      <c r="ITQ60" s="479"/>
      <c r="ITR60" s="479"/>
      <c r="ITS60" s="479"/>
      <c r="ITT60" s="479"/>
      <c r="ITU60" s="479"/>
      <c r="ITV60" s="479"/>
      <c r="ITW60" s="479"/>
      <c r="ITX60" s="479"/>
      <c r="ITY60" s="479"/>
      <c r="ITZ60" s="479"/>
      <c r="IUA60" s="479"/>
      <c r="IUB60" s="479"/>
      <c r="IUC60" s="479"/>
      <c r="IUD60" s="479"/>
      <c r="IUE60" s="479"/>
      <c r="IUF60" s="479"/>
      <c r="IUG60" s="479"/>
      <c r="IUH60" s="479"/>
      <c r="IUI60" s="479"/>
      <c r="IUJ60" s="479"/>
      <c r="IUK60" s="479"/>
      <c r="IUL60" s="479"/>
      <c r="IUM60" s="479"/>
      <c r="IUN60" s="479"/>
      <c r="IUO60" s="479"/>
      <c r="IUP60" s="479"/>
      <c r="IUQ60" s="479"/>
      <c r="IUR60" s="479"/>
      <c r="IUS60" s="479"/>
      <c r="IUT60" s="479"/>
      <c r="IUU60" s="479"/>
      <c r="IUV60" s="479"/>
      <c r="IUW60" s="479"/>
      <c r="IUX60" s="479"/>
      <c r="IUY60" s="479"/>
      <c r="IUZ60" s="479"/>
      <c r="IVA60" s="479"/>
      <c r="IVB60" s="479"/>
      <c r="IVC60" s="479"/>
      <c r="IVD60" s="479"/>
      <c r="IVE60" s="479"/>
      <c r="IVF60" s="479"/>
      <c r="IVG60" s="479"/>
      <c r="IVH60" s="479"/>
      <c r="IVI60" s="479"/>
      <c r="IVJ60" s="479"/>
      <c r="IVK60" s="479"/>
      <c r="IVL60" s="479"/>
      <c r="IVM60" s="479"/>
      <c r="IVN60" s="479"/>
      <c r="IVO60" s="479"/>
      <c r="IVP60" s="479"/>
      <c r="IVQ60" s="479"/>
      <c r="IVR60" s="479"/>
      <c r="IVS60" s="479"/>
      <c r="IVT60" s="479"/>
      <c r="IVU60" s="479"/>
      <c r="IVV60" s="479"/>
      <c r="IVW60" s="479"/>
      <c r="IVX60" s="479"/>
      <c r="IVY60" s="479"/>
      <c r="IVZ60" s="479"/>
      <c r="IWA60" s="479"/>
      <c r="IWB60" s="479"/>
      <c r="IWC60" s="479"/>
      <c r="IWD60" s="479"/>
      <c r="IWE60" s="479"/>
      <c r="IWF60" s="479"/>
      <c r="IWG60" s="479"/>
      <c r="IWH60" s="479"/>
      <c r="IWI60" s="479"/>
      <c r="IWJ60" s="479"/>
      <c r="IWK60" s="479"/>
      <c r="IWL60" s="479"/>
      <c r="IWM60" s="479"/>
      <c r="IWN60" s="479"/>
      <c r="IWO60" s="479"/>
      <c r="IWP60" s="479"/>
      <c r="IWQ60" s="479"/>
      <c r="IWR60" s="479"/>
      <c r="IWS60" s="479"/>
      <c r="IWT60" s="479"/>
      <c r="IWU60" s="479"/>
      <c r="IWV60" s="479"/>
      <c r="IWW60" s="479"/>
      <c r="IWX60" s="479"/>
      <c r="IWY60" s="479"/>
      <c r="IWZ60" s="479"/>
      <c r="IXA60" s="479"/>
      <c r="IXB60" s="479"/>
      <c r="IXC60" s="479"/>
      <c r="IXD60" s="479"/>
      <c r="IXE60" s="479"/>
      <c r="IXF60" s="479"/>
      <c r="IXG60" s="479"/>
      <c r="IXH60" s="479"/>
      <c r="IXI60" s="479"/>
      <c r="IXJ60" s="479"/>
      <c r="IXK60" s="479"/>
      <c r="IXL60" s="479"/>
      <c r="IXM60" s="479"/>
      <c r="IXN60" s="479"/>
      <c r="IXO60" s="479"/>
      <c r="IXP60" s="479"/>
      <c r="IXQ60" s="479"/>
      <c r="IXR60" s="479"/>
      <c r="IXS60" s="479"/>
      <c r="IXT60" s="479"/>
      <c r="IXU60" s="479"/>
      <c r="IXV60" s="479"/>
      <c r="IXW60" s="479"/>
      <c r="IXX60" s="479"/>
      <c r="IXY60" s="479"/>
      <c r="IXZ60" s="479"/>
      <c r="IYA60" s="479"/>
      <c r="IYB60" s="479"/>
      <c r="IYC60" s="479"/>
      <c r="IYD60" s="479"/>
      <c r="IYE60" s="479"/>
      <c r="IYF60" s="479"/>
      <c r="IYG60" s="479"/>
      <c r="IYH60" s="479"/>
      <c r="IYI60" s="479"/>
      <c r="IYJ60" s="479"/>
      <c r="IYK60" s="479"/>
      <c r="IYL60" s="479"/>
      <c r="IYM60" s="479"/>
      <c r="IYN60" s="479"/>
      <c r="IYO60" s="479"/>
      <c r="IYP60" s="479"/>
      <c r="IYQ60" s="479"/>
      <c r="IYR60" s="479"/>
      <c r="IYS60" s="479"/>
      <c r="IYT60" s="479"/>
      <c r="IYU60" s="479"/>
      <c r="IYV60" s="479"/>
      <c r="IYW60" s="479"/>
      <c r="IYX60" s="479"/>
      <c r="IYY60" s="479"/>
      <c r="IYZ60" s="479"/>
      <c r="IZA60" s="479"/>
      <c r="IZB60" s="479"/>
      <c r="IZC60" s="479"/>
      <c r="IZD60" s="479"/>
      <c r="IZE60" s="479"/>
      <c r="IZF60" s="479"/>
      <c r="IZG60" s="479"/>
      <c r="IZH60" s="479"/>
      <c r="IZI60" s="479"/>
      <c r="IZJ60" s="479"/>
      <c r="IZK60" s="479"/>
      <c r="IZL60" s="479"/>
      <c r="IZM60" s="479"/>
      <c r="IZN60" s="479"/>
      <c r="IZO60" s="479"/>
      <c r="IZP60" s="479"/>
      <c r="IZQ60" s="479"/>
      <c r="IZR60" s="479"/>
      <c r="IZS60" s="479"/>
      <c r="IZT60" s="479"/>
      <c r="IZU60" s="479"/>
      <c r="IZV60" s="479"/>
      <c r="IZW60" s="479"/>
      <c r="IZX60" s="479"/>
      <c r="IZY60" s="479"/>
      <c r="IZZ60" s="479"/>
      <c r="JAA60" s="479"/>
      <c r="JAB60" s="479"/>
      <c r="JAC60" s="479"/>
      <c r="JAD60" s="479"/>
      <c r="JAE60" s="479"/>
      <c r="JAF60" s="479"/>
      <c r="JAG60" s="479"/>
      <c r="JAH60" s="479"/>
      <c r="JAI60" s="479"/>
      <c r="JAJ60" s="479"/>
      <c r="JAK60" s="479"/>
      <c r="JAL60" s="479"/>
      <c r="JAM60" s="479"/>
      <c r="JAN60" s="479"/>
      <c r="JAO60" s="479"/>
      <c r="JAP60" s="479"/>
      <c r="JAQ60" s="479"/>
      <c r="JAR60" s="479"/>
      <c r="JAS60" s="479"/>
      <c r="JAT60" s="479"/>
      <c r="JAU60" s="479"/>
      <c r="JAV60" s="479"/>
      <c r="JAW60" s="479"/>
      <c r="JAX60" s="479"/>
      <c r="JAY60" s="479"/>
      <c r="JAZ60" s="479"/>
      <c r="JBA60" s="479"/>
      <c r="JBB60" s="479"/>
      <c r="JBC60" s="479"/>
      <c r="JBD60" s="479"/>
      <c r="JBE60" s="479"/>
      <c r="JBF60" s="479"/>
      <c r="JBG60" s="479"/>
      <c r="JBH60" s="479"/>
      <c r="JBI60" s="479"/>
      <c r="JBJ60" s="479"/>
      <c r="JBK60" s="479"/>
      <c r="JBL60" s="479"/>
      <c r="JBM60" s="479"/>
      <c r="JBN60" s="479"/>
      <c r="JBO60" s="479"/>
      <c r="JBP60" s="479"/>
      <c r="JBQ60" s="479"/>
      <c r="JBR60" s="479"/>
      <c r="JBS60" s="479"/>
      <c r="JBT60" s="479"/>
      <c r="JBU60" s="479"/>
      <c r="JBV60" s="479"/>
      <c r="JBW60" s="479"/>
      <c r="JBX60" s="479"/>
      <c r="JBY60" s="479"/>
      <c r="JBZ60" s="479"/>
      <c r="JCA60" s="479"/>
      <c r="JCB60" s="479"/>
      <c r="JCC60" s="479"/>
      <c r="JCD60" s="479"/>
      <c r="JCE60" s="479"/>
      <c r="JCF60" s="479"/>
      <c r="JCG60" s="479"/>
      <c r="JCH60" s="479"/>
      <c r="JCI60" s="479"/>
      <c r="JCJ60" s="479"/>
      <c r="JCK60" s="479"/>
      <c r="JCL60" s="479"/>
      <c r="JCM60" s="479"/>
      <c r="JCN60" s="479"/>
      <c r="JCO60" s="479"/>
      <c r="JCP60" s="479"/>
      <c r="JCQ60" s="479"/>
      <c r="JCR60" s="479"/>
      <c r="JCS60" s="479"/>
      <c r="JCT60" s="479"/>
      <c r="JCU60" s="479"/>
      <c r="JCV60" s="479"/>
      <c r="JCW60" s="479"/>
      <c r="JCX60" s="479"/>
      <c r="JCY60" s="479"/>
      <c r="JCZ60" s="479"/>
      <c r="JDA60" s="479"/>
      <c r="JDB60" s="479"/>
      <c r="JDC60" s="479"/>
      <c r="JDD60" s="479"/>
      <c r="JDE60" s="479"/>
      <c r="JDF60" s="479"/>
      <c r="JDG60" s="479"/>
      <c r="JDH60" s="479"/>
      <c r="JDI60" s="479"/>
      <c r="JDJ60" s="479"/>
      <c r="JDK60" s="479"/>
      <c r="JDL60" s="479"/>
      <c r="JDM60" s="479"/>
      <c r="JDN60" s="479"/>
      <c r="JDO60" s="479"/>
      <c r="JDP60" s="479"/>
      <c r="JDQ60" s="479"/>
      <c r="JDR60" s="479"/>
      <c r="JDS60" s="479"/>
      <c r="JDT60" s="479"/>
      <c r="JDU60" s="479"/>
      <c r="JDV60" s="479"/>
      <c r="JDW60" s="479"/>
      <c r="JDX60" s="479"/>
      <c r="JDY60" s="479"/>
      <c r="JDZ60" s="479"/>
      <c r="JEA60" s="479"/>
      <c r="JEB60" s="479"/>
      <c r="JEC60" s="479"/>
      <c r="JED60" s="479"/>
      <c r="JEE60" s="479"/>
      <c r="JEF60" s="479"/>
      <c r="JEG60" s="479"/>
      <c r="JEH60" s="479"/>
      <c r="JEI60" s="479"/>
      <c r="JEJ60" s="479"/>
      <c r="JEK60" s="479"/>
      <c r="JEL60" s="479"/>
      <c r="JEM60" s="479"/>
      <c r="JEN60" s="479"/>
      <c r="JEO60" s="479"/>
      <c r="JEP60" s="479"/>
      <c r="JEQ60" s="479"/>
      <c r="JER60" s="479"/>
      <c r="JES60" s="479"/>
      <c r="JET60" s="479"/>
      <c r="JEU60" s="479"/>
      <c r="JEV60" s="479"/>
      <c r="JEW60" s="479"/>
      <c r="JEX60" s="479"/>
      <c r="JEY60" s="479"/>
      <c r="JEZ60" s="479"/>
      <c r="JFA60" s="479"/>
      <c r="JFB60" s="479"/>
      <c r="JFC60" s="479"/>
      <c r="JFD60" s="479"/>
      <c r="JFE60" s="479"/>
      <c r="JFF60" s="479"/>
      <c r="JFG60" s="479"/>
      <c r="JFH60" s="479"/>
      <c r="JFI60" s="479"/>
      <c r="JFJ60" s="479"/>
      <c r="JFK60" s="479"/>
      <c r="JFL60" s="479"/>
      <c r="JFM60" s="479"/>
      <c r="JFN60" s="479"/>
      <c r="JFO60" s="479"/>
      <c r="JFP60" s="479"/>
      <c r="JFQ60" s="479"/>
      <c r="JFR60" s="479"/>
      <c r="JFS60" s="479"/>
      <c r="JFT60" s="479"/>
      <c r="JFU60" s="479"/>
      <c r="JFV60" s="479"/>
      <c r="JFW60" s="479"/>
      <c r="JFX60" s="479"/>
      <c r="JFY60" s="479"/>
      <c r="JFZ60" s="479"/>
      <c r="JGA60" s="479"/>
      <c r="JGB60" s="479"/>
      <c r="JGC60" s="479"/>
      <c r="JGD60" s="479"/>
      <c r="JGE60" s="479"/>
      <c r="JGF60" s="479"/>
      <c r="JGG60" s="479"/>
      <c r="JGH60" s="479"/>
      <c r="JGI60" s="479"/>
      <c r="JGJ60" s="479"/>
      <c r="JGK60" s="479"/>
      <c r="JGL60" s="479"/>
      <c r="JGM60" s="479"/>
      <c r="JGN60" s="479"/>
      <c r="JGO60" s="479"/>
      <c r="JGP60" s="479"/>
      <c r="JGQ60" s="479"/>
      <c r="JGR60" s="479"/>
      <c r="JGS60" s="479"/>
      <c r="JGT60" s="479"/>
      <c r="JGU60" s="479"/>
      <c r="JGV60" s="479"/>
      <c r="JGW60" s="479"/>
      <c r="JGX60" s="479"/>
      <c r="JGY60" s="479"/>
      <c r="JGZ60" s="479"/>
      <c r="JHA60" s="479"/>
      <c r="JHB60" s="479"/>
      <c r="JHC60" s="479"/>
      <c r="JHD60" s="479"/>
      <c r="JHE60" s="479"/>
      <c r="JHF60" s="479"/>
      <c r="JHG60" s="479"/>
      <c r="JHH60" s="479"/>
      <c r="JHI60" s="479"/>
      <c r="JHJ60" s="479"/>
      <c r="JHK60" s="479"/>
      <c r="JHL60" s="479"/>
      <c r="JHM60" s="479"/>
      <c r="JHN60" s="479"/>
      <c r="JHO60" s="479"/>
      <c r="JHP60" s="479"/>
      <c r="JHQ60" s="479"/>
      <c r="JHR60" s="479"/>
      <c r="JHS60" s="479"/>
      <c r="JHT60" s="479"/>
      <c r="JHU60" s="479"/>
      <c r="JHV60" s="479"/>
      <c r="JHW60" s="479"/>
      <c r="JHX60" s="479"/>
      <c r="JHY60" s="479"/>
      <c r="JHZ60" s="479"/>
      <c r="JIA60" s="479"/>
      <c r="JIB60" s="479"/>
      <c r="JIC60" s="479"/>
      <c r="JID60" s="479"/>
      <c r="JIE60" s="479"/>
      <c r="JIF60" s="479"/>
      <c r="JIG60" s="479"/>
      <c r="JIH60" s="479"/>
      <c r="JII60" s="479"/>
      <c r="JIJ60" s="479"/>
      <c r="JIK60" s="479"/>
      <c r="JIL60" s="479"/>
      <c r="JIM60" s="479"/>
      <c r="JIN60" s="479"/>
      <c r="JIO60" s="479"/>
      <c r="JIP60" s="479"/>
      <c r="JIQ60" s="479"/>
      <c r="JIR60" s="479"/>
      <c r="JIS60" s="479"/>
      <c r="JIT60" s="479"/>
      <c r="JIU60" s="479"/>
      <c r="JIV60" s="479"/>
      <c r="JIW60" s="479"/>
      <c r="JIX60" s="479"/>
      <c r="JIY60" s="479"/>
      <c r="JIZ60" s="479"/>
      <c r="JJA60" s="479"/>
      <c r="JJB60" s="479"/>
      <c r="JJC60" s="479"/>
      <c r="JJD60" s="479"/>
      <c r="JJE60" s="479"/>
      <c r="JJF60" s="479"/>
      <c r="JJG60" s="479"/>
      <c r="JJH60" s="479"/>
      <c r="JJI60" s="479"/>
      <c r="JJJ60" s="479"/>
      <c r="JJK60" s="479"/>
      <c r="JJL60" s="479"/>
      <c r="JJM60" s="479"/>
      <c r="JJN60" s="479"/>
      <c r="JJO60" s="479"/>
      <c r="JJP60" s="479"/>
      <c r="JJQ60" s="479"/>
      <c r="JJR60" s="479"/>
      <c r="JJS60" s="479"/>
      <c r="JJT60" s="479"/>
      <c r="JJU60" s="479"/>
      <c r="JJV60" s="479"/>
      <c r="JJW60" s="479"/>
      <c r="JJX60" s="479"/>
      <c r="JJY60" s="479"/>
      <c r="JJZ60" s="479"/>
      <c r="JKA60" s="479"/>
      <c r="JKB60" s="479"/>
      <c r="JKC60" s="479"/>
      <c r="JKD60" s="479"/>
      <c r="JKE60" s="479"/>
      <c r="JKF60" s="479"/>
      <c r="JKG60" s="479"/>
      <c r="JKH60" s="479"/>
      <c r="JKI60" s="479"/>
      <c r="JKJ60" s="479"/>
      <c r="JKK60" s="479"/>
      <c r="JKL60" s="479"/>
      <c r="JKM60" s="479"/>
      <c r="JKN60" s="479"/>
      <c r="JKO60" s="479"/>
      <c r="JKP60" s="479"/>
      <c r="JKQ60" s="479"/>
      <c r="JKR60" s="479"/>
      <c r="JKS60" s="479"/>
      <c r="JKT60" s="479"/>
      <c r="JKU60" s="479"/>
      <c r="JKV60" s="479"/>
      <c r="JKW60" s="479"/>
      <c r="JKX60" s="479"/>
      <c r="JKY60" s="479"/>
      <c r="JKZ60" s="479"/>
      <c r="JLA60" s="479"/>
      <c r="JLB60" s="479"/>
      <c r="JLC60" s="479"/>
      <c r="JLD60" s="479"/>
      <c r="JLE60" s="479"/>
      <c r="JLF60" s="479"/>
      <c r="JLG60" s="479"/>
      <c r="JLH60" s="479"/>
      <c r="JLI60" s="479"/>
      <c r="JLJ60" s="479"/>
      <c r="JLK60" s="479"/>
      <c r="JLL60" s="479"/>
      <c r="JLM60" s="479"/>
      <c r="JLN60" s="479"/>
      <c r="JLO60" s="479"/>
      <c r="JLP60" s="479"/>
      <c r="JLQ60" s="479"/>
      <c r="JLR60" s="479"/>
      <c r="JLS60" s="479"/>
      <c r="JLT60" s="479"/>
      <c r="JLU60" s="479"/>
      <c r="JLV60" s="479"/>
      <c r="JLW60" s="479"/>
      <c r="JLX60" s="479"/>
      <c r="JLY60" s="479"/>
      <c r="JLZ60" s="479"/>
      <c r="JMA60" s="479"/>
      <c r="JMB60" s="479"/>
      <c r="JMC60" s="479"/>
      <c r="JMD60" s="479"/>
      <c r="JME60" s="479"/>
      <c r="JMF60" s="479"/>
      <c r="JMG60" s="479"/>
      <c r="JMH60" s="479"/>
      <c r="JMI60" s="479"/>
      <c r="JMJ60" s="479"/>
      <c r="JMK60" s="479"/>
      <c r="JML60" s="479"/>
      <c r="JMM60" s="479"/>
      <c r="JMN60" s="479"/>
      <c r="JMO60" s="479"/>
      <c r="JMP60" s="479"/>
      <c r="JMQ60" s="479"/>
      <c r="JMR60" s="479"/>
      <c r="JMS60" s="479"/>
      <c r="JMT60" s="479"/>
      <c r="JMU60" s="479"/>
      <c r="JMV60" s="479"/>
      <c r="JMW60" s="479"/>
      <c r="JMX60" s="479"/>
      <c r="JMY60" s="479"/>
      <c r="JMZ60" s="479"/>
      <c r="JNA60" s="479"/>
      <c r="JNB60" s="479"/>
      <c r="JNC60" s="479"/>
      <c r="JND60" s="479"/>
      <c r="JNE60" s="479"/>
      <c r="JNF60" s="479"/>
      <c r="JNG60" s="479"/>
      <c r="JNH60" s="479"/>
      <c r="JNI60" s="479"/>
      <c r="JNJ60" s="479"/>
      <c r="JNK60" s="479"/>
      <c r="JNL60" s="479"/>
      <c r="JNM60" s="479"/>
      <c r="JNN60" s="479"/>
      <c r="JNO60" s="479"/>
      <c r="JNP60" s="479"/>
      <c r="JNQ60" s="479"/>
      <c r="JNR60" s="479"/>
      <c r="JNS60" s="479"/>
      <c r="JNT60" s="479"/>
      <c r="JNU60" s="479"/>
      <c r="JNV60" s="479"/>
      <c r="JNW60" s="479"/>
      <c r="JNX60" s="479"/>
      <c r="JNY60" s="479"/>
      <c r="JNZ60" s="479"/>
      <c r="JOA60" s="479"/>
      <c r="JOB60" s="479"/>
      <c r="JOC60" s="479"/>
      <c r="JOD60" s="479"/>
      <c r="JOE60" s="479"/>
      <c r="JOF60" s="479"/>
      <c r="JOG60" s="479"/>
      <c r="JOH60" s="479"/>
      <c r="JOI60" s="479"/>
      <c r="JOJ60" s="479"/>
      <c r="JOK60" s="479"/>
      <c r="JOL60" s="479"/>
      <c r="JOM60" s="479"/>
      <c r="JON60" s="479"/>
      <c r="JOO60" s="479"/>
      <c r="JOP60" s="479"/>
      <c r="JOQ60" s="479"/>
      <c r="JOR60" s="479"/>
      <c r="JOS60" s="479"/>
      <c r="JOT60" s="479"/>
      <c r="JOU60" s="479"/>
      <c r="JOV60" s="479"/>
      <c r="JOW60" s="479"/>
      <c r="JOX60" s="479"/>
      <c r="JOY60" s="479"/>
      <c r="JOZ60" s="479"/>
      <c r="JPA60" s="479"/>
      <c r="JPB60" s="479"/>
      <c r="JPC60" s="479"/>
      <c r="JPD60" s="479"/>
      <c r="JPE60" s="479"/>
      <c r="JPF60" s="479"/>
      <c r="JPG60" s="479"/>
      <c r="JPH60" s="479"/>
      <c r="JPI60" s="479"/>
      <c r="JPJ60" s="479"/>
      <c r="JPK60" s="479"/>
      <c r="JPL60" s="479"/>
      <c r="JPM60" s="479"/>
      <c r="JPN60" s="479"/>
      <c r="JPO60" s="479"/>
      <c r="JPP60" s="479"/>
      <c r="JPQ60" s="479"/>
      <c r="JPR60" s="479"/>
      <c r="JPS60" s="479"/>
      <c r="JPT60" s="479"/>
      <c r="JPU60" s="479"/>
      <c r="JPV60" s="479"/>
      <c r="JPW60" s="479"/>
      <c r="JPX60" s="479"/>
      <c r="JPY60" s="479"/>
      <c r="JPZ60" s="479"/>
      <c r="JQA60" s="479"/>
      <c r="JQB60" s="479"/>
      <c r="JQC60" s="479"/>
      <c r="JQD60" s="479"/>
      <c r="JQE60" s="479"/>
      <c r="JQF60" s="479"/>
      <c r="JQG60" s="479"/>
      <c r="JQH60" s="479"/>
      <c r="JQI60" s="479"/>
      <c r="JQJ60" s="479"/>
      <c r="JQK60" s="479"/>
      <c r="JQL60" s="479"/>
      <c r="JQM60" s="479"/>
      <c r="JQN60" s="479"/>
      <c r="JQO60" s="479"/>
      <c r="JQP60" s="479"/>
      <c r="JQQ60" s="479"/>
      <c r="JQR60" s="479"/>
      <c r="JQS60" s="479"/>
      <c r="JQT60" s="479"/>
      <c r="JQU60" s="479"/>
      <c r="JQV60" s="479"/>
      <c r="JQW60" s="479"/>
      <c r="JQX60" s="479"/>
      <c r="JQY60" s="479"/>
      <c r="JQZ60" s="479"/>
      <c r="JRA60" s="479"/>
      <c r="JRB60" s="479"/>
      <c r="JRC60" s="479"/>
      <c r="JRD60" s="479"/>
      <c r="JRE60" s="479"/>
      <c r="JRF60" s="479"/>
      <c r="JRG60" s="479"/>
      <c r="JRH60" s="479"/>
      <c r="JRI60" s="479"/>
      <c r="JRJ60" s="479"/>
      <c r="JRK60" s="479"/>
      <c r="JRL60" s="479"/>
      <c r="JRM60" s="479"/>
      <c r="JRN60" s="479"/>
      <c r="JRO60" s="479"/>
      <c r="JRP60" s="479"/>
      <c r="JRQ60" s="479"/>
      <c r="JRR60" s="479"/>
      <c r="JRS60" s="479"/>
      <c r="JRT60" s="479"/>
      <c r="JRU60" s="479"/>
      <c r="JRV60" s="479"/>
      <c r="JRW60" s="479"/>
      <c r="JRX60" s="479"/>
      <c r="JRY60" s="479"/>
      <c r="JRZ60" s="479"/>
      <c r="JSA60" s="479"/>
      <c r="JSB60" s="479"/>
      <c r="JSC60" s="479"/>
      <c r="JSD60" s="479"/>
      <c r="JSE60" s="479"/>
      <c r="JSF60" s="479"/>
      <c r="JSG60" s="479"/>
      <c r="JSH60" s="479"/>
      <c r="JSI60" s="479"/>
      <c r="JSJ60" s="479"/>
      <c r="JSK60" s="479"/>
      <c r="JSL60" s="479"/>
      <c r="JSM60" s="479"/>
      <c r="JSN60" s="479"/>
      <c r="JSO60" s="479"/>
      <c r="JSP60" s="479"/>
      <c r="JSQ60" s="479"/>
      <c r="JSR60" s="479"/>
      <c r="JSS60" s="479"/>
      <c r="JST60" s="479"/>
      <c r="JSU60" s="479"/>
      <c r="JSV60" s="479"/>
      <c r="JSW60" s="479"/>
      <c r="JSX60" s="479"/>
      <c r="JSY60" s="479"/>
      <c r="JSZ60" s="479"/>
      <c r="JTA60" s="479"/>
      <c r="JTB60" s="479"/>
      <c r="JTC60" s="479"/>
      <c r="JTD60" s="479"/>
      <c r="JTE60" s="479"/>
      <c r="JTF60" s="479"/>
      <c r="JTG60" s="479"/>
      <c r="JTH60" s="479"/>
      <c r="JTI60" s="479"/>
      <c r="JTJ60" s="479"/>
      <c r="JTK60" s="479"/>
      <c r="JTL60" s="479"/>
      <c r="JTM60" s="479"/>
      <c r="JTN60" s="479"/>
      <c r="JTO60" s="479"/>
      <c r="JTP60" s="479"/>
      <c r="JTQ60" s="479"/>
      <c r="JTR60" s="479"/>
      <c r="JTS60" s="479"/>
      <c r="JTT60" s="479"/>
      <c r="JTU60" s="479"/>
      <c r="JTV60" s="479"/>
      <c r="JTW60" s="479"/>
      <c r="JTX60" s="479"/>
      <c r="JTY60" s="479"/>
      <c r="JTZ60" s="479"/>
      <c r="JUA60" s="479"/>
      <c r="JUB60" s="479"/>
      <c r="JUC60" s="479"/>
      <c r="JUD60" s="479"/>
      <c r="JUE60" s="479"/>
      <c r="JUF60" s="479"/>
      <c r="JUG60" s="479"/>
      <c r="JUH60" s="479"/>
      <c r="JUI60" s="479"/>
      <c r="JUJ60" s="479"/>
      <c r="JUK60" s="479"/>
      <c r="JUL60" s="479"/>
      <c r="JUM60" s="479"/>
      <c r="JUN60" s="479"/>
      <c r="JUO60" s="479"/>
      <c r="JUP60" s="479"/>
      <c r="JUQ60" s="479"/>
      <c r="JUR60" s="479"/>
      <c r="JUS60" s="479"/>
      <c r="JUT60" s="479"/>
      <c r="JUU60" s="479"/>
      <c r="JUV60" s="479"/>
      <c r="JUW60" s="479"/>
      <c r="JUX60" s="479"/>
      <c r="JUY60" s="479"/>
      <c r="JUZ60" s="479"/>
      <c r="JVA60" s="479"/>
      <c r="JVB60" s="479"/>
      <c r="JVC60" s="479"/>
      <c r="JVD60" s="479"/>
      <c r="JVE60" s="479"/>
      <c r="JVF60" s="479"/>
      <c r="JVG60" s="479"/>
      <c r="JVH60" s="479"/>
      <c r="JVI60" s="479"/>
      <c r="JVJ60" s="479"/>
      <c r="JVK60" s="479"/>
      <c r="JVL60" s="479"/>
      <c r="JVM60" s="479"/>
      <c r="JVN60" s="479"/>
      <c r="JVO60" s="479"/>
      <c r="JVP60" s="479"/>
      <c r="JVQ60" s="479"/>
      <c r="JVR60" s="479"/>
      <c r="JVS60" s="479"/>
      <c r="JVT60" s="479"/>
      <c r="JVU60" s="479"/>
      <c r="JVV60" s="479"/>
      <c r="JVW60" s="479"/>
      <c r="JVX60" s="479"/>
      <c r="JVY60" s="479"/>
      <c r="JVZ60" s="479"/>
      <c r="JWA60" s="479"/>
      <c r="JWB60" s="479"/>
      <c r="JWC60" s="479"/>
      <c r="JWD60" s="479"/>
      <c r="JWE60" s="479"/>
      <c r="JWF60" s="479"/>
      <c r="JWG60" s="479"/>
      <c r="JWH60" s="479"/>
      <c r="JWI60" s="479"/>
      <c r="JWJ60" s="479"/>
      <c r="JWK60" s="479"/>
      <c r="JWL60" s="479"/>
      <c r="JWM60" s="479"/>
      <c r="JWN60" s="479"/>
      <c r="JWO60" s="479"/>
      <c r="JWP60" s="479"/>
      <c r="JWQ60" s="479"/>
      <c r="JWR60" s="479"/>
      <c r="JWS60" s="479"/>
      <c r="JWT60" s="479"/>
      <c r="JWU60" s="479"/>
      <c r="JWV60" s="479"/>
      <c r="JWW60" s="479"/>
      <c r="JWX60" s="479"/>
      <c r="JWY60" s="479"/>
      <c r="JWZ60" s="479"/>
      <c r="JXA60" s="479"/>
      <c r="JXB60" s="479"/>
      <c r="JXC60" s="479"/>
      <c r="JXD60" s="479"/>
      <c r="JXE60" s="479"/>
      <c r="JXF60" s="479"/>
      <c r="JXG60" s="479"/>
      <c r="JXH60" s="479"/>
      <c r="JXI60" s="479"/>
      <c r="JXJ60" s="479"/>
      <c r="JXK60" s="479"/>
      <c r="JXL60" s="479"/>
      <c r="JXM60" s="479"/>
      <c r="JXN60" s="479"/>
      <c r="JXO60" s="479"/>
      <c r="JXP60" s="479"/>
      <c r="JXQ60" s="479"/>
      <c r="JXR60" s="479"/>
      <c r="JXS60" s="479"/>
      <c r="JXT60" s="479"/>
      <c r="JXU60" s="479"/>
      <c r="JXV60" s="479"/>
      <c r="JXW60" s="479"/>
      <c r="JXX60" s="479"/>
      <c r="JXY60" s="479"/>
      <c r="JXZ60" s="479"/>
      <c r="JYA60" s="479"/>
      <c r="JYB60" s="479"/>
      <c r="JYC60" s="479"/>
      <c r="JYD60" s="479"/>
      <c r="JYE60" s="479"/>
      <c r="JYF60" s="479"/>
      <c r="JYG60" s="479"/>
      <c r="JYH60" s="479"/>
      <c r="JYI60" s="479"/>
      <c r="JYJ60" s="479"/>
      <c r="JYK60" s="479"/>
      <c r="JYL60" s="479"/>
      <c r="JYM60" s="479"/>
      <c r="JYN60" s="479"/>
      <c r="JYO60" s="479"/>
      <c r="JYP60" s="479"/>
      <c r="JYQ60" s="479"/>
      <c r="JYR60" s="479"/>
      <c r="JYS60" s="479"/>
      <c r="JYT60" s="479"/>
      <c r="JYU60" s="479"/>
      <c r="JYV60" s="479"/>
      <c r="JYW60" s="479"/>
      <c r="JYX60" s="479"/>
      <c r="JYY60" s="479"/>
      <c r="JYZ60" s="479"/>
      <c r="JZA60" s="479"/>
      <c r="JZB60" s="479"/>
      <c r="JZC60" s="479"/>
      <c r="JZD60" s="479"/>
      <c r="JZE60" s="479"/>
      <c r="JZF60" s="479"/>
      <c r="JZG60" s="479"/>
      <c r="JZH60" s="479"/>
      <c r="JZI60" s="479"/>
      <c r="JZJ60" s="479"/>
      <c r="JZK60" s="479"/>
      <c r="JZL60" s="479"/>
      <c r="JZM60" s="479"/>
      <c r="JZN60" s="479"/>
      <c r="JZO60" s="479"/>
      <c r="JZP60" s="479"/>
      <c r="JZQ60" s="479"/>
      <c r="JZR60" s="479"/>
      <c r="JZS60" s="479"/>
      <c r="JZT60" s="479"/>
      <c r="JZU60" s="479"/>
      <c r="JZV60" s="479"/>
      <c r="JZW60" s="479"/>
      <c r="JZX60" s="479"/>
      <c r="JZY60" s="479"/>
      <c r="JZZ60" s="479"/>
      <c r="KAA60" s="479"/>
      <c r="KAB60" s="479"/>
      <c r="KAC60" s="479"/>
      <c r="KAD60" s="479"/>
      <c r="KAE60" s="479"/>
      <c r="KAF60" s="479"/>
      <c r="KAG60" s="479"/>
      <c r="KAH60" s="479"/>
      <c r="KAI60" s="479"/>
      <c r="KAJ60" s="479"/>
      <c r="KAK60" s="479"/>
      <c r="KAL60" s="479"/>
      <c r="KAM60" s="479"/>
      <c r="KAN60" s="479"/>
      <c r="KAO60" s="479"/>
      <c r="KAP60" s="479"/>
      <c r="KAQ60" s="479"/>
      <c r="KAR60" s="479"/>
      <c r="KAS60" s="479"/>
      <c r="KAT60" s="479"/>
      <c r="KAU60" s="479"/>
      <c r="KAV60" s="479"/>
      <c r="KAW60" s="479"/>
      <c r="KAX60" s="479"/>
      <c r="KAY60" s="479"/>
      <c r="KAZ60" s="479"/>
      <c r="KBA60" s="479"/>
      <c r="KBB60" s="479"/>
      <c r="KBC60" s="479"/>
      <c r="KBD60" s="479"/>
      <c r="KBE60" s="479"/>
      <c r="KBF60" s="479"/>
      <c r="KBG60" s="479"/>
      <c r="KBH60" s="479"/>
      <c r="KBI60" s="479"/>
      <c r="KBJ60" s="479"/>
      <c r="KBK60" s="479"/>
      <c r="KBL60" s="479"/>
      <c r="KBM60" s="479"/>
      <c r="KBN60" s="479"/>
      <c r="KBO60" s="479"/>
      <c r="KBP60" s="479"/>
      <c r="KBQ60" s="479"/>
      <c r="KBR60" s="479"/>
      <c r="KBS60" s="479"/>
      <c r="KBT60" s="479"/>
      <c r="KBU60" s="479"/>
      <c r="KBV60" s="479"/>
      <c r="KBW60" s="479"/>
      <c r="KBX60" s="479"/>
      <c r="KBY60" s="479"/>
      <c r="KBZ60" s="479"/>
      <c r="KCA60" s="479"/>
      <c r="KCB60" s="479"/>
      <c r="KCC60" s="479"/>
      <c r="KCD60" s="479"/>
      <c r="KCE60" s="479"/>
      <c r="KCF60" s="479"/>
      <c r="KCG60" s="479"/>
      <c r="KCH60" s="479"/>
      <c r="KCI60" s="479"/>
      <c r="KCJ60" s="479"/>
      <c r="KCK60" s="479"/>
      <c r="KCL60" s="479"/>
      <c r="KCM60" s="479"/>
      <c r="KCN60" s="479"/>
      <c r="KCO60" s="479"/>
      <c r="KCP60" s="479"/>
      <c r="KCQ60" s="479"/>
      <c r="KCR60" s="479"/>
      <c r="KCS60" s="479"/>
      <c r="KCT60" s="479"/>
      <c r="KCU60" s="479"/>
      <c r="KCV60" s="479"/>
      <c r="KCW60" s="479"/>
      <c r="KCX60" s="479"/>
      <c r="KCY60" s="479"/>
      <c r="KCZ60" s="479"/>
      <c r="KDA60" s="479"/>
      <c r="KDB60" s="479"/>
      <c r="KDC60" s="479"/>
      <c r="KDD60" s="479"/>
      <c r="KDE60" s="479"/>
      <c r="KDF60" s="479"/>
      <c r="KDG60" s="479"/>
      <c r="KDH60" s="479"/>
      <c r="KDI60" s="479"/>
      <c r="KDJ60" s="479"/>
      <c r="KDK60" s="479"/>
      <c r="KDL60" s="479"/>
      <c r="KDM60" s="479"/>
      <c r="KDN60" s="479"/>
      <c r="KDO60" s="479"/>
      <c r="KDP60" s="479"/>
      <c r="KDQ60" s="479"/>
      <c r="KDR60" s="479"/>
      <c r="KDS60" s="479"/>
      <c r="KDT60" s="479"/>
      <c r="KDU60" s="479"/>
      <c r="KDV60" s="479"/>
      <c r="KDW60" s="479"/>
      <c r="KDX60" s="479"/>
      <c r="KDY60" s="479"/>
      <c r="KDZ60" s="479"/>
      <c r="KEA60" s="479"/>
      <c r="KEB60" s="479"/>
      <c r="KEC60" s="479"/>
      <c r="KED60" s="479"/>
      <c r="KEE60" s="479"/>
      <c r="KEF60" s="479"/>
      <c r="KEG60" s="479"/>
      <c r="KEH60" s="479"/>
      <c r="KEI60" s="479"/>
      <c r="KEJ60" s="479"/>
      <c r="KEK60" s="479"/>
      <c r="KEL60" s="479"/>
      <c r="KEM60" s="479"/>
      <c r="KEN60" s="479"/>
      <c r="KEO60" s="479"/>
      <c r="KEP60" s="479"/>
      <c r="KEQ60" s="479"/>
      <c r="KER60" s="479"/>
      <c r="KES60" s="479"/>
      <c r="KET60" s="479"/>
      <c r="KEU60" s="479"/>
      <c r="KEV60" s="479"/>
      <c r="KEW60" s="479"/>
      <c r="KEX60" s="479"/>
      <c r="KEY60" s="479"/>
      <c r="KEZ60" s="479"/>
      <c r="KFA60" s="479"/>
      <c r="KFB60" s="479"/>
      <c r="KFC60" s="479"/>
      <c r="KFD60" s="479"/>
      <c r="KFE60" s="479"/>
      <c r="KFF60" s="479"/>
      <c r="KFG60" s="479"/>
      <c r="KFH60" s="479"/>
      <c r="KFI60" s="479"/>
      <c r="KFJ60" s="479"/>
      <c r="KFK60" s="479"/>
      <c r="KFL60" s="479"/>
      <c r="KFM60" s="479"/>
      <c r="KFN60" s="479"/>
      <c r="KFO60" s="479"/>
      <c r="KFP60" s="479"/>
      <c r="KFQ60" s="479"/>
      <c r="KFR60" s="479"/>
      <c r="KFS60" s="479"/>
      <c r="KFT60" s="479"/>
      <c r="KFU60" s="479"/>
      <c r="KFV60" s="479"/>
      <c r="KFW60" s="479"/>
      <c r="KFX60" s="479"/>
      <c r="KFY60" s="479"/>
      <c r="KFZ60" s="479"/>
      <c r="KGA60" s="479"/>
      <c r="KGB60" s="479"/>
      <c r="KGC60" s="479"/>
      <c r="KGD60" s="479"/>
      <c r="KGE60" s="479"/>
      <c r="KGF60" s="479"/>
      <c r="KGG60" s="479"/>
      <c r="KGH60" s="479"/>
      <c r="KGI60" s="479"/>
      <c r="KGJ60" s="479"/>
      <c r="KGK60" s="479"/>
      <c r="KGL60" s="479"/>
      <c r="KGM60" s="479"/>
      <c r="KGN60" s="479"/>
      <c r="KGO60" s="479"/>
      <c r="KGP60" s="479"/>
      <c r="KGQ60" s="479"/>
      <c r="KGR60" s="479"/>
      <c r="KGS60" s="479"/>
      <c r="KGT60" s="479"/>
      <c r="KGU60" s="479"/>
      <c r="KGV60" s="479"/>
      <c r="KGW60" s="479"/>
      <c r="KGX60" s="479"/>
      <c r="KGY60" s="479"/>
      <c r="KGZ60" s="479"/>
      <c r="KHA60" s="479"/>
      <c r="KHB60" s="479"/>
      <c r="KHC60" s="479"/>
      <c r="KHD60" s="479"/>
      <c r="KHE60" s="479"/>
      <c r="KHF60" s="479"/>
      <c r="KHG60" s="479"/>
      <c r="KHH60" s="479"/>
      <c r="KHI60" s="479"/>
      <c r="KHJ60" s="479"/>
      <c r="KHK60" s="479"/>
      <c r="KHL60" s="479"/>
      <c r="KHM60" s="479"/>
      <c r="KHN60" s="479"/>
      <c r="KHO60" s="479"/>
      <c r="KHP60" s="479"/>
      <c r="KHQ60" s="479"/>
      <c r="KHR60" s="479"/>
      <c r="KHS60" s="479"/>
      <c r="KHT60" s="479"/>
      <c r="KHU60" s="479"/>
      <c r="KHV60" s="479"/>
      <c r="KHW60" s="479"/>
      <c r="KHX60" s="479"/>
      <c r="KHY60" s="479"/>
      <c r="KHZ60" s="479"/>
      <c r="KIA60" s="479"/>
      <c r="KIB60" s="479"/>
      <c r="KIC60" s="479"/>
      <c r="KID60" s="479"/>
      <c r="KIE60" s="479"/>
      <c r="KIF60" s="479"/>
      <c r="KIG60" s="479"/>
      <c r="KIH60" s="479"/>
      <c r="KII60" s="479"/>
      <c r="KIJ60" s="479"/>
      <c r="KIK60" s="479"/>
      <c r="KIL60" s="479"/>
      <c r="KIM60" s="479"/>
      <c r="KIN60" s="479"/>
      <c r="KIO60" s="479"/>
      <c r="KIP60" s="479"/>
      <c r="KIQ60" s="479"/>
      <c r="KIR60" s="479"/>
      <c r="KIS60" s="479"/>
      <c r="KIT60" s="479"/>
      <c r="KIU60" s="479"/>
      <c r="KIV60" s="479"/>
      <c r="KIW60" s="479"/>
      <c r="KIX60" s="479"/>
      <c r="KIY60" s="479"/>
      <c r="KIZ60" s="479"/>
      <c r="KJA60" s="479"/>
      <c r="KJB60" s="479"/>
      <c r="KJC60" s="479"/>
      <c r="KJD60" s="479"/>
      <c r="KJE60" s="479"/>
      <c r="KJF60" s="479"/>
      <c r="KJG60" s="479"/>
      <c r="KJH60" s="479"/>
      <c r="KJI60" s="479"/>
      <c r="KJJ60" s="479"/>
      <c r="KJK60" s="479"/>
      <c r="KJL60" s="479"/>
      <c r="KJM60" s="479"/>
      <c r="KJN60" s="479"/>
      <c r="KJO60" s="479"/>
      <c r="KJP60" s="479"/>
      <c r="KJQ60" s="479"/>
      <c r="KJR60" s="479"/>
      <c r="KJS60" s="479"/>
      <c r="KJT60" s="479"/>
      <c r="KJU60" s="479"/>
      <c r="KJV60" s="479"/>
      <c r="KJW60" s="479"/>
      <c r="KJX60" s="479"/>
      <c r="KJY60" s="479"/>
      <c r="KJZ60" s="479"/>
      <c r="KKA60" s="479"/>
      <c r="KKB60" s="479"/>
      <c r="KKC60" s="479"/>
      <c r="KKD60" s="479"/>
      <c r="KKE60" s="479"/>
      <c r="KKF60" s="479"/>
      <c r="KKG60" s="479"/>
      <c r="KKH60" s="479"/>
      <c r="KKI60" s="479"/>
      <c r="KKJ60" s="479"/>
      <c r="KKK60" s="479"/>
      <c r="KKL60" s="479"/>
      <c r="KKM60" s="479"/>
      <c r="KKN60" s="479"/>
      <c r="KKO60" s="479"/>
      <c r="KKP60" s="479"/>
      <c r="KKQ60" s="479"/>
      <c r="KKR60" s="479"/>
      <c r="KKS60" s="479"/>
      <c r="KKT60" s="479"/>
      <c r="KKU60" s="479"/>
      <c r="KKV60" s="479"/>
      <c r="KKW60" s="479"/>
      <c r="KKX60" s="479"/>
      <c r="KKY60" s="479"/>
      <c r="KKZ60" s="479"/>
      <c r="KLA60" s="479"/>
      <c r="KLB60" s="479"/>
      <c r="KLC60" s="479"/>
      <c r="KLD60" s="479"/>
      <c r="KLE60" s="479"/>
      <c r="KLF60" s="479"/>
      <c r="KLG60" s="479"/>
      <c r="KLH60" s="479"/>
      <c r="KLI60" s="479"/>
      <c r="KLJ60" s="479"/>
      <c r="KLK60" s="479"/>
      <c r="KLL60" s="479"/>
      <c r="KLM60" s="479"/>
      <c r="KLN60" s="479"/>
      <c r="KLO60" s="479"/>
      <c r="KLP60" s="479"/>
      <c r="KLQ60" s="479"/>
      <c r="KLR60" s="479"/>
      <c r="KLS60" s="479"/>
      <c r="KLT60" s="479"/>
      <c r="KLU60" s="479"/>
      <c r="KLV60" s="479"/>
      <c r="KLW60" s="479"/>
      <c r="KLX60" s="479"/>
      <c r="KLY60" s="479"/>
      <c r="KLZ60" s="479"/>
      <c r="KMA60" s="479"/>
      <c r="KMB60" s="479"/>
      <c r="KMC60" s="479"/>
      <c r="KMD60" s="479"/>
      <c r="KME60" s="479"/>
      <c r="KMF60" s="479"/>
      <c r="KMG60" s="479"/>
      <c r="KMH60" s="479"/>
      <c r="KMI60" s="479"/>
      <c r="KMJ60" s="479"/>
      <c r="KMK60" s="479"/>
      <c r="KML60" s="479"/>
      <c r="KMM60" s="479"/>
      <c r="KMN60" s="479"/>
      <c r="KMO60" s="479"/>
      <c r="KMP60" s="479"/>
      <c r="KMQ60" s="479"/>
      <c r="KMR60" s="479"/>
      <c r="KMS60" s="479"/>
      <c r="KMT60" s="479"/>
      <c r="KMU60" s="479"/>
      <c r="KMV60" s="479"/>
      <c r="KMW60" s="479"/>
      <c r="KMX60" s="479"/>
      <c r="KMY60" s="479"/>
      <c r="KMZ60" s="479"/>
      <c r="KNA60" s="479"/>
      <c r="KNB60" s="479"/>
      <c r="KNC60" s="479"/>
      <c r="KND60" s="479"/>
      <c r="KNE60" s="479"/>
      <c r="KNF60" s="479"/>
      <c r="KNG60" s="479"/>
      <c r="KNH60" s="479"/>
      <c r="KNI60" s="479"/>
      <c r="KNJ60" s="479"/>
      <c r="KNK60" s="479"/>
      <c r="KNL60" s="479"/>
      <c r="KNM60" s="479"/>
      <c r="KNN60" s="479"/>
      <c r="KNO60" s="479"/>
      <c r="KNP60" s="479"/>
      <c r="KNQ60" s="479"/>
      <c r="KNR60" s="479"/>
      <c r="KNS60" s="479"/>
      <c r="KNT60" s="479"/>
      <c r="KNU60" s="479"/>
      <c r="KNV60" s="479"/>
      <c r="KNW60" s="479"/>
      <c r="KNX60" s="479"/>
      <c r="KNY60" s="479"/>
      <c r="KNZ60" s="479"/>
      <c r="KOA60" s="479"/>
      <c r="KOB60" s="479"/>
      <c r="KOC60" s="479"/>
      <c r="KOD60" s="479"/>
      <c r="KOE60" s="479"/>
      <c r="KOF60" s="479"/>
      <c r="KOG60" s="479"/>
      <c r="KOH60" s="479"/>
      <c r="KOI60" s="479"/>
      <c r="KOJ60" s="479"/>
      <c r="KOK60" s="479"/>
      <c r="KOL60" s="479"/>
      <c r="KOM60" s="479"/>
      <c r="KON60" s="479"/>
      <c r="KOO60" s="479"/>
      <c r="KOP60" s="479"/>
      <c r="KOQ60" s="479"/>
      <c r="KOR60" s="479"/>
      <c r="KOS60" s="479"/>
      <c r="KOT60" s="479"/>
      <c r="KOU60" s="479"/>
      <c r="KOV60" s="479"/>
      <c r="KOW60" s="479"/>
      <c r="KOX60" s="479"/>
      <c r="KOY60" s="479"/>
      <c r="KOZ60" s="479"/>
      <c r="KPA60" s="479"/>
      <c r="KPB60" s="479"/>
      <c r="KPC60" s="479"/>
      <c r="KPD60" s="479"/>
      <c r="KPE60" s="479"/>
      <c r="KPF60" s="479"/>
      <c r="KPG60" s="479"/>
      <c r="KPH60" s="479"/>
      <c r="KPI60" s="479"/>
      <c r="KPJ60" s="479"/>
      <c r="KPK60" s="479"/>
      <c r="KPL60" s="479"/>
      <c r="KPM60" s="479"/>
      <c r="KPN60" s="479"/>
      <c r="KPO60" s="479"/>
      <c r="KPP60" s="479"/>
      <c r="KPQ60" s="479"/>
      <c r="KPR60" s="479"/>
      <c r="KPS60" s="479"/>
      <c r="KPT60" s="479"/>
      <c r="KPU60" s="479"/>
      <c r="KPV60" s="479"/>
      <c r="KPW60" s="479"/>
      <c r="KPX60" s="479"/>
      <c r="KPY60" s="479"/>
      <c r="KPZ60" s="479"/>
      <c r="KQA60" s="479"/>
      <c r="KQB60" s="479"/>
      <c r="KQC60" s="479"/>
      <c r="KQD60" s="479"/>
      <c r="KQE60" s="479"/>
      <c r="KQF60" s="479"/>
      <c r="KQG60" s="479"/>
      <c r="KQH60" s="479"/>
      <c r="KQI60" s="479"/>
      <c r="KQJ60" s="479"/>
      <c r="KQK60" s="479"/>
      <c r="KQL60" s="479"/>
      <c r="KQM60" s="479"/>
      <c r="KQN60" s="479"/>
      <c r="KQO60" s="479"/>
      <c r="KQP60" s="479"/>
      <c r="KQQ60" s="479"/>
      <c r="KQR60" s="479"/>
      <c r="KQS60" s="479"/>
      <c r="KQT60" s="479"/>
      <c r="KQU60" s="479"/>
      <c r="KQV60" s="479"/>
      <c r="KQW60" s="479"/>
      <c r="KQX60" s="479"/>
      <c r="KQY60" s="479"/>
      <c r="KQZ60" s="479"/>
      <c r="KRA60" s="479"/>
      <c r="KRB60" s="479"/>
      <c r="KRC60" s="479"/>
      <c r="KRD60" s="479"/>
      <c r="KRE60" s="479"/>
      <c r="KRF60" s="479"/>
      <c r="KRG60" s="479"/>
      <c r="KRH60" s="479"/>
      <c r="KRI60" s="479"/>
      <c r="KRJ60" s="479"/>
      <c r="KRK60" s="479"/>
      <c r="KRL60" s="479"/>
      <c r="KRM60" s="479"/>
      <c r="KRN60" s="479"/>
      <c r="KRO60" s="479"/>
      <c r="KRP60" s="479"/>
      <c r="KRQ60" s="479"/>
      <c r="KRR60" s="479"/>
      <c r="KRS60" s="479"/>
      <c r="KRT60" s="479"/>
      <c r="KRU60" s="479"/>
      <c r="KRV60" s="479"/>
      <c r="KRW60" s="479"/>
      <c r="KRX60" s="479"/>
      <c r="KRY60" s="479"/>
      <c r="KRZ60" s="479"/>
      <c r="KSA60" s="479"/>
      <c r="KSB60" s="479"/>
      <c r="KSC60" s="479"/>
      <c r="KSD60" s="479"/>
      <c r="KSE60" s="479"/>
      <c r="KSF60" s="479"/>
      <c r="KSG60" s="479"/>
      <c r="KSH60" s="479"/>
      <c r="KSI60" s="479"/>
      <c r="KSJ60" s="479"/>
      <c r="KSK60" s="479"/>
      <c r="KSL60" s="479"/>
      <c r="KSM60" s="479"/>
      <c r="KSN60" s="479"/>
      <c r="KSO60" s="479"/>
      <c r="KSP60" s="479"/>
      <c r="KSQ60" s="479"/>
      <c r="KSR60" s="479"/>
      <c r="KSS60" s="479"/>
      <c r="KST60" s="479"/>
      <c r="KSU60" s="479"/>
      <c r="KSV60" s="479"/>
      <c r="KSW60" s="479"/>
      <c r="KSX60" s="479"/>
      <c r="KSY60" s="479"/>
      <c r="KSZ60" s="479"/>
      <c r="KTA60" s="479"/>
      <c r="KTB60" s="479"/>
      <c r="KTC60" s="479"/>
      <c r="KTD60" s="479"/>
      <c r="KTE60" s="479"/>
      <c r="KTF60" s="479"/>
      <c r="KTG60" s="479"/>
      <c r="KTH60" s="479"/>
      <c r="KTI60" s="479"/>
      <c r="KTJ60" s="479"/>
      <c r="KTK60" s="479"/>
      <c r="KTL60" s="479"/>
      <c r="KTM60" s="479"/>
      <c r="KTN60" s="479"/>
      <c r="KTO60" s="479"/>
      <c r="KTP60" s="479"/>
      <c r="KTQ60" s="479"/>
      <c r="KTR60" s="479"/>
      <c r="KTS60" s="479"/>
      <c r="KTT60" s="479"/>
      <c r="KTU60" s="479"/>
      <c r="KTV60" s="479"/>
      <c r="KTW60" s="479"/>
      <c r="KTX60" s="479"/>
      <c r="KTY60" s="479"/>
      <c r="KTZ60" s="479"/>
      <c r="KUA60" s="479"/>
      <c r="KUB60" s="479"/>
      <c r="KUC60" s="479"/>
      <c r="KUD60" s="479"/>
      <c r="KUE60" s="479"/>
      <c r="KUF60" s="479"/>
      <c r="KUG60" s="479"/>
      <c r="KUH60" s="479"/>
      <c r="KUI60" s="479"/>
      <c r="KUJ60" s="479"/>
      <c r="KUK60" s="479"/>
      <c r="KUL60" s="479"/>
      <c r="KUM60" s="479"/>
      <c r="KUN60" s="479"/>
      <c r="KUO60" s="479"/>
      <c r="KUP60" s="479"/>
      <c r="KUQ60" s="479"/>
      <c r="KUR60" s="479"/>
      <c r="KUS60" s="479"/>
      <c r="KUT60" s="479"/>
      <c r="KUU60" s="479"/>
      <c r="KUV60" s="479"/>
      <c r="KUW60" s="479"/>
      <c r="KUX60" s="479"/>
      <c r="KUY60" s="479"/>
      <c r="KUZ60" s="479"/>
      <c r="KVA60" s="479"/>
      <c r="KVB60" s="479"/>
      <c r="KVC60" s="479"/>
      <c r="KVD60" s="479"/>
      <c r="KVE60" s="479"/>
      <c r="KVF60" s="479"/>
      <c r="KVG60" s="479"/>
      <c r="KVH60" s="479"/>
      <c r="KVI60" s="479"/>
      <c r="KVJ60" s="479"/>
      <c r="KVK60" s="479"/>
      <c r="KVL60" s="479"/>
      <c r="KVM60" s="479"/>
      <c r="KVN60" s="479"/>
      <c r="KVO60" s="479"/>
      <c r="KVP60" s="479"/>
      <c r="KVQ60" s="479"/>
      <c r="KVR60" s="479"/>
      <c r="KVS60" s="479"/>
      <c r="KVT60" s="479"/>
      <c r="KVU60" s="479"/>
      <c r="KVV60" s="479"/>
      <c r="KVW60" s="479"/>
      <c r="KVX60" s="479"/>
      <c r="KVY60" s="479"/>
      <c r="KVZ60" s="479"/>
      <c r="KWA60" s="479"/>
      <c r="KWB60" s="479"/>
      <c r="KWC60" s="479"/>
      <c r="KWD60" s="479"/>
      <c r="KWE60" s="479"/>
      <c r="KWF60" s="479"/>
      <c r="KWG60" s="479"/>
      <c r="KWH60" s="479"/>
      <c r="KWI60" s="479"/>
      <c r="KWJ60" s="479"/>
      <c r="KWK60" s="479"/>
      <c r="KWL60" s="479"/>
      <c r="KWM60" s="479"/>
      <c r="KWN60" s="479"/>
      <c r="KWO60" s="479"/>
      <c r="KWP60" s="479"/>
      <c r="KWQ60" s="479"/>
      <c r="KWR60" s="479"/>
      <c r="KWS60" s="479"/>
      <c r="KWT60" s="479"/>
      <c r="KWU60" s="479"/>
      <c r="KWV60" s="479"/>
      <c r="KWW60" s="479"/>
      <c r="KWX60" s="479"/>
      <c r="KWY60" s="479"/>
      <c r="KWZ60" s="479"/>
      <c r="KXA60" s="479"/>
      <c r="KXB60" s="479"/>
      <c r="KXC60" s="479"/>
      <c r="KXD60" s="479"/>
      <c r="KXE60" s="479"/>
      <c r="KXF60" s="479"/>
      <c r="KXG60" s="479"/>
      <c r="KXH60" s="479"/>
      <c r="KXI60" s="479"/>
      <c r="KXJ60" s="479"/>
      <c r="KXK60" s="479"/>
      <c r="KXL60" s="479"/>
      <c r="KXM60" s="479"/>
      <c r="KXN60" s="479"/>
      <c r="KXO60" s="479"/>
      <c r="KXP60" s="479"/>
      <c r="KXQ60" s="479"/>
      <c r="KXR60" s="479"/>
      <c r="KXS60" s="479"/>
      <c r="KXT60" s="479"/>
      <c r="KXU60" s="479"/>
      <c r="KXV60" s="479"/>
      <c r="KXW60" s="479"/>
      <c r="KXX60" s="479"/>
      <c r="KXY60" s="479"/>
      <c r="KXZ60" s="479"/>
      <c r="KYA60" s="479"/>
      <c r="KYB60" s="479"/>
      <c r="KYC60" s="479"/>
      <c r="KYD60" s="479"/>
      <c r="KYE60" s="479"/>
      <c r="KYF60" s="479"/>
      <c r="KYG60" s="479"/>
      <c r="KYH60" s="479"/>
      <c r="KYI60" s="479"/>
      <c r="KYJ60" s="479"/>
      <c r="KYK60" s="479"/>
      <c r="KYL60" s="479"/>
      <c r="KYM60" s="479"/>
      <c r="KYN60" s="479"/>
      <c r="KYO60" s="479"/>
      <c r="KYP60" s="479"/>
      <c r="KYQ60" s="479"/>
      <c r="KYR60" s="479"/>
      <c r="KYS60" s="479"/>
      <c r="KYT60" s="479"/>
      <c r="KYU60" s="479"/>
      <c r="KYV60" s="479"/>
      <c r="KYW60" s="479"/>
      <c r="KYX60" s="479"/>
      <c r="KYY60" s="479"/>
      <c r="KYZ60" s="479"/>
      <c r="KZA60" s="479"/>
      <c r="KZB60" s="479"/>
      <c r="KZC60" s="479"/>
      <c r="KZD60" s="479"/>
      <c r="KZE60" s="479"/>
      <c r="KZF60" s="479"/>
      <c r="KZG60" s="479"/>
      <c r="KZH60" s="479"/>
      <c r="KZI60" s="479"/>
      <c r="KZJ60" s="479"/>
      <c r="KZK60" s="479"/>
      <c r="KZL60" s="479"/>
      <c r="KZM60" s="479"/>
      <c r="KZN60" s="479"/>
      <c r="KZO60" s="479"/>
      <c r="KZP60" s="479"/>
      <c r="KZQ60" s="479"/>
      <c r="KZR60" s="479"/>
      <c r="KZS60" s="479"/>
      <c r="KZT60" s="479"/>
      <c r="KZU60" s="479"/>
      <c r="KZV60" s="479"/>
      <c r="KZW60" s="479"/>
      <c r="KZX60" s="479"/>
      <c r="KZY60" s="479"/>
      <c r="KZZ60" s="479"/>
      <c r="LAA60" s="479"/>
      <c r="LAB60" s="479"/>
      <c r="LAC60" s="479"/>
      <c r="LAD60" s="479"/>
      <c r="LAE60" s="479"/>
      <c r="LAF60" s="479"/>
      <c r="LAG60" s="479"/>
      <c r="LAH60" s="479"/>
      <c r="LAI60" s="479"/>
      <c r="LAJ60" s="479"/>
      <c r="LAK60" s="479"/>
      <c r="LAL60" s="479"/>
      <c r="LAM60" s="479"/>
      <c r="LAN60" s="479"/>
      <c r="LAO60" s="479"/>
      <c r="LAP60" s="479"/>
      <c r="LAQ60" s="479"/>
      <c r="LAR60" s="479"/>
      <c r="LAS60" s="479"/>
      <c r="LAT60" s="479"/>
      <c r="LAU60" s="479"/>
      <c r="LAV60" s="479"/>
      <c r="LAW60" s="479"/>
      <c r="LAX60" s="479"/>
      <c r="LAY60" s="479"/>
      <c r="LAZ60" s="479"/>
      <c r="LBA60" s="479"/>
      <c r="LBB60" s="479"/>
      <c r="LBC60" s="479"/>
      <c r="LBD60" s="479"/>
      <c r="LBE60" s="479"/>
      <c r="LBF60" s="479"/>
      <c r="LBG60" s="479"/>
      <c r="LBH60" s="479"/>
      <c r="LBI60" s="479"/>
      <c r="LBJ60" s="479"/>
      <c r="LBK60" s="479"/>
      <c r="LBL60" s="479"/>
      <c r="LBM60" s="479"/>
      <c r="LBN60" s="479"/>
      <c r="LBO60" s="479"/>
      <c r="LBP60" s="479"/>
      <c r="LBQ60" s="479"/>
      <c r="LBR60" s="479"/>
      <c r="LBS60" s="479"/>
      <c r="LBT60" s="479"/>
      <c r="LBU60" s="479"/>
      <c r="LBV60" s="479"/>
      <c r="LBW60" s="479"/>
      <c r="LBX60" s="479"/>
      <c r="LBY60" s="479"/>
      <c r="LBZ60" s="479"/>
      <c r="LCA60" s="479"/>
      <c r="LCB60" s="479"/>
      <c r="LCC60" s="479"/>
      <c r="LCD60" s="479"/>
      <c r="LCE60" s="479"/>
      <c r="LCF60" s="479"/>
      <c r="LCG60" s="479"/>
      <c r="LCH60" s="479"/>
      <c r="LCI60" s="479"/>
      <c r="LCJ60" s="479"/>
      <c r="LCK60" s="479"/>
      <c r="LCL60" s="479"/>
      <c r="LCM60" s="479"/>
      <c r="LCN60" s="479"/>
      <c r="LCO60" s="479"/>
      <c r="LCP60" s="479"/>
      <c r="LCQ60" s="479"/>
      <c r="LCR60" s="479"/>
      <c r="LCS60" s="479"/>
      <c r="LCT60" s="479"/>
      <c r="LCU60" s="479"/>
      <c r="LCV60" s="479"/>
      <c r="LCW60" s="479"/>
      <c r="LCX60" s="479"/>
      <c r="LCY60" s="479"/>
      <c r="LCZ60" s="479"/>
      <c r="LDA60" s="479"/>
      <c r="LDB60" s="479"/>
      <c r="LDC60" s="479"/>
      <c r="LDD60" s="479"/>
      <c r="LDE60" s="479"/>
      <c r="LDF60" s="479"/>
      <c r="LDG60" s="479"/>
      <c r="LDH60" s="479"/>
      <c r="LDI60" s="479"/>
      <c r="LDJ60" s="479"/>
      <c r="LDK60" s="479"/>
      <c r="LDL60" s="479"/>
      <c r="LDM60" s="479"/>
      <c r="LDN60" s="479"/>
      <c r="LDO60" s="479"/>
      <c r="LDP60" s="479"/>
      <c r="LDQ60" s="479"/>
      <c r="LDR60" s="479"/>
      <c r="LDS60" s="479"/>
      <c r="LDT60" s="479"/>
      <c r="LDU60" s="479"/>
      <c r="LDV60" s="479"/>
      <c r="LDW60" s="479"/>
      <c r="LDX60" s="479"/>
      <c r="LDY60" s="479"/>
      <c r="LDZ60" s="479"/>
      <c r="LEA60" s="479"/>
      <c r="LEB60" s="479"/>
      <c r="LEC60" s="479"/>
      <c r="LED60" s="479"/>
      <c r="LEE60" s="479"/>
      <c r="LEF60" s="479"/>
      <c r="LEG60" s="479"/>
      <c r="LEH60" s="479"/>
      <c r="LEI60" s="479"/>
      <c r="LEJ60" s="479"/>
      <c r="LEK60" s="479"/>
      <c r="LEL60" s="479"/>
      <c r="LEM60" s="479"/>
      <c r="LEN60" s="479"/>
      <c r="LEO60" s="479"/>
      <c r="LEP60" s="479"/>
      <c r="LEQ60" s="479"/>
      <c r="LER60" s="479"/>
      <c r="LES60" s="479"/>
      <c r="LET60" s="479"/>
      <c r="LEU60" s="479"/>
      <c r="LEV60" s="479"/>
      <c r="LEW60" s="479"/>
      <c r="LEX60" s="479"/>
      <c r="LEY60" s="479"/>
      <c r="LEZ60" s="479"/>
      <c r="LFA60" s="479"/>
      <c r="LFB60" s="479"/>
      <c r="LFC60" s="479"/>
      <c r="LFD60" s="479"/>
      <c r="LFE60" s="479"/>
      <c r="LFF60" s="479"/>
      <c r="LFG60" s="479"/>
      <c r="LFH60" s="479"/>
      <c r="LFI60" s="479"/>
      <c r="LFJ60" s="479"/>
      <c r="LFK60" s="479"/>
      <c r="LFL60" s="479"/>
      <c r="LFM60" s="479"/>
      <c r="LFN60" s="479"/>
      <c r="LFO60" s="479"/>
      <c r="LFP60" s="479"/>
      <c r="LFQ60" s="479"/>
      <c r="LFR60" s="479"/>
      <c r="LFS60" s="479"/>
      <c r="LFT60" s="479"/>
      <c r="LFU60" s="479"/>
      <c r="LFV60" s="479"/>
      <c r="LFW60" s="479"/>
      <c r="LFX60" s="479"/>
      <c r="LFY60" s="479"/>
      <c r="LFZ60" s="479"/>
      <c r="LGA60" s="479"/>
      <c r="LGB60" s="479"/>
      <c r="LGC60" s="479"/>
      <c r="LGD60" s="479"/>
      <c r="LGE60" s="479"/>
      <c r="LGF60" s="479"/>
      <c r="LGG60" s="479"/>
      <c r="LGH60" s="479"/>
      <c r="LGI60" s="479"/>
      <c r="LGJ60" s="479"/>
      <c r="LGK60" s="479"/>
      <c r="LGL60" s="479"/>
      <c r="LGM60" s="479"/>
      <c r="LGN60" s="479"/>
      <c r="LGO60" s="479"/>
      <c r="LGP60" s="479"/>
      <c r="LGQ60" s="479"/>
      <c r="LGR60" s="479"/>
      <c r="LGS60" s="479"/>
      <c r="LGT60" s="479"/>
      <c r="LGU60" s="479"/>
      <c r="LGV60" s="479"/>
      <c r="LGW60" s="479"/>
      <c r="LGX60" s="479"/>
      <c r="LGY60" s="479"/>
      <c r="LGZ60" s="479"/>
      <c r="LHA60" s="479"/>
      <c r="LHB60" s="479"/>
      <c r="LHC60" s="479"/>
      <c r="LHD60" s="479"/>
      <c r="LHE60" s="479"/>
      <c r="LHF60" s="479"/>
      <c r="LHG60" s="479"/>
      <c r="LHH60" s="479"/>
      <c r="LHI60" s="479"/>
      <c r="LHJ60" s="479"/>
      <c r="LHK60" s="479"/>
      <c r="LHL60" s="479"/>
      <c r="LHM60" s="479"/>
      <c r="LHN60" s="479"/>
      <c r="LHO60" s="479"/>
      <c r="LHP60" s="479"/>
      <c r="LHQ60" s="479"/>
      <c r="LHR60" s="479"/>
      <c r="LHS60" s="479"/>
      <c r="LHT60" s="479"/>
      <c r="LHU60" s="479"/>
      <c r="LHV60" s="479"/>
      <c r="LHW60" s="479"/>
      <c r="LHX60" s="479"/>
      <c r="LHY60" s="479"/>
      <c r="LHZ60" s="479"/>
      <c r="LIA60" s="479"/>
      <c r="LIB60" s="479"/>
      <c r="LIC60" s="479"/>
      <c r="LID60" s="479"/>
      <c r="LIE60" s="479"/>
      <c r="LIF60" s="479"/>
      <c r="LIG60" s="479"/>
      <c r="LIH60" s="479"/>
      <c r="LII60" s="479"/>
      <c r="LIJ60" s="479"/>
      <c r="LIK60" s="479"/>
      <c r="LIL60" s="479"/>
      <c r="LIM60" s="479"/>
      <c r="LIN60" s="479"/>
      <c r="LIO60" s="479"/>
      <c r="LIP60" s="479"/>
      <c r="LIQ60" s="479"/>
      <c r="LIR60" s="479"/>
      <c r="LIS60" s="479"/>
      <c r="LIT60" s="479"/>
      <c r="LIU60" s="479"/>
      <c r="LIV60" s="479"/>
      <c r="LIW60" s="479"/>
      <c r="LIX60" s="479"/>
      <c r="LIY60" s="479"/>
      <c r="LIZ60" s="479"/>
      <c r="LJA60" s="479"/>
      <c r="LJB60" s="479"/>
      <c r="LJC60" s="479"/>
      <c r="LJD60" s="479"/>
      <c r="LJE60" s="479"/>
      <c r="LJF60" s="479"/>
      <c r="LJG60" s="479"/>
      <c r="LJH60" s="479"/>
      <c r="LJI60" s="479"/>
      <c r="LJJ60" s="479"/>
      <c r="LJK60" s="479"/>
      <c r="LJL60" s="479"/>
      <c r="LJM60" s="479"/>
      <c r="LJN60" s="479"/>
      <c r="LJO60" s="479"/>
      <c r="LJP60" s="479"/>
      <c r="LJQ60" s="479"/>
      <c r="LJR60" s="479"/>
      <c r="LJS60" s="479"/>
      <c r="LJT60" s="479"/>
      <c r="LJU60" s="479"/>
      <c r="LJV60" s="479"/>
      <c r="LJW60" s="479"/>
      <c r="LJX60" s="479"/>
      <c r="LJY60" s="479"/>
      <c r="LJZ60" s="479"/>
      <c r="LKA60" s="479"/>
      <c r="LKB60" s="479"/>
      <c r="LKC60" s="479"/>
      <c r="LKD60" s="479"/>
      <c r="LKE60" s="479"/>
      <c r="LKF60" s="479"/>
      <c r="LKG60" s="479"/>
      <c r="LKH60" s="479"/>
      <c r="LKI60" s="479"/>
      <c r="LKJ60" s="479"/>
      <c r="LKK60" s="479"/>
      <c r="LKL60" s="479"/>
      <c r="LKM60" s="479"/>
      <c r="LKN60" s="479"/>
      <c r="LKO60" s="479"/>
      <c r="LKP60" s="479"/>
      <c r="LKQ60" s="479"/>
      <c r="LKR60" s="479"/>
      <c r="LKS60" s="479"/>
      <c r="LKT60" s="479"/>
      <c r="LKU60" s="479"/>
      <c r="LKV60" s="479"/>
      <c r="LKW60" s="479"/>
      <c r="LKX60" s="479"/>
      <c r="LKY60" s="479"/>
      <c r="LKZ60" s="479"/>
      <c r="LLA60" s="479"/>
      <c r="LLB60" s="479"/>
      <c r="LLC60" s="479"/>
      <c r="LLD60" s="479"/>
      <c r="LLE60" s="479"/>
      <c r="LLF60" s="479"/>
      <c r="LLG60" s="479"/>
      <c r="LLH60" s="479"/>
      <c r="LLI60" s="479"/>
      <c r="LLJ60" s="479"/>
      <c r="LLK60" s="479"/>
      <c r="LLL60" s="479"/>
      <c r="LLM60" s="479"/>
      <c r="LLN60" s="479"/>
      <c r="LLO60" s="479"/>
      <c r="LLP60" s="479"/>
      <c r="LLQ60" s="479"/>
      <c r="LLR60" s="479"/>
      <c r="LLS60" s="479"/>
      <c r="LLT60" s="479"/>
      <c r="LLU60" s="479"/>
      <c r="LLV60" s="479"/>
      <c r="LLW60" s="479"/>
      <c r="LLX60" s="479"/>
      <c r="LLY60" s="479"/>
      <c r="LLZ60" s="479"/>
      <c r="LMA60" s="479"/>
      <c r="LMB60" s="479"/>
      <c r="LMC60" s="479"/>
      <c r="LMD60" s="479"/>
      <c r="LME60" s="479"/>
      <c r="LMF60" s="479"/>
      <c r="LMG60" s="479"/>
      <c r="LMH60" s="479"/>
      <c r="LMI60" s="479"/>
      <c r="LMJ60" s="479"/>
      <c r="LMK60" s="479"/>
      <c r="LML60" s="479"/>
      <c r="LMM60" s="479"/>
      <c r="LMN60" s="479"/>
      <c r="LMO60" s="479"/>
      <c r="LMP60" s="479"/>
      <c r="LMQ60" s="479"/>
      <c r="LMR60" s="479"/>
      <c r="LMS60" s="479"/>
      <c r="LMT60" s="479"/>
      <c r="LMU60" s="479"/>
      <c r="LMV60" s="479"/>
      <c r="LMW60" s="479"/>
      <c r="LMX60" s="479"/>
      <c r="LMY60" s="479"/>
      <c r="LMZ60" s="479"/>
      <c r="LNA60" s="479"/>
      <c r="LNB60" s="479"/>
      <c r="LNC60" s="479"/>
      <c r="LND60" s="479"/>
      <c r="LNE60" s="479"/>
      <c r="LNF60" s="479"/>
      <c r="LNG60" s="479"/>
      <c r="LNH60" s="479"/>
      <c r="LNI60" s="479"/>
      <c r="LNJ60" s="479"/>
      <c r="LNK60" s="479"/>
      <c r="LNL60" s="479"/>
      <c r="LNM60" s="479"/>
      <c r="LNN60" s="479"/>
      <c r="LNO60" s="479"/>
      <c r="LNP60" s="479"/>
      <c r="LNQ60" s="479"/>
      <c r="LNR60" s="479"/>
      <c r="LNS60" s="479"/>
      <c r="LNT60" s="479"/>
      <c r="LNU60" s="479"/>
      <c r="LNV60" s="479"/>
      <c r="LNW60" s="479"/>
      <c r="LNX60" s="479"/>
      <c r="LNY60" s="479"/>
      <c r="LNZ60" s="479"/>
      <c r="LOA60" s="479"/>
      <c r="LOB60" s="479"/>
      <c r="LOC60" s="479"/>
      <c r="LOD60" s="479"/>
      <c r="LOE60" s="479"/>
      <c r="LOF60" s="479"/>
      <c r="LOG60" s="479"/>
      <c r="LOH60" s="479"/>
      <c r="LOI60" s="479"/>
      <c r="LOJ60" s="479"/>
      <c r="LOK60" s="479"/>
      <c r="LOL60" s="479"/>
      <c r="LOM60" s="479"/>
      <c r="LON60" s="479"/>
      <c r="LOO60" s="479"/>
      <c r="LOP60" s="479"/>
      <c r="LOQ60" s="479"/>
      <c r="LOR60" s="479"/>
      <c r="LOS60" s="479"/>
      <c r="LOT60" s="479"/>
      <c r="LOU60" s="479"/>
      <c r="LOV60" s="479"/>
      <c r="LOW60" s="479"/>
      <c r="LOX60" s="479"/>
      <c r="LOY60" s="479"/>
      <c r="LOZ60" s="479"/>
      <c r="LPA60" s="479"/>
      <c r="LPB60" s="479"/>
      <c r="LPC60" s="479"/>
      <c r="LPD60" s="479"/>
      <c r="LPE60" s="479"/>
      <c r="LPF60" s="479"/>
      <c r="LPG60" s="479"/>
      <c r="LPH60" s="479"/>
      <c r="LPI60" s="479"/>
      <c r="LPJ60" s="479"/>
      <c r="LPK60" s="479"/>
      <c r="LPL60" s="479"/>
      <c r="LPM60" s="479"/>
      <c r="LPN60" s="479"/>
      <c r="LPO60" s="479"/>
      <c r="LPP60" s="479"/>
      <c r="LPQ60" s="479"/>
      <c r="LPR60" s="479"/>
      <c r="LPS60" s="479"/>
      <c r="LPT60" s="479"/>
      <c r="LPU60" s="479"/>
      <c r="LPV60" s="479"/>
      <c r="LPW60" s="479"/>
      <c r="LPX60" s="479"/>
      <c r="LPY60" s="479"/>
      <c r="LPZ60" s="479"/>
      <c r="LQA60" s="479"/>
      <c r="LQB60" s="479"/>
      <c r="LQC60" s="479"/>
      <c r="LQD60" s="479"/>
      <c r="LQE60" s="479"/>
      <c r="LQF60" s="479"/>
      <c r="LQG60" s="479"/>
      <c r="LQH60" s="479"/>
      <c r="LQI60" s="479"/>
      <c r="LQJ60" s="479"/>
      <c r="LQK60" s="479"/>
      <c r="LQL60" s="479"/>
      <c r="LQM60" s="479"/>
      <c r="LQN60" s="479"/>
      <c r="LQO60" s="479"/>
      <c r="LQP60" s="479"/>
      <c r="LQQ60" s="479"/>
      <c r="LQR60" s="479"/>
      <c r="LQS60" s="479"/>
      <c r="LQT60" s="479"/>
      <c r="LQU60" s="479"/>
      <c r="LQV60" s="479"/>
      <c r="LQW60" s="479"/>
      <c r="LQX60" s="479"/>
      <c r="LQY60" s="479"/>
      <c r="LQZ60" s="479"/>
      <c r="LRA60" s="479"/>
      <c r="LRB60" s="479"/>
      <c r="LRC60" s="479"/>
      <c r="LRD60" s="479"/>
      <c r="LRE60" s="479"/>
      <c r="LRF60" s="479"/>
      <c r="LRG60" s="479"/>
      <c r="LRH60" s="479"/>
      <c r="LRI60" s="479"/>
      <c r="LRJ60" s="479"/>
      <c r="LRK60" s="479"/>
      <c r="LRL60" s="479"/>
      <c r="LRM60" s="479"/>
      <c r="LRN60" s="479"/>
      <c r="LRO60" s="479"/>
      <c r="LRP60" s="479"/>
      <c r="LRQ60" s="479"/>
      <c r="LRR60" s="479"/>
      <c r="LRS60" s="479"/>
      <c r="LRT60" s="479"/>
      <c r="LRU60" s="479"/>
      <c r="LRV60" s="479"/>
      <c r="LRW60" s="479"/>
      <c r="LRX60" s="479"/>
      <c r="LRY60" s="479"/>
      <c r="LRZ60" s="479"/>
      <c r="LSA60" s="479"/>
      <c r="LSB60" s="479"/>
      <c r="LSC60" s="479"/>
      <c r="LSD60" s="479"/>
      <c r="LSE60" s="479"/>
      <c r="LSF60" s="479"/>
      <c r="LSG60" s="479"/>
      <c r="LSH60" s="479"/>
      <c r="LSI60" s="479"/>
      <c r="LSJ60" s="479"/>
      <c r="LSK60" s="479"/>
      <c r="LSL60" s="479"/>
      <c r="LSM60" s="479"/>
      <c r="LSN60" s="479"/>
      <c r="LSO60" s="479"/>
      <c r="LSP60" s="479"/>
      <c r="LSQ60" s="479"/>
      <c r="LSR60" s="479"/>
      <c r="LSS60" s="479"/>
      <c r="LST60" s="479"/>
      <c r="LSU60" s="479"/>
      <c r="LSV60" s="479"/>
      <c r="LSW60" s="479"/>
      <c r="LSX60" s="479"/>
      <c r="LSY60" s="479"/>
      <c r="LSZ60" s="479"/>
      <c r="LTA60" s="479"/>
      <c r="LTB60" s="479"/>
      <c r="LTC60" s="479"/>
      <c r="LTD60" s="479"/>
      <c r="LTE60" s="479"/>
      <c r="LTF60" s="479"/>
      <c r="LTG60" s="479"/>
      <c r="LTH60" s="479"/>
      <c r="LTI60" s="479"/>
      <c r="LTJ60" s="479"/>
      <c r="LTK60" s="479"/>
      <c r="LTL60" s="479"/>
      <c r="LTM60" s="479"/>
      <c r="LTN60" s="479"/>
      <c r="LTO60" s="479"/>
      <c r="LTP60" s="479"/>
      <c r="LTQ60" s="479"/>
      <c r="LTR60" s="479"/>
      <c r="LTS60" s="479"/>
      <c r="LTT60" s="479"/>
      <c r="LTU60" s="479"/>
      <c r="LTV60" s="479"/>
      <c r="LTW60" s="479"/>
      <c r="LTX60" s="479"/>
      <c r="LTY60" s="479"/>
      <c r="LTZ60" s="479"/>
      <c r="LUA60" s="479"/>
      <c r="LUB60" s="479"/>
      <c r="LUC60" s="479"/>
      <c r="LUD60" s="479"/>
      <c r="LUE60" s="479"/>
      <c r="LUF60" s="479"/>
      <c r="LUG60" s="479"/>
      <c r="LUH60" s="479"/>
      <c r="LUI60" s="479"/>
      <c r="LUJ60" s="479"/>
      <c r="LUK60" s="479"/>
      <c r="LUL60" s="479"/>
      <c r="LUM60" s="479"/>
      <c r="LUN60" s="479"/>
      <c r="LUO60" s="479"/>
      <c r="LUP60" s="479"/>
      <c r="LUQ60" s="479"/>
      <c r="LUR60" s="479"/>
      <c r="LUS60" s="479"/>
      <c r="LUT60" s="479"/>
      <c r="LUU60" s="479"/>
      <c r="LUV60" s="479"/>
      <c r="LUW60" s="479"/>
      <c r="LUX60" s="479"/>
      <c r="LUY60" s="479"/>
      <c r="LUZ60" s="479"/>
      <c r="LVA60" s="479"/>
      <c r="LVB60" s="479"/>
      <c r="LVC60" s="479"/>
      <c r="LVD60" s="479"/>
      <c r="LVE60" s="479"/>
      <c r="LVF60" s="479"/>
      <c r="LVG60" s="479"/>
      <c r="LVH60" s="479"/>
      <c r="LVI60" s="479"/>
      <c r="LVJ60" s="479"/>
      <c r="LVK60" s="479"/>
      <c r="LVL60" s="479"/>
      <c r="LVM60" s="479"/>
      <c r="LVN60" s="479"/>
      <c r="LVO60" s="479"/>
      <c r="LVP60" s="479"/>
      <c r="LVQ60" s="479"/>
      <c r="LVR60" s="479"/>
      <c r="LVS60" s="479"/>
      <c r="LVT60" s="479"/>
      <c r="LVU60" s="479"/>
      <c r="LVV60" s="479"/>
      <c r="LVW60" s="479"/>
      <c r="LVX60" s="479"/>
      <c r="LVY60" s="479"/>
      <c r="LVZ60" s="479"/>
      <c r="LWA60" s="479"/>
      <c r="LWB60" s="479"/>
      <c r="LWC60" s="479"/>
      <c r="LWD60" s="479"/>
      <c r="LWE60" s="479"/>
      <c r="LWF60" s="479"/>
      <c r="LWG60" s="479"/>
      <c r="LWH60" s="479"/>
      <c r="LWI60" s="479"/>
      <c r="LWJ60" s="479"/>
      <c r="LWK60" s="479"/>
      <c r="LWL60" s="479"/>
      <c r="LWM60" s="479"/>
      <c r="LWN60" s="479"/>
      <c r="LWO60" s="479"/>
      <c r="LWP60" s="479"/>
      <c r="LWQ60" s="479"/>
      <c r="LWR60" s="479"/>
      <c r="LWS60" s="479"/>
      <c r="LWT60" s="479"/>
      <c r="LWU60" s="479"/>
      <c r="LWV60" s="479"/>
      <c r="LWW60" s="479"/>
      <c r="LWX60" s="479"/>
      <c r="LWY60" s="479"/>
      <c r="LWZ60" s="479"/>
      <c r="LXA60" s="479"/>
      <c r="LXB60" s="479"/>
      <c r="LXC60" s="479"/>
      <c r="LXD60" s="479"/>
      <c r="LXE60" s="479"/>
      <c r="LXF60" s="479"/>
      <c r="LXG60" s="479"/>
      <c r="LXH60" s="479"/>
      <c r="LXI60" s="479"/>
      <c r="LXJ60" s="479"/>
      <c r="LXK60" s="479"/>
      <c r="LXL60" s="479"/>
      <c r="LXM60" s="479"/>
      <c r="LXN60" s="479"/>
      <c r="LXO60" s="479"/>
      <c r="LXP60" s="479"/>
      <c r="LXQ60" s="479"/>
      <c r="LXR60" s="479"/>
      <c r="LXS60" s="479"/>
      <c r="LXT60" s="479"/>
      <c r="LXU60" s="479"/>
      <c r="LXV60" s="479"/>
      <c r="LXW60" s="479"/>
      <c r="LXX60" s="479"/>
      <c r="LXY60" s="479"/>
      <c r="LXZ60" s="479"/>
      <c r="LYA60" s="479"/>
      <c r="LYB60" s="479"/>
      <c r="LYC60" s="479"/>
      <c r="LYD60" s="479"/>
      <c r="LYE60" s="479"/>
      <c r="LYF60" s="479"/>
      <c r="LYG60" s="479"/>
      <c r="LYH60" s="479"/>
      <c r="LYI60" s="479"/>
      <c r="LYJ60" s="479"/>
      <c r="LYK60" s="479"/>
      <c r="LYL60" s="479"/>
      <c r="LYM60" s="479"/>
      <c r="LYN60" s="479"/>
      <c r="LYO60" s="479"/>
      <c r="LYP60" s="479"/>
      <c r="LYQ60" s="479"/>
      <c r="LYR60" s="479"/>
      <c r="LYS60" s="479"/>
      <c r="LYT60" s="479"/>
      <c r="LYU60" s="479"/>
      <c r="LYV60" s="479"/>
      <c r="LYW60" s="479"/>
      <c r="LYX60" s="479"/>
      <c r="LYY60" s="479"/>
      <c r="LYZ60" s="479"/>
      <c r="LZA60" s="479"/>
      <c r="LZB60" s="479"/>
      <c r="LZC60" s="479"/>
      <c r="LZD60" s="479"/>
      <c r="LZE60" s="479"/>
      <c r="LZF60" s="479"/>
      <c r="LZG60" s="479"/>
      <c r="LZH60" s="479"/>
      <c r="LZI60" s="479"/>
      <c r="LZJ60" s="479"/>
      <c r="LZK60" s="479"/>
      <c r="LZL60" s="479"/>
      <c r="LZM60" s="479"/>
      <c r="LZN60" s="479"/>
      <c r="LZO60" s="479"/>
      <c r="LZP60" s="479"/>
      <c r="LZQ60" s="479"/>
      <c r="LZR60" s="479"/>
      <c r="LZS60" s="479"/>
      <c r="LZT60" s="479"/>
      <c r="LZU60" s="479"/>
      <c r="LZV60" s="479"/>
      <c r="LZW60" s="479"/>
      <c r="LZX60" s="479"/>
      <c r="LZY60" s="479"/>
      <c r="LZZ60" s="479"/>
      <c r="MAA60" s="479"/>
      <c r="MAB60" s="479"/>
      <c r="MAC60" s="479"/>
      <c r="MAD60" s="479"/>
      <c r="MAE60" s="479"/>
      <c r="MAF60" s="479"/>
      <c r="MAG60" s="479"/>
      <c r="MAH60" s="479"/>
      <c r="MAI60" s="479"/>
      <c r="MAJ60" s="479"/>
      <c r="MAK60" s="479"/>
      <c r="MAL60" s="479"/>
      <c r="MAM60" s="479"/>
      <c r="MAN60" s="479"/>
      <c r="MAO60" s="479"/>
      <c r="MAP60" s="479"/>
      <c r="MAQ60" s="479"/>
      <c r="MAR60" s="479"/>
      <c r="MAS60" s="479"/>
      <c r="MAT60" s="479"/>
      <c r="MAU60" s="479"/>
      <c r="MAV60" s="479"/>
      <c r="MAW60" s="479"/>
      <c r="MAX60" s="479"/>
      <c r="MAY60" s="479"/>
      <c r="MAZ60" s="479"/>
      <c r="MBA60" s="479"/>
      <c r="MBB60" s="479"/>
      <c r="MBC60" s="479"/>
      <c r="MBD60" s="479"/>
      <c r="MBE60" s="479"/>
      <c r="MBF60" s="479"/>
      <c r="MBG60" s="479"/>
      <c r="MBH60" s="479"/>
      <c r="MBI60" s="479"/>
      <c r="MBJ60" s="479"/>
      <c r="MBK60" s="479"/>
      <c r="MBL60" s="479"/>
      <c r="MBM60" s="479"/>
      <c r="MBN60" s="479"/>
      <c r="MBO60" s="479"/>
      <c r="MBP60" s="479"/>
      <c r="MBQ60" s="479"/>
      <c r="MBR60" s="479"/>
      <c r="MBS60" s="479"/>
      <c r="MBT60" s="479"/>
      <c r="MBU60" s="479"/>
      <c r="MBV60" s="479"/>
      <c r="MBW60" s="479"/>
      <c r="MBX60" s="479"/>
      <c r="MBY60" s="479"/>
      <c r="MBZ60" s="479"/>
      <c r="MCA60" s="479"/>
      <c r="MCB60" s="479"/>
      <c r="MCC60" s="479"/>
      <c r="MCD60" s="479"/>
      <c r="MCE60" s="479"/>
      <c r="MCF60" s="479"/>
      <c r="MCG60" s="479"/>
      <c r="MCH60" s="479"/>
      <c r="MCI60" s="479"/>
      <c r="MCJ60" s="479"/>
      <c r="MCK60" s="479"/>
      <c r="MCL60" s="479"/>
      <c r="MCM60" s="479"/>
      <c r="MCN60" s="479"/>
      <c r="MCO60" s="479"/>
      <c r="MCP60" s="479"/>
      <c r="MCQ60" s="479"/>
      <c r="MCR60" s="479"/>
      <c r="MCS60" s="479"/>
      <c r="MCT60" s="479"/>
      <c r="MCU60" s="479"/>
      <c r="MCV60" s="479"/>
      <c r="MCW60" s="479"/>
      <c r="MCX60" s="479"/>
      <c r="MCY60" s="479"/>
      <c r="MCZ60" s="479"/>
      <c r="MDA60" s="479"/>
      <c r="MDB60" s="479"/>
      <c r="MDC60" s="479"/>
      <c r="MDD60" s="479"/>
      <c r="MDE60" s="479"/>
      <c r="MDF60" s="479"/>
      <c r="MDG60" s="479"/>
      <c r="MDH60" s="479"/>
      <c r="MDI60" s="479"/>
      <c r="MDJ60" s="479"/>
      <c r="MDK60" s="479"/>
      <c r="MDL60" s="479"/>
      <c r="MDM60" s="479"/>
      <c r="MDN60" s="479"/>
      <c r="MDO60" s="479"/>
      <c r="MDP60" s="479"/>
      <c r="MDQ60" s="479"/>
      <c r="MDR60" s="479"/>
      <c r="MDS60" s="479"/>
      <c r="MDT60" s="479"/>
      <c r="MDU60" s="479"/>
      <c r="MDV60" s="479"/>
      <c r="MDW60" s="479"/>
      <c r="MDX60" s="479"/>
      <c r="MDY60" s="479"/>
      <c r="MDZ60" s="479"/>
      <c r="MEA60" s="479"/>
      <c r="MEB60" s="479"/>
      <c r="MEC60" s="479"/>
      <c r="MED60" s="479"/>
      <c r="MEE60" s="479"/>
      <c r="MEF60" s="479"/>
      <c r="MEG60" s="479"/>
      <c r="MEH60" s="479"/>
      <c r="MEI60" s="479"/>
      <c r="MEJ60" s="479"/>
      <c r="MEK60" s="479"/>
      <c r="MEL60" s="479"/>
      <c r="MEM60" s="479"/>
      <c r="MEN60" s="479"/>
      <c r="MEO60" s="479"/>
      <c r="MEP60" s="479"/>
      <c r="MEQ60" s="479"/>
      <c r="MER60" s="479"/>
      <c r="MES60" s="479"/>
      <c r="MET60" s="479"/>
      <c r="MEU60" s="479"/>
      <c r="MEV60" s="479"/>
      <c r="MEW60" s="479"/>
      <c r="MEX60" s="479"/>
      <c r="MEY60" s="479"/>
      <c r="MEZ60" s="479"/>
      <c r="MFA60" s="479"/>
      <c r="MFB60" s="479"/>
      <c r="MFC60" s="479"/>
      <c r="MFD60" s="479"/>
      <c r="MFE60" s="479"/>
      <c r="MFF60" s="479"/>
      <c r="MFG60" s="479"/>
      <c r="MFH60" s="479"/>
      <c r="MFI60" s="479"/>
      <c r="MFJ60" s="479"/>
      <c r="MFK60" s="479"/>
      <c r="MFL60" s="479"/>
      <c r="MFM60" s="479"/>
      <c r="MFN60" s="479"/>
      <c r="MFO60" s="479"/>
      <c r="MFP60" s="479"/>
      <c r="MFQ60" s="479"/>
      <c r="MFR60" s="479"/>
      <c r="MFS60" s="479"/>
      <c r="MFT60" s="479"/>
      <c r="MFU60" s="479"/>
      <c r="MFV60" s="479"/>
      <c r="MFW60" s="479"/>
      <c r="MFX60" s="479"/>
      <c r="MFY60" s="479"/>
      <c r="MFZ60" s="479"/>
      <c r="MGA60" s="479"/>
      <c r="MGB60" s="479"/>
      <c r="MGC60" s="479"/>
      <c r="MGD60" s="479"/>
      <c r="MGE60" s="479"/>
      <c r="MGF60" s="479"/>
      <c r="MGG60" s="479"/>
      <c r="MGH60" s="479"/>
      <c r="MGI60" s="479"/>
      <c r="MGJ60" s="479"/>
      <c r="MGK60" s="479"/>
      <c r="MGL60" s="479"/>
      <c r="MGM60" s="479"/>
      <c r="MGN60" s="479"/>
      <c r="MGO60" s="479"/>
      <c r="MGP60" s="479"/>
      <c r="MGQ60" s="479"/>
      <c r="MGR60" s="479"/>
      <c r="MGS60" s="479"/>
      <c r="MGT60" s="479"/>
      <c r="MGU60" s="479"/>
      <c r="MGV60" s="479"/>
      <c r="MGW60" s="479"/>
      <c r="MGX60" s="479"/>
      <c r="MGY60" s="479"/>
      <c r="MGZ60" s="479"/>
      <c r="MHA60" s="479"/>
      <c r="MHB60" s="479"/>
      <c r="MHC60" s="479"/>
      <c r="MHD60" s="479"/>
      <c r="MHE60" s="479"/>
      <c r="MHF60" s="479"/>
      <c r="MHG60" s="479"/>
      <c r="MHH60" s="479"/>
      <c r="MHI60" s="479"/>
      <c r="MHJ60" s="479"/>
      <c r="MHK60" s="479"/>
      <c r="MHL60" s="479"/>
      <c r="MHM60" s="479"/>
      <c r="MHN60" s="479"/>
      <c r="MHO60" s="479"/>
      <c r="MHP60" s="479"/>
      <c r="MHQ60" s="479"/>
      <c r="MHR60" s="479"/>
      <c r="MHS60" s="479"/>
      <c r="MHT60" s="479"/>
      <c r="MHU60" s="479"/>
      <c r="MHV60" s="479"/>
      <c r="MHW60" s="479"/>
      <c r="MHX60" s="479"/>
      <c r="MHY60" s="479"/>
      <c r="MHZ60" s="479"/>
      <c r="MIA60" s="479"/>
      <c r="MIB60" s="479"/>
      <c r="MIC60" s="479"/>
      <c r="MID60" s="479"/>
      <c r="MIE60" s="479"/>
      <c r="MIF60" s="479"/>
      <c r="MIG60" s="479"/>
      <c r="MIH60" s="479"/>
      <c r="MII60" s="479"/>
      <c r="MIJ60" s="479"/>
      <c r="MIK60" s="479"/>
      <c r="MIL60" s="479"/>
      <c r="MIM60" s="479"/>
      <c r="MIN60" s="479"/>
      <c r="MIO60" s="479"/>
      <c r="MIP60" s="479"/>
      <c r="MIQ60" s="479"/>
      <c r="MIR60" s="479"/>
      <c r="MIS60" s="479"/>
      <c r="MIT60" s="479"/>
      <c r="MIU60" s="479"/>
      <c r="MIV60" s="479"/>
      <c r="MIW60" s="479"/>
      <c r="MIX60" s="479"/>
      <c r="MIY60" s="479"/>
      <c r="MIZ60" s="479"/>
      <c r="MJA60" s="479"/>
      <c r="MJB60" s="479"/>
      <c r="MJC60" s="479"/>
      <c r="MJD60" s="479"/>
      <c r="MJE60" s="479"/>
      <c r="MJF60" s="479"/>
      <c r="MJG60" s="479"/>
      <c r="MJH60" s="479"/>
      <c r="MJI60" s="479"/>
      <c r="MJJ60" s="479"/>
      <c r="MJK60" s="479"/>
      <c r="MJL60" s="479"/>
      <c r="MJM60" s="479"/>
      <c r="MJN60" s="479"/>
      <c r="MJO60" s="479"/>
      <c r="MJP60" s="479"/>
      <c r="MJQ60" s="479"/>
      <c r="MJR60" s="479"/>
      <c r="MJS60" s="479"/>
      <c r="MJT60" s="479"/>
      <c r="MJU60" s="479"/>
      <c r="MJV60" s="479"/>
      <c r="MJW60" s="479"/>
      <c r="MJX60" s="479"/>
      <c r="MJY60" s="479"/>
      <c r="MJZ60" s="479"/>
      <c r="MKA60" s="479"/>
      <c r="MKB60" s="479"/>
      <c r="MKC60" s="479"/>
      <c r="MKD60" s="479"/>
      <c r="MKE60" s="479"/>
      <c r="MKF60" s="479"/>
      <c r="MKG60" s="479"/>
      <c r="MKH60" s="479"/>
      <c r="MKI60" s="479"/>
      <c r="MKJ60" s="479"/>
      <c r="MKK60" s="479"/>
      <c r="MKL60" s="479"/>
      <c r="MKM60" s="479"/>
      <c r="MKN60" s="479"/>
      <c r="MKO60" s="479"/>
      <c r="MKP60" s="479"/>
      <c r="MKQ60" s="479"/>
      <c r="MKR60" s="479"/>
      <c r="MKS60" s="479"/>
      <c r="MKT60" s="479"/>
      <c r="MKU60" s="479"/>
      <c r="MKV60" s="479"/>
      <c r="MKW60" s="479"/>
      <c r="MKX60" s="479"/>
      <c r="MKY60" s="479"/>
      <c r="MKZ60" s="479"/>
      <c r="MLA60" s="479"/>
      <c r="MLB60" s="479"/>
      <c r="MLC60" s="479"/>
      <c r="MLD60" s="479"/>
      <c r="MLE60" s="479"/>
      <c r="MLF60" s="479"/>
      <c r="MLG60" s="479"/>
      <c r="MLH60" s="479"/>
      <c r="MLI60" s="479"/>
      <c r="MLJ60" s="479"/>
      <c r="MLK60" s="479"/>
      <c r="MLL60" s="479"/>
      <c r="MLM60" s="479"/>
      <c r="MLN60" s="479"/>
      <c r="MLO60" s="479"/>
      <c r="MLP60" s="479"/>
      <c r="MLQ60" s="479"/>
      <c r="MLR60" s="479"/>
      <c r="MLS60" s="479"/>
      <c r="MLT60" s="479"/>
      <c r="MLU60" s="479"/>
      <c r="MLV60" s="479"/>
      <c r="MLW60" s="479"/>
      <c r="MLX60" s="479"/>
      <c r="MLY60" s="479"/>
      <c r="MLZ60" s="479"/>
      <c r="MMA60" s="479"/>
      <c r="MMB60" s="479"/>
      <c r="MMC60" s="479"/>
      <c r="MMD60" s="479"/>
      <c r="MME60" s="479"/>
      <c r="MMF60" s="479"/>
      <c r="MMG60" s="479"/>
      <c r="MMH60" s="479"/>
      <c r="MMI60" s="479"/>
      <c r="MMJ60" s="479"/>
      <c r="MMK60" s="479"/>
      <c r="MML60" s="479"/>
      <c r="MMM60" s="479"/>
      <c r="MMN60" s="479"/>
      <c r="MMO60" s="479"/>
      <c r="MMP60" s="479"/>
      <c r="MMQ60" s="479"/>
      <c r="MMR60" s="479"/>
      <c r="MMS60" s="479"/>
      <c r="MMT60" s="479"/>
      <c r="MMU60" s="479"/>
      <c r="MMV60" s="479"/>
      <c r="MMW60" s="479"/>
      <c r="MMX60" s="479"/>
      <c r="MMY60" s="479"/>
      <c r="MMZ60" s="479"/>
      <c r="MNA60" s="479"/>
      <c r="MNB60" s="479"/>
      <c r="MNC60" s="479"/>
      <c r="MND60" s="479"/>
      <c r="MNE60" s="479"/>
      <c r="MNF60" s="479"/>
      <c r="MNG60" s="479"/>
      <c r="MNH60" s="479"/>
      <c r="MNI60" s="479"/>
      <c r="MNJ60" s="479"/>
      <c r="MNK60" s="479"/>
      <c r="MNL60" s="479"/>
      <c r="MNM60" s="479"/>
      <c r="MNN60" s="479"/>
      <c r="MNO60" s="479"/>
      <c r="MNP60" s="479"/>
      <c r="MNQ60" s="479"/>
      <c r="MNR60" s="479"/>
      <c r="MNS60" s="479"/>
      <c r="MNT60" s="479"/>
      <c r="MNU60" s="479"/>
      <c r="MNV60" s="479"/>
      <c r="MNW60" s="479"/>
      <c r="MNX60" s="479"/>
      <c r="MNY60" s="479"/>
      <c r="MNZ60" s="479"/>
      <c r="MOA60" s="479"/>
      <c r="MOB60" s="479"/>
      <c r="MOC60" s="479"/>
      <c r="MOD60" s="479"/>
      <c r="MOE60" s="479"/>
      <c r="MOF60" s="479"/>
      <c r="MOG60" s="479"/>
      <c r="MOH60" s="479"/>
      <c r="MOI60" s="479"/>
      <c r="MOJ60" s="479"/>
      <c r="MOK60" s="479"/>
      <c r="MOL60" s="479"/>
      <c r="MOM60" s="479"/>
      <c r="MON60" s="479"/>
      <c r="MOO60" s="479"/>
      <c r="MOP60" s="479"/>
      <c r="MOQ60" s="479"/>
      <c r="MOR60" s="479"/>
      <c r="MOS60" s="479"/>
      <c r="MOT60" s="479"/>
      <c r="MOU60" s="479"/>
      <c r="MOV60" s="479"/>
      <c r="MOW60" s="479"/>
      <c r="MOX60" s="479"/>
      <c r="MOY60" s="479"/>
      <c r="MOZ60" s="479"/>
      <c r="MPA60" s="479"/>
      <c r="MPB60" s="479"/>
      <c r="MPC60" s="479"/>
      <c r="MPD60" s="479"/>
      <c r="MPE60" s="479"/>
      <c r="MPF60" s="479"/>
      <c r="MPG60" s="479"/>
      <c r="MPH60" s="479"/>
      <c r="MPI60" s="479"/>
      <c r="MPJ60" s="479"/>
      <c r="MPK60" s="479"/>
      <c r="MPL60" s="479"/>
      <c r="MPM60" s="479"/>
      <c r="MPN60" s="479"/>
      <c r="MPO60" s="479"/>
      <c r="MPP60" s="479"/>
      <c r="MPQ60" s="479"/>
      <c r="MPR60" s="479"/>
      <c r="MPS60" s="479"/>
      <c r="MPT60" s="479"/>
      <c r="MPU60" s="479"/>
      <c r="MPV60" s="479"/>
      <c r="MPW60" s="479"/>
      <c r="MPX60" s="479"/>
      <c r="MPY60" s="479"/>
      <c r="MPZ60" s="479"/>
      <c r="MQA60" s="479"/>
      <c r="MQB60" s="479"/>
      <c r="MQC60" s="479"/>
      <c r="MQD60" s="479"/>
      <c r="MQE60" s="479"/>
      <c r="MQF60" s="479"/>
      <c r="MQG60" s="479"/>
      <c r="MQH60" s="479"/>
      <c r="MQI60" s="479"/>
      <c r="MQJ60" s="479"/>
      <c r="MQK60" s="479"/>
      <c r="MQL60" s="479"/>
      <c r="MQM60" s="479"/>
      <c r="MQN60" s="479"/>
      <c r="MQO60" s="479"/>
      <c r="MQP60" s="479"/>
      <c r="MQQ60" s="479"/>
      <c r="MQR60" s="479"/>
      <c r="MQS60" s="479"/>
      <c r="MQT60" s="479"/>
      <c r="MQU60" s="479"/>
      <c r="MQV60" s="479"/>
      <c r="MQW60" s="479"/>
      <c r="MQX60" s="479"/>
      <c r="MQY60" s="479"/>
      <c r="MQZ60" s="479"/>
      <c r="MRA60" s="479"/>
      <c r="MRB60" s="479"/>
      <c r="MRC60" s="479"/>
      <c r="MRD60" s="479"/>
      <c r="MRE60" s="479"/>
      <c r="MRF60" s="479"/>
      <c r="MRG60" s="479"/>
      <c r="MRH60" s="479"/>
      <c r="MRI60" s="479"/>
      <c r="MRJ60" s="479"/>
      <c r="MRK60" s="479"/>
      <c r="MRL60" s="479"/>
      <c r="MRM60" s="479"/>
      <c r="MRN60" s="479"/>
      <c r="MRO60" s="479"/>
      <c r="MRP60" s="479"/>
      <c r="MRQ60" s="479"/>
      <c r="MRR60" s="479"/>
      <c r="MRS60" s="479"/>
      <c r="MRT60" s="479"/>
      <c r="MRU60" s="479"/>
      <c r="MRV60" s="479"/>
      <c r="MRW60" s="479"/>
      <c r="MRX60" s="479"/>
      <c r="MRY60" s="479"/>
      <c r="MRZ60" s="479"/>
      <c r="MSA60" s="479"/>
      <c r="MSB60" s="479"/>
      <c r="MSC60" s="479"/>
      <c r="MSD60" s="479"/>
      <c r="MSE60" s="479"/>
      <c r="MSF60" s="479"/>
      <c r="MSG60" s="479"/>
      <c r="MSH60" s="479"/>
      <c r="MSI60" s="479"/>
      <c r="MSJ60" s="479"/>
      <c r="MSK60" s="479"/>
      <c r="MSL60" s="479"/>
      <c r="MSM60" s="479"/>
      <c r="MSN60" s="479"/>
      <c r="MSO60" s="479"/>
      <c r="MSP60" s="479"/>
      <c r="MSQ60" s="479"/>
      <c r="MSR60" s="479"/>
      <c r="MSS60" s="479"/>
      <c r="MST60" s="479"/>
      <c r="MSU60" s="479"/>
      <c r="MSV60" s="479"/>
      <c r="MSW60" s="479"/>
      <c r="MSX60" s="479"/>
      <c r="MSY60" s="479"/>
      <c r="MSZ60" s="479"/>
      <c r="MTA60" s="479"/>
      <c r="MTB60" s="479"/>
      <c r="MTC60" s="479"/>
      <c r="MTD60" s="479"/>
      <c r="MTE60" s="479"/>
      <c r="MTF60" s="479"/>
      <c r="MTG60" s="479"/>
      <c r="MTH60" s="479"/>
      <c r="MTI60" s="479"/>
      <c r="MTJ60" s="479"/>
      <c r="MTK60" s="479"/>
      <c r="MTL60" s="479"/>
      <c r="MTM60" s="479"/>
      <c r="MTN60" s="479"/>
      <c r="MTO60" s="479"/>
      <c r="MTP60" s="479"/>
      <c r="MTQ60" s="479"/>
      <c r="MTR60" s="479"/>
      <c r="MTS60" s="479"/>
      <c r="MTT60" s="479"/>
      <c r="MTU60" s="479"/>
      <c r="MTV60" s="479"/>
      <c r="MTW60" s="479"/>
      <c r="MTX60" s="479"/>
      <c r="MTY60" s="479"/>
      <c r="MTZ60" s="479"/>
      <c r="MUA60" s="479"/>
      <c r="MUB60" s="479"/>
      <c r="MUC60" s="479"/>
      <c r="MUD60" s="479"/>
      <c r="MUE60" s="479"/>
      <c r="MUF60" s="479"/>
      <c r="MUG60" s="479"/>
      <c r="MUH60" s="479"/>
      <c r="MUI60" s="479"/>
      <c r="MUJ60" s="479"/>
      <c r="MUK60" s="479"/>
      <c r="MUL60" s="479"/>
      <c r="MUM60" s="479"/>
      <c r="MUN60" s="479"/>
      <c r="MUO60" s="479"/>
      <c r="MUP60" s="479"/>
      <c r="MUQ60" s="479"/>
      <c r="MUR60" s="479"/>
      <c r="MUS60" s="479"/>
      <c r="MUT60" s="479"/>
      <c r="MUU60" s="479"/>
      <c r="MUV60" s="479"/>
      <c r="MUW60" s="479"/>
      <c r="MUX60" s="479"/>
      <c r="MUY60" s="479"/>
      <c r="MUZ60" s="479"/>
      <c r="MVA60" s="479"/>
      <c r="MVB60" s="479"/>
      <c r="MVC60" s="479"/>
      <c r="MVD60" s="479"/>
      <c r="MVE60" s="479"/>
      <c r="MVF60" s="479"/>
      <c r="MVG60" s="479"/>
      <c r="MVH60" s="479"/>
      <c r="MVI60" s="479"/>
      <c r="MVJ60" s="479"/>
      <c r="MVK60" s="479"/>
      <c r="MVL60" s="479"/>
      <c r="MVM60" s="479"/>
      <c r="MVN60" s="479"/>
      <c r="MVO60" s="479"/>
      <c r="MVP60" s="479"/>
      <c r="MVQ60" s="479"/>
      <c r="MVR60" s="479"/>
      <c r="MVS60" s="479"/>
      <c r="MVT60" s="479"/>
      <c r="MVU60" s="479"/>
      <c r="MVV60" s="479"/>
      <c r="MVW60" s="479"/>
      <c r="MVX60" s="479"/>
      <c r="MVY60" s="479"/>
      <c r="MVZ60" s="479"/>
      <c r="MWA60" s="479"/>
      <c r="MWB60" s="479"/>
      <c r="MWC60" s="479"/>
      <c r="MWD60" s="479"/>
      <c r="MWE60" s="479"/>
      <c r="MWF60" s="479"/>
      <c r="MWG60" s="479"/>
      <c r="MWH60" s="479"/>
      <c r="MWI60" s="479"/>
      <c r="MWJ60" s="479"/>
      <c r="MWK60" s="479"/>
      <c r="MWL60" s="479"/>
      <c r="MWM60" s="479"/>
      <c r="MWN60" s="479"/>
      <c r="MWO60" s="479"/>
      <c r="MWP60" s="479"/>
      <c r="MWQ60" s="479"/>
      <c r="MWR60" s="479"/>
      <c r="MWS60" s="479"/>
      <c r="MWT60" s="479"/>
      <c r="MWU60" s="479"/>
      <c r="MWV60" s="479"/>
      <c r="MWW60" s="479"/>
      <c r="MWX60" s="479"/>
      <c r="MWY60" s="479"/>
      <c r="MWZ60" s="479"/>
      <c r="MXA60" s="479"/>
      <c r="MXB60" s="479"/>
      <c r="MXC60" s="479"/>
      <c r="MXD60" s="479"/>
      <c r="MXE60" s="479"/>
      <c r="MXF60" s="479"/>
      <c r="MXG60" s="479"/>
      <c r="MXH60" s="479"/>
      <c r="MXI60" s="479"/>
      <c r="MXJ60" s="479"/>
      <c r="MXK60" s="479"/>
      <c r="MXL60" s="479"/>
      <c r="MXM60" s="479"/>
      <c r="MXN60" s="479"/>
      <c r="MXO60" s="479"/>
      <c r="MXP60" s="479"/>
      <c r="MXQ60" s="479"/>
      <c r="MXR60" s="479"/>
      <c r="MXS60" s="479"/>
      <c r="MXT60" s="479"/>
      <c r="MXU60" s="479"/>
      <c r="MXV60" s="479"/>
      <c r="MXW60" s="479"/>
      <c r="MXX60" s="479"/>
      <c r="MXY60" s="479"/>
      <c r="MXZ60" s="479"/>
      <c r="MYA60" s="479"/>
      <c r="MYB60" s="479"/>
      <c r="MYC60" s="479"/>
      <c r="MYD60" s="479"/>
      <c r="MYE60" s="479"/>
      <c r="MYF60" s="479"/>
      <c r="MYG60" s="479"/>
      <c r="MYH60" s="479"/>
      <c r="MYI60" s="479"/>
      <c r="MYJ60" s="479"/>
      <c r="MYK60" s="479"/>
      <c r="MYL60" s="479"/>
      <c r="MYM60" s="479"/>
      <c r="MYN60" s="479"/>
      <c r="MYO60" s="479"/>
      <c r="MYP60" s="479"/>
      <c r="MYQ60" s="479"/>
      <c r="MYR60" s="479"/>
      <c r="MYS60" s="479"/>
      <c r="MYT60" s="479"/>
      <c r="MYU60" s="479"/>
      <c r="MYV60" s="479"/>
      <c r="MYW60" s="479"/>
      <c r="MYX60" s="479"/>
      <c r="MYY60" s="479"/>
      <c r="MYZ60" s="479"/>
      <c r="MZA60" s="479"/>
      <c r="MZB60" s="479"/>
      <c r="MZC60" s="479"/>
      <c r="MZD60" s="479"/>
      <c r="MZE60" s="479"/>
      <c r="MZF60" s="479"/>
      <c r="MZG60" s="479"/>
      <c r="MZH60" s="479"/>
      <c r="MZI60" s="479"/>
      <c r="MZJ60" s="479"/>
      <c r="MZK60" s="479"/>
      <c r="MZL60" s="479"/>
      <c r="MZM60" s="479"/>
      <c r="MZN60" s="479"/>
      <c r="MZO60" s="479"/>
      <c r="MZP60" s="479"/>
      <c r="MZQ60" s="479"/>
      <c r="MZR60" s="479"/>
      <c r="MZS60" s="479"/>
      <c r="MZT60" s="479"/>
      <c r="MZU60" s="479"/>
      <c r="MZV60" s="479"/>
      <c r="MZW60" s="479"/>
      <c r="MZX60" s="479"/>
      <c r="MZY60" s="479"/>
      <c r="MZZ60" s="479"/>
      <c r="NAA60" s="479"/>
      <c r="NAB60" s="479"/>
      <c r="NAC60" s="479"/>
      <c r="NAD60" s="479"/>
      <c r="NAE60" s="479"/>
      <c r="NAF60" s="479"/>
      <c r="NAG60" s="479"/>
      <c r="NAH60" s="479"/>
      <c r="NAI60" s="479"/>
      <c r="NAJ60" s="479"/>
      <c r="NAK60" s="479"/>
      <c r="NAL60" s="479"/>
      <c r="NAM60" s="479"/>
      <c r="NAN60" s="479"/>
      <c r="NAO60" s="479"/>
      <c r="NAP60" s="479"/>
      <c r="NAQ60" s="479"/>
      <c r="NAR60" s="479"/>
      <c r="NAS60" s="479"/>
      <c r="NAT60" s="479"/>
      <c r="NAU60" s="479"/>
      <c r="NAV60" s="479"/>
      <c r="NAW60" s="479"/>
      <c r="NAX60" s="479"/>
      <c r="NAY60" s="479"/>
      <c r="NAZ60" s="479"/>
      <c r="NBA60" s="479"/>
      <c r="NBB60" s="479"/>
      <c r="NBC60" s="479"/>
      <c r="NBD60" s="479"/>
      <c r="NBE60" s="479"/>
      <c r="NBF60" s="479"/>
      <c r="NBG60" s="479"/>
      <c r="NBH60" s="479"/>
      <c r="NBI60" s="479"/>
      <c r="NBJ60" s="479"/>
      <c r="NBK60" s="479"/>
      <c r="NBL60" s="479"/>
      <c r="NBM60" s="479"/>
      <c r="NBN60" s="479"/>
      <c r="NBO60" s="479"/>
      <c r="NBP60" s="479"/>
      <c r="NBQ60" s="479"/>
      <c r="NBR60" s="479"/>
      <c r="NBS60" s="479"/>
      <c r="NBT60" s="479"/>
      <c r="NBU60" s="479"/>
      <c r="NBV60" s="479"/>
      <c r="NBW60" s="479"/>
      <c r="NBX60" s="479"/>
      <c r="NBY60" s="479"/>
      <c r="NBZ60" s="479"/>
      <c r="NCA60" s="479"/>
      <c r="NCB60" s="479"/>
      <c r="NCC60" s="479"/>
      <c r="NCD60" s="479"/>
      <c r="NCE60" s="479"/>
      <c r="NCF60" s="479"/>
      <c r="NCG60" s="479"/>
      <c r="NCH60" s="479"/>
      <c r="NCI60" s="479"/>
      <c r="NCJ60" s="479"/>
      <c r="NCK60" s="479"/>
      <c r="NCL60" s="479"/>
      <c r="NCM60" s="479"/>
      <c r="NCN60" s="479"/>
      <c r="NCO60" s="479"/>
      <c r="NCP60" s="479"/>
      <c r="NCQ60" s="479"/>
      <c r="NCR60" s="479"/>
      <c r="NCS60" s="479"/>
      <c r="NCT60" s="479"/>
      <c r="NCU60" s="479"/>
      <c r="NCV60" s="479"/>
      <c r="NCW60" s="479"/>
      <c r="NCX60" s="479"/>
      <c r="NCY60" s="479"/>
      <c r="NCZ60" s="479"/>
      <c r="NDA60" s="479"/>
      <c r="NDB60" s="479"/>
      <c r="NDC60" s="479"/>
      <c r="NDD60" s="479"/>
      <c r="NDE60" s="479"/>
      <c r="NDF60" s="479"/>
      <c r="NDG60" s="479"/>
      <c r="NDH60" s="479"/>
      <c r="NDI60" s="479"/>
      <c r="NDJ60" s="479"/>
      <c r="NDK60" s="479"/>
      <c r="NDL60" s="479"/>
      <c r="NDM60" s="479"/>
      <c r="NDN60" s="479"/>
      <c r="NDO60" s="479"/>
      <c r="NDP60" s="479"/>
      <c r="NDQ60" s="479"/>
      <c r="NDR60" s="479"/>
      <c r="NDS60" s="479"/>
      <c r="NDT60" s="479"/>
      <c r="NDU60" s="479"/>
      <c r="NDV60" s="479"/>
      <c r="NDW60" s="479"/>
      <c r="NDX60" s="479"/>
      <c r="NDY60" s="479"/>
      <c r="NDZ60" s="479"/>
      <c r="NEA60" s="479"/>
      <c r="NEB60" s="479"/>
      <c r="NEC60" s="479"/>
      <c r="NED60" s="479"/>
      <c r="NEE60" s="479"/>
      <c r="NEF60" s="479"/>
      <c r="NEG60" s="479"/>
      <c r="NEH60" s="479"/>
      <c r="NEI60" s="479"/>
      <c r="NEJ60" s="479"/>
      <c r="NEK60" s="479"/>
      <c r="NEL60" s="479"/>
      <c r="NEM60" s="479"/>
      <c r="NEN60" s="479"/>
      <c r="NEO60" s="479"/>
      <c r="NEP60" s="479"/>
      <c r="NEQ60" s="479"/>
      <c r="NER60" s="479"/>
      <c r="NES60" s="479"/>
      <c r="NET60" s="479"/>
      <c r="NEU60" s="479"/>
      <c r="NEV60" s="479"/>
      <c r="NEW60" s="479"/>
      <c r="NEX60" s="479"/>
      <c r="NEY60" s="479"/>
      <c r="NEZ60" s="479"/>
      <c r="NFA60" s="479"/>
      <c r="NFB60" s="479"/>
      <c r="NFC60" s="479"/>
      <c r="NFD60" s="479"/>
      <c r="NFE60" s="479"/>
      <c r="NFF60" s="479"/>
      <c r="NFG60" s="479"/>
      <c r="NFH60" s="479"/>
      <c r="NFI60" s="479"/>
      <c r="NFJ60" s="479"/>
      <c r="NFK60" s="479"/>
      <c r="NFL60" s="479"/>
      <c r="NFM60" s="479"/>
      <c r="NFN60" s="479"/>
      <c r="NFO60" s="479"/>
      <c r="NFP60" s="479"/>
      <c r="NFQ60" s="479"/>
      <c r="NFR60" s="479"/>
      <c r="NFS60" s="479"/>
      <c r="NFT60" s="479"/>
      <c r="NFU60" s="479"/>
      <c r="NFV60" s="479"/>
      <c r="NFW60" s="479"/>
      <c r="NFX60" s="479"/>
      <c r="NFY60" s="479"/>
      <c r="NFZ60" s="479"/>
      <c r="NGA60" s="479"/>
      <c r="NGB60" s="479"/>
      <c r="NGC60" s="479"/>
      <c r="NGD60" s="479"/>
      <c r="NGE60" s="479"/>
      <c r="NGF60" s="479"/>
      <c r="NGG60" s="479"/>
      <c r="NGH60" s="479"/>
      <c r="NGI60" s="479"/>
      <c r="NGJ60" s="479"/>
      <c r="NGK60" s="479"/>
      <c r="NGL60" s="479"/>
      <c r="NGM60" s="479"/>
      <c r="NGN60" s="479"/>
      <c r="NGO60" s="479"/>
      <c r="NGP60" s="479"/>
      <c r="NGQ60" s="479"/>
      <c r="NGR60" s="479"/>
      <c r="NGS60" s="479"/>
      <c r="NGT60" s="479"/>
      <c r="NGU60" s="479"/>
      <c r="NGV60" s="479"/>
      <c r="NGW60" s="479"/>
      <c r="NGX60" s="479"/>
      <c r="NGY60" s="479"/>
      <c r="NGZ60" s="479"/>
      <c r="NHA60" s="479"/>
      <c r="NHB60" s="479"/>
      <c r="NHC60" s="479"/>
      <c r="NHD60" s="479"/>
      <c r="NHE60" s="479"/>
      <c r="NHF60" s="479"/>
      <c r="NHG60" s="479"/>
      <c r="NHH60" s="479"/>
      <c r="NHI60" s="479"/>
      <c r="NHJ60" s="479"/>
      <c r="NHK60" s="479"/>
      <c r="NHL60" s="479"/>
      <c r="NHM60" s="479"/>
      <c r="NHN60" s="479"/>
      <c r="NHO60" s="479"/>
      <c r="NHP60" s="479"/>
      <c r="NHQ60" s="479"/>
      <c r="NHR60" s="479"/>
      <c r="NHS60" s="479"/>
      <c r="NHT60" s="479"/>
      <c r="NHU60" s="479"/>
      <c r="NHV60" s="479"/>
      <c r="NHW60" s="479"/>
      <c r="NHX60" s="479"/>
      <c r="NHY60" s="479"/>
      <c r="NHZ60" s="479"/>
      <c r="NIA60" s="479"/>
      <c r="NIB60" s="479"/>
      <c r="NIC60" s="479"/>
      <c r="NID60" s="479"/>
      <c r="NIE60" s="479"/>
      <c r="NIF60" s="479"/>
      <c r="NIG60" s="479"/>
      <c r="NIH60" s="479"/>
      <c r="NII60" s="479"/>
      <c r="NIJ60" s="479"/>
      <c r="NIK60" s="479"/>
      <c r="NIL60" s="479"/>
      <c r="NIM60" s="479"/>
      <c r="NIN60" s="479"/>
      <c r="NIO60" s="479"/>
      <c r="NIP60" s="479"/>
      <c r="NIQ60" s="479"/>
      <c r="NIR60" s="479"/>
      <c r="NIS60" s="479"/>
      <c r="NIT60" s="479"/>
      <c r="NIU60" s="479"/>
      <c r="NIV60" s="479"/>
      <c r="NIW60" s="479"/>
      <c r="NIX60" s="479"/>
      <c r="NIY60" s="479"/>
      <c r="NIZ60" s="479"/>
      <c r="NJA60" s="479"/>
      <c r="NJB60" s="479"/>
      <c r="NJC60" s="479"/>
      <c r="NJD60" s="479"/>
      <c r="NJE60" s="479"/>
      <c r="NJF60" s="479"/>
      <c r="NJG60" s="479"/>
      <c r="NJH60" s="479"/>
      <c r="NJI60" s="479"/>
      <c r="NJJ60" s="479"/>
      <c r="NJK60" s="479"/>
      <c r="NJL60" s="479"/>
      <c r="NJM60" s="479"/>
      <c r="NJN60" s="479"/>
      <c r="NJO60" s="479"/>
      <c r="NJP60" s="479"/>
      <c r="NJQ60" s="479"/>
      <c r="NJR60" s="479"/>
      <c r="NJS60" s="479"/>
      <c r="NJT60" s="479"/>
      <c r="NJU60" s="479"/>
      <c r="NJV60" s="479"/>
      <c r="NJW60" s="479"/>
      <c r="NJX60" s="479"/>
      <c r="NJY60" s="479"/>
      <c r="NJZ60" s="479"/>
      <c r="NKA60" s="479"/>
      <c r="NKB60" s="479"/>
      <c r="NKC60" s="479"/>
      <c r="NKD60" s="479"/>
      <c r="NKE60" s="479"/>
      <c r="NKF60" s="479"/>
      <c r="NKG60" s="479"/>
      <c r="NKH60" s="479"/>
      <c r="NKI60" s="479"/>
      <c r="NKJ60" s="479"/>
      <c r="NKK60" s="479"/>
      <c r="NKL60" s="479"/>
      <c r="NKM60" s="479"/>
      <c r="NKN60" s="479"/>
      <c r="NKO60" s="479"/>
      <c r="NKP60" s="479"/>
      <c r="NKQ60" s="479"/>
      <c r="NKR60" s="479"/>
      <c r="NKS60" s="479"/>
      <c r="NKT60" s="479"/>
      <c r="NKU60" s="479"/>
      <c r="NKV60" s="479"/>
      <c r="NKW60" s="479"/>
      <c r="NKX60" s="479"/>
      <c r="NKY60" s="479"/>
      <c r="NKZ60" s="479"/>
      <c r="NLA60" s="479"/>
      <c r="NLB60" s="479"/>
      <c r="NLC60" s="479"/>
      <c r="NLD60" s="479"/>
      <c r="NLE60" s="479"/>
      <c r="NLF60" s="479"/>
      <c r="NLG60" s="479"/>
      <c r="NLH60" s="479"/>
      <c r="NLI60" s="479"/>
      <c r="NLJ60" s="479"/>
      <c r="NLK60" s="479"/>
      <c r="NLL60" s="479"/>
      <c r="NLM60" s="479"/>
      <c r="NLN60" s="479"/>
      <c r="NLO60" s="479"/>
      <c r="NLP60" s="479"/>
      <c r="NLQ60" s="479"/>
      <c r="NLR60" s="479"/>
      <c r="NLS60" s="479"/>
      <c r="NLT60" s="479"/>
      <c r="NLU60" s="479"/>
      <c r="NLV60" s="479"/>
      <c r="NLW60" s="479"/>
      <c r="NLX60" s="479"/>
      <c r="NLY60" s="479"/>
      <c r="NLZ60" s="479"/>
      <c r="NMA60" s="479"/>
      <c r="NMB60" s="479"/>
      <c r="NMC60" s="479"/>
      <c r="NMD60" s="479"/>
      <c r="NME60" s="479"/>
      <c r="NMF60" s="479"/>
      <c r="NMG60" s="479"/>
      <c r="NMH60" s="479"/>
      <c r="NMI60" s="479"/>
      <c r="NMJ60" s="479"/>
      <c r="NMK60" s="479"/>
      <c r="NML60" s="479"/>
      <c r="NMM60" s="479"/>
      <c r="NMN60" s="479"/>
      <c r="NMO60" s="479"/>
      <c r="NMP60" s="479"/>
      <c r="NMQ60" s="479"/>
      <c r="NMR60" s="479"/>
      <c r="NMS60" s="479"/>
      <c r="NMT60" s="479"/>
      <c r="NMU60" s="479"/>
      <c r="NMV60" s="479"/>
      <c r="NMW60" s="479"/>
      <c r="NMX60" s="479"/>
      <c r="NMY60" s="479"/>
      <c r="NMZ60" s="479"/>
      <c r="NNA60" s="479"/>
      <c r="NNB60" s="479"/>
      <c r="NNC60" s="479"/>
      <c r="NND60" s="479"/>
      <c r="NNE60" s="479"/>
      <c r="NNF60" s="479"/>
      <c r="NNG60" s="479"/>
      <c r="NNH60" s="479"/>
      <c r="NNI60" s="479"/>
      <c r="NNJ60" s="479"/>
      <c r="NNK60" s="479"/>
      <c r="NNL60" s="479"/>
      <c r="NNM60" s="479"/>
      <c r="NNN60" s="479"/>
      <c r="NNO60" s="479"/>
      <c r="NNP60" s="479"/>
      <c r="NNQ60" s="479"/>
      <c r="NNR60" s="479"/>
      <c r="NNS60" s="479"/>
      <c r="NNT60" s="479"/>
      <c r="NNU60" s="479"/>
      <c r="NNV60" s="479"/>
      <c r="NNW60" s="479"/>
      <c r="NNX60" s="479"/>
      <c r="NNY60" s="479"/>
      <c r="NNZ60" s="479"/>
      <c r="NOA60" s="479"/>
      <c r="NOB60" s="479"/>
      <c r="NOC60" s="479"/>
      <c r="NOD60" s="479"/>
      <c r="NOE60" s="479"/>
      <c r="NOF60" s="479"/>
      <c r="NOG60" s="479"/>
      <c r="NOH60" s="479"/>
      <c r="NOI60" s="479"/>
      <c r="NOJ60" s="479"/>
      <c r="NOK60" s="479"/>
      <c r="NOL60" s="479"/>
      <c r="NOM60" s="479"/>
      <c r="NON60" s="479"/>
      <c r="NOO60" s="479"/>
      <c r="NOP60" s="479"/>
      <c r="NOQ60" s="479"/>
      <c r="NOR60" s="479"/>
      <c r="NOS60" s="479"/>
      <c r="NOT60" s="479"/>
      <c r="NOU60" s="479"/>
      <c r="NOV60" s="479"/>
      <c r="NOW60" s="479"/>
      <c r="NOX60" s="479"/>
      <c r="NOY60" s="479"/>
      <c r="NOZ60" s="479"/>
      <c r="NPA60" s="479"/>
      <c r="NPB60" s="479"/>
      <c r="NPC60" s="479"/>
      <c r="NPD60" s="479"/>
      <c r="NPE60" s="479"/>
      <c r="NPF60" s="479"/>
      <c r="NPG60" s="479"/>
      <c r="NPH60" s="479"/>
      <c r="NPI60" s="479"/>
      <c r="NPJ60" s="479"/>
      <c r="NPK60" s="479"/>
      <c r="NPL60" s="479"/>
      <c r="NPM60" s="479"/>
      <c r="NPN60" s="479"/>
      <c r="NPO60" s="479"/>
      <c r="NPP60" s="479"/>
      <c r="NPQ60" s="479"/>
      <c r="NPR60" s="479"/>
      <c r="NPS60" s="479"/>
      <c r="NPT60" s="479"/>
      <c r="NPU60" s="479"/>
      <c r="NPV60" s="479"/>
      <c r="NPW60" s="479"/>
      <c r="NPX60" s="479"/>
      <c r="NPY60" s="479"/>
      <c r="NPZ60" s="479"/>
      <c r="NQA60" s="479"/>
      <c r="NQB60" s="479"/>
      <c r="NQC60" s="479"/>
      <c r="NQD60" s="479"/>
      <c r="NQE60" s="479"/>
      <c r="NQF60" s="479"/>
      <c r="NQG60" s="479"/>
      <c r="NQH60" s="479"/>
      <c r="NQI60" s="479"/>
      <c r="NQJ60" s="479"/>
      <c r="NQK60" s="479"/>
      <c r="NQL60" s="479"/>
      <c r="NQM60" s="479"/>
      <c r="NQN60" s="479"/>
      <c r="NQO60" s="479"/>
      <c r="NQP60" s="479"/>
      <c r="NQQ60" s="479"/>
      <c r="NQR60" s="479"/>
      <c r="NQS60" s="479"/>
      <c r="NQT60" s="479"/>
      <c r="NQU60" s="479"/>
      <c r="NQV60" s="479"/>
      <c r="NQW60" s="479"/>
      <c r="NQX60" s="479"/>
      <c r="NQY60" s="479"/>
      <c r="NQZ60" s="479"/>
      <c r="NRA60" s="479"/>
      <c r="NRB60" s="479"/>
      <c r="NRC60" s="479"/>
      <c r="NRD60" s="479"/>
      <c r="NRE60" s="479"/>
      <c r="NRF60" s="479"/>
      <c r="NRG60" s="479"/>
      <c r="NRH60" s="479"/>
      <c r="NRI60" s="479"/>
      <c r="NRJ60" s="479"/>
      <c r="NRK60" s="479"/>
      <c r="NRL60" s="479"/>
      <c r="NRM60" s="479"/>
      <c r="NRN60" s="479"/>
      <c r="NRO60" s="479"/>
      <c r="NRP60" s="479"/>
      <c r="NRQ60" s="479"/>
      <c r="NRR60" s="479"/>
      <c r="NRS60" s="479"/>
      <c r="NRT60" s="479"/>
      <c r="NRU60" s="479"/>
      <c r="NRV60" s="479"/>
      <c r="NRW60" s="479"/>
      <c r="NRX60" s="479"/>
      <c r="NRY60" s="479"/>
      <c r="NRZ60" s="479"/>
      <c r="NSA60" s="479"/>
      <c r="NSB60" s="479"/>
      <c r="NSC60" s="479"/>
      <c r="NSD60" s="479"/>
      <c r="NSE60" s="479"/>
      <c r="NSF60" s="479"/>
      <c r="NSG60" s="479"/>
      <c r="NSH60" s="479"/>
      <c r="NSI60" s="479"/>
      <c r="NSJ60" s="479"/>
      <c r="NSK60" s="479"/>
      <c r="NSL60" s="479"/>
      <c r="NSM60" s="479"/>
      <c r="NSN60" s="479"/>
      <c r="NSO60" s="479"/>
      <c r="NSP60" s="479"/>
      <c r="NSQ60" s="479"/>
      <c r="NSR60" s="479"/>
      <c r="NSS60" s="479"/>
      <c r="NST60" s="479"/>
      <c r="NSU60" s="479"/>
      <c r="NSV60" s="479"/>
      <c r="NSW60" s="479"/>
      <c r="NSX60" s="479"/>
      <c r="NSY60" s="479"/>
      <c r="NSZ60" s="479"/>
      <c r="NTA60" s="479"/>
      <c r="NTB60" s="479"/>
      <c r="NTC60" s="479"/>
      <c r="NTD60" s="479"/>
      <c r="NTE60" s="479"/>
      <c r="NTF60" s="479"/>
      <c r="NTG60" s="479"/>
      <c r="NTH60" s="479"/>
      <c r="NTI60" s="479"/>
      <c r="NTJ60" s="479"/>
      <c r="NTK60" s="479"/>
      <c r="NTL60" s="479"/>
      <c r="NTM60" s="479"/>
      <c r="NTN60" s="479"/>
      <c r="NTO60" s="479"/>
      <c r="NTP60" s="479"/>
      <c r="NTQ60" s="479"/>
      <c r="NTR60" s="479"/>
      <c r="NTS60" s="479"/>
      <c r="NTT60" s="479"/>
      <c r="NTU60" s="479"/>
      <c r="NTV60" s="479"/>
      <c r="NTW60" s="479"/>
      <c r="NTX60" s="479"/>
      <c r="NTY60" s="479"/>
      <c r="NTZ60" s="479"/>
      <c r="NUA60" s="479"/>
      <c r="NUB60" s="479"/>
      <c r="NUC60" s="479"/>
      <c r="NUD60" s="479"/>
      <c r="NUE60" s="479"/>
      <c r="NUF60" s="479"/>
      <c r="NUG60" s="479"/>
      <c r="NUH60" s="479"/>
      <c r="NUI60" s="479"/>
      <c r="NUJ60" s="479"/>
      <c r="NUK60" s="479"/>
      <c r="NUL60" s="479"/>
      <c r="NUM60" s="479"/>
      <c r="NUN60" s="479"/>
      <c r="NUO60" s="479"/>
      <c r="NUP60" s="479"/>
      <c r="NUQ60" s="479"/>
      <c r="NUR60" s="479"/>
      <c r="NUS60" s="479"/>
      <c r="NUT60" s="479"/>
      <c r="NUU60" s="479"/>
      <c r="NUV60" s="479"/>
      <c r="NUW60" s="479"/>
      <c r="NUX60" s="479"/>
      <c r="NUY60" s="479"/>
      <c r="NUZ60" s="479"/>
      <c r="NVA60" s="479"/>
      <c r="NVB60" s="479"/>
      <c r="NVC60" s="479"/>
      <c r="NVD60" s="479"/>
      <c r="NVE60" s="479"/>
      <c r="NVF60" s="479"/>
      <c r="NVG60" s="479"/>
      <c r="NVH60" s="479"/>
      <c r="NVI60" s="479"/>
      <c r="NVJ60" s="479"/>
      <c r="NVK60" s="479"/>
      <c r="NVL60" s="479"/>
      <c r="NVM60" s="479"/>
      <c r="NVN60" s="479"/>
      <c r="NVO60" s="479"/>
      <c r="NVP60" s="479"/>
      <c r="NVQ60" s="479"/>
      <c r="NVR60" s="479"/>
      <c r="NVS60" s="479"/>
      <c r="NVT60" s="479"/>
      <c r="NVU60" s="479"/>
      <c r="NVV60" s="479"/>
      <c r="NVW60" s="479"/>
      <c r="NVX60" s="479"/>
      <c r="NVY60" s="479"/>
      <c r="NVZ60" s="479"/>
      <c r="NWA60" s="479"/>
      <c r="NWB60" s="479"/>
      <c r="NWC60" s="479"/>
      <c r="NWD60" s="479"/>
      <c r="NWE60" s="479"/>
      <c r="NWF60" s="479"/>
      <c r="NWG60" s="479"/>
      <c r="NWH60" s="479"/>
      <c r="NWI60" s="479"/>
      <c r="NWJ60" s="479"/>
      <c r="NWK60" s="479"/>
      <c r="NWL60" s="479"/>
      <c r="NWM60" s="479"/>
      <c r="NWN60" s="479"/>
      <c r="NWO60" s="479"/>
      <c r="NWP60" s="479"/>
      <c r="NWQ60" s="479"/>
      <c r="NWR60" s="479"/>
      <c r="NWS60" s="479"/>
      <c r="NWT60" s="479"/>
      <c r="NWU60" s="479"/>
      <c r="NWV60" s="479"/>
      <c r="NWW60" s="479"/>
      <c r="NWX60" s="479"/>
      <c r="NWY60" s="479"/>
      <c r="NWZ60" s="479"/>
      <c r="NXA60" s="479"/>
      <c r="NXB60" s="479"/>
      <c r="NXC60" s="479"/>
      <c r="NXD60" s="479"/>
      <c r="NXE60" s="479"/>
      <c r="NXF60" s="479"/>
      <c r="NXG60" s="479"/>
      <c r="NXH60" s="479"/>
      <c r="NXI60" s="479"/>
      <c r="NXJ60" s="479"/>
      <c r="NXK60" s="479"/>
      <c r="NXL60" s="479"/>
      <c r="NXM60" s="479"/>
      <c r="NXN60" s="479"/>
      <c r="NXO60" s="479"/>
      <c r="NXP60" s="479"/>
      <c r="NXQ60" s="479"/>
      <c r="NXR60" s="479"/>
      <c r="NXS60" s="479"/>
      <c r="NXT60" s="479"/>
      <c r="NXU60" s="479"/>
      <c r="NXV60" s="479"/>
      <c r="NXW60" s="479"/>
      <c r="NXX60" s="479"/>
      <c r="NXY60" s="479"/>
      <c r="NXZ60" s="479"/>
      <c r="NYA60" s="479"/>
      <c r="NYB60" s="479"/>
      <c r="NYC60" s="479"/>
      <c r="NYD60" s="479"/>
      <c r="NYE60" s="479"/>
      <c r="NYF60" s="479"/>
      <c r="NYG60" s="479"/>
      <c r="NYH60" s="479"/>
      <c r="NYI60" s="479"/>
      <c r="NYJ60" s="479"/>
      <c r="NYK60" s="479"/>
      <c r="NYL60" s="479"/>
      <c r="NYM60" s="479"/>
      <c r="NYN60" s="479"/>
      <c r="NYO60" s="479"/>
      <c r="NYP60" s="479"/>
      <c r="NYQ60" s="479"/>
      <c r="NYR60" s="479"/>
      <c r="NYS60" s="479"/>
      <c r="NYT60" s="479"/>
      <c r="NYU60" s="479"/>
      <c r="NYV60" s="479"/>
      <c r="NYW60" s="479"/>
      <c r="NYX60" s="479"/>
      <c r="NYY60" s="479"/>
      <c r="NYZ60" s="479"/>
      <c r="NZA60" s="479"/>
      <c r="NZB60" s="479"/>
      <c r="NZC60" s="479"/>
      <c r="NZD60" s="479"/>
      <c r="NZE60" s="479"/>
      <c r="NZF60" s="479"/>
      <c r="NZG60" s="479"/>
      <c r="NZH60" s="479"/>
      <c r="NZI60" s="479"/>
      <c r="NZJ60" s="479"/>
      <c r="NZK60" s="479"/>
      <c r="NZL60" s="479"/>
      <c r="NZM60" s="479"/>
      <c r="NZN60" s="479"/>
      <c r="NZO60" s="479"/>
      <c r="NZP60" s="479"/>
      <c r="NZQ60" s="479"/>
      <c r="NZR60" s="479"/>
      <c r="NZS60" s="479"/>
      <c r="NZT60" s="479"/>
      <c r="NZU60" s="479"/>
      <c r="NZV60" s="479"/>
      <c r="NZW60" s="479"/>
      <c r="NZX60" s="479"/>
      <c r="NZY60" s="479"/>
      <c r="NZZ60" s="479"/>
      <c r="OAA60" s="479"/>
      <c r="OAB60" s="479"/>
      <c r="OAC60" s="479"/>
      <c r="OAD60" s="479"/>
      <c r="OAE60" s="479"/>
      <c r="OAF60" s="479"/>
      <c r="OAG60" s="479"/>
      <c r="OAH60" s="479"/>
      <c r="OAI60" s="479"/>
      <c r="OAJ60" s="479"/>
      <c r="OAK60" s="479"/>
      <c r="OAL60" s="479"/>
      <c r="OAM60" s="479"/>
      <c r="OAN60" s="479"/>
      <c r="OAO60" s="479"/>
      <c r="OAP60" s="479"/>
      <c r="OAQ60" s="479"/>
      <c r="OAR60" s="479"/>
      <c r="OAS60" s="479"/>
      <c r="OAT60" s="479"/>
      <c r="OAU60" s="479"/>
      <c r="OAV60" s="479"/>
      <c r="OAW60" s="479"/>
      <c r="OAX60" s="479"/>
      <c r="OAY60" s="479"/>
      <c r="OAZ60" s="479"/>
      <c r="OBA60" s="479"/>
      <c r="OBB60" s="479"/>
      <c r="OBC60" s="479"/>
      <c r="OBD60" s="479"/>
      <c r="OBE60" s="479"/>
      <c r="OBF60" s="479"/>
      <c r="OBG60" s="479"/>
      <c r="OBH60" s="479"/>
      <c r="OBI60" s="479"/>
      <c r="OBJ60" s="479"/>
      <c r="OBK60" s="479"/>
      <c r="OBL60" s="479"/>
      <c r="OBM60" s="479"/>
      <c r="OBN60" s="479"/>
      <c r="OBO60" s="479"/>
      <c r="OBP60" s="479"/>
      <c r="OBQ60" s="479"/>
      <c r="OBR60" s="479"/>
      <c r="OBS60" s="479"/>
      <c r="OBT60" s="479"/>
      <c r="OBU60" s="479"/>
      <c r="OBV60" s="479"/>
      <c r="OBW60" s="479"/>
      <c r="OBX60" s="479"/>
      <c r="OBY60" s="479"/>
      <c r="OBZ60" s="479"/>
      <c r="OCA60" s="479"/>
      <c r="OCB60" s="479"/>
      <c r="OCC60" s="479"/>
      <c r="OCD60" s="479"/>
      <c r="OCE60" s="479"/>
      <c r="OCF60" s="479"/>
      <c r="OCG60" s="479"/>
      <c r="OCH60" s="479"/>
      <c r="OCI60" s="479"/>
      <c r="OCJ60" s="479"/>
      <c r="OCK60" s="479"/>
      <c r="OCL60" s="479"/>
      <c r="OCM60" s="479"/>
      <c r="OCN60" s="479"/>
      <c r="OCO60" s="479"/>
      <c r="OCP60" s="479"/>
      <c r="OCQ60" s="479"/>
      <c r="OCR60" s="479"/>
      <c r="OCS60" s="479"/>
      <c r="OCT60" s="479"/>
      <c r="OCU60" s="479"/>
      <c r="OCV60" s="479"/>
      <c r="OCW60" s="479"/>
      <c r="OCX60" s="479"/>
      <c r="OCY60" s="479"/>
      <c r="OCZ60" s="479"/>
      <c r="ODA60" s="479"/>
      <c r="ODB60" s="479"/>
      <c r="ODC60" s="479"/>
      <c r="ODD60" s="479"/>
      <c r="ODE60" s="479"/>
      <c r="ODF60" s="479"/>
      <c r="ODG60" s="479"/>
      <c r="ODH60" s="479"/>
      <c r="ODI60" s="479"/>
      <c r="ODJ60" s="479"/>
      <c r="ODK60" s="479"/>
      <c r="ODL60" s="479"/>
      <c r="ODM60" s="479"/>
      <c r="ODN60" s="479"/>
      <c r="ODO60" s="479"/>
      <c r="ODP60" s="479"/>
      <c r="ODQ60" s="479"/>
      <c r="ODR60" s="479"/>
      <c r="ODS60" s="479"/>
      <c r="ODT60" s="479"/>
      <c r="ODU60" s="479"/>
      <c r="ODV60" s="479"/>
      <c r="ODW60" s="479"/>
      <c r="ODX60" s="479"/>
      <c r="ODY60" s="479"/>
      <c r="ODZ60" s="479"/>
      <c r="OEA60" s="479"/>
      <c r="OEB60" s="479"/>
      <c r="OEC60" s="479"/>
      <c r="OED60" s="479"/>
      <c r="OEE60" s="479"/>
      <c r="OEF60" s="479"/>
      <c r="OEG60" s="479"/>
      <c r="OEH60" s="479"/>
      <c r="OEI60" s="479"/>
      <c r="OEJ60" s="479"/>
      <c r="OEK60" s="479"/>
      <c r="OEL60" s="479"/>
      <c r="OEM60" s="479"/>
      <c r="OEN60" s="479"/>
      <c r="OEO60" s="479"/>
      <c r="OEP60" s="479"/>
      <c r="OEQ60" s="479"/>
      <c r="OER60" s="479"/>
      <c r="OES60" s="479"/>
      <c r="OET60" s="479"/>
      <c r="OEU60" s="479"/>
      <c r="OEV60" s="479"/>
      <c r="OEW60" s="479"/>
      <c r="OEX60" s="479"/>
      <c r="OEY60" s="479"/>
      <c r="OEZ60" s="479"/>
      <c r="OFA60" s="479"/>
      <c r="OFB60" s="479"/>
      <c r="OFC60" s="479"/>
      <c r="OFD60" s="479"/>
      <c r="OFE60" s="479"/>
      <c r="OFF60" s="479"/>
      <c r="OFG60" s="479"/>
      <c r="OFH60" s="479"/>
      <c r="OFI60" s="479"/>
      <c r="OFJ60" s="479"/>
      <c r="OFK60" s="479"/>
      <c r="OFL60" s="479"/>
      <c r="OFM60" s="479"/>
      <c r="OFN60" s="479"/>
      <c r="OFO60" s="479"/>
      <c r="OFP60" s="479"/>
      <c r="OFQ60" s="479"/>
      <c r="OFR60" s="479"/>
      <c r="OFS60" s="479"/>
      <c r="OFT60" s="479"/>
      <c r="OFU60" s="479"/>
      <c r="OFV60" s="479"/>
      <c r="OFW60" s="479"/>
      <c r="OFX60" s="479"/>
      <c r="OFY60" s="479"/>
      <c r="OFZ60" s="479"/>
      <c r="OGA60" s="479"/>
      <c r="OGB60" s="479"/>
      <c r="OGC60" s="479"/>
      <c r="OGD60" s="479"/>
      <c r="OGE60" s="479"/>
      <c r="OGF60" s="479"/>
      <c r="OGG60" s="479"/>
      <c r="OGH60" s="479"/>
      <c r="OGI60" s="479"/>
      <c r="OGJ60" s="479"/>
      <c r="OGK60" s="479"/>
      <c r="OGL60" s="479"/>
      <c r="OGM60" s="479"/>
      <c r="OGN60" s="479"/>
      <c r="OGO60" s="479"/>
      <c r="OGP60" s="479"/>
      <c r="OGQ60" s="479"/>
      <c r="OGR60" s="479"/>
      <c r="OGS60" s="479"/>
      <c r="OGT60" s="479"/>
      <c r="OGU60" s="479"/>
      <c r="OGV60" s="479"/>
      <c r="OGW60" s="479"/>
      <c r="OGX60" s="479"/>
      <c r="OGY60" s="479"/>
      <c r="OGZ60" s="479"/>
      <c r="OHA60" s="479"/>
      <c r="OHB60" s="479"/>
      <c r="OHC60" s="479"/>
      <c r="OHD60" s="479"/>
      <c r="OHE60" s="479"/>
      <c r="OHF60" s="479"/>
      <c r="OHG60" s="479"/>
      <c r="OHH60" s="479"/>
      <c r="OHI60" s="479"/>
      <c r="OHJ60" s="479"/>
      <c r="OHK60" s="479"/>
      <c r="OHL60" s="479"/>
      <c r="OHM60" s="479"/>
      <c r="OHN60" s="479"/>
      <c r="OHO60" s="479"/>
      <c r="OHP60" s="479"/>
      <c r="OHQ60" s="479"/>
      <c r="OHR60" s="479"/>
      <c r="OHS60" s="479"/>
      <c r="OHT60" s="479"/>
      <c r="OHU60" s="479"/>
      <c r="OHV60" s="479"/>
      <c r="OHW60" s="479"/>
      <c r="OHX60" s="479"/>
      <c r="OHY60" s="479"/>
      <c r="OHZ60" s="479"/>
      <c r="OIA60" s="479"/>
      <c r="OIB60" s="479"/>
      <c r="OIC60" s="479"/>
      <c r="OID60" s="479"/>
      <c r="OIE60" s="479"/>
      <c r="OIF60" s="479"/>
      <c r="OIG60" s="479"/>
      <c r="OIH60" s="479"/>
      <c r="OII60" s="479"/>
      <c r="OIJ60" s="479"/>
      <c r="OIK60" s="479"/>
      <c r="OIL60" s="479"/>
      <c r="OIM60" s="479"/>
      <c r="OIN60" s="479"/>
      <c r="OIO60" s="479"/>
      <c r="OIP60" s="479"/>
      <c r="OIQ60" s="479"/>
      <c r="OIR60" s="479"/>
      <c r="OIS60" s="479"/>
      <c r="OIT60" s="479"/>
      <c r="OIU60" s="479"/>
      <c r="OIV60" s="479"/>
      <c r="OIW60" s="479"/>
      <c r="OIX60" s="479"/>
      <c r="OIY60" s="479"/>
      <c r="OIZ60" s="479"/>
      <c r="OJA60" s="479"/>
      <c r="OJB60" s="479"/>
      <c r="OJC60" s="479"/>
      <c r="OJD60" s="479"/>
      <c r="OJE60" s="479"/>
      <c r="OJF60" s="479"/>
      <c r="OJG60" s="479"/>
      <c r="OJH60" s="479"/>
      <c r="OJI60" s="479"/>
      <c r="OJJ60" s="479"/>
      <c r="OJK60" s="479"/>
      <c r="OJL60" s="479"/>
      <c r="OJM60" s="479"/>
      <c r="OJN60" s="479"/>
      <c r="OJO60" s="479"/>
      <c r="OJP60" s="479"/>
      <c r="OJQ60" s="479"/>
      <c r="OJR60" s="479"/>
      <c r="OJS60" s="479"/>
      <c r="OJT60" s="479"/>
      <c r="OJU60" s="479"/>
      <c r="OJV60" s="479"/>
      <c r="OJW60" s="479"/>
      <c r="OJX60" s="479"/>
      <c r="OJY60" s="479"/>
      <c r="OJZ60" s="479"/>
      <c r="OKA60" s="479"/>
      <c r="OKB60" s="479"/>
      <c r="OKC60" s="479"/>
      <c r="OKD60" s="479"/>
      <c r="OKE60" s="479"/>
      <c r="OKF60" s="479"/>
      <c r="OKG60" s="479"/>
      <c r="OKH60" s="479"/>
      <c r="OKI60" s="479"/>
      <c r="OKJ60" s="479"/>
      <c r="OKK60" s="479"/>
      <c r="OKL60" s="479"/>
      <c r="OKM60" s="479"/>
      <c r="OKN60" s="479"/>
      <c r="OKO60" s="479"/>
      <c r="OKP60" s="479"/>
      <c r="OKQ60" s="479"/>
      <c r="OKR60" s="479"/>
      <c r="OKS60" s="479"/>
      <c r="OKT60" s="479"/>
      <c r="OKU60" s="479"/>
      <c r="OKV60" s="479"/>
      <c r="OKW60" s="479"/>
      <c r="OKX60" s="479"/>
      <c r="OKY60" s="479"/>
      <c r="OKZ60" s="479"/>
      <c r="OLA60" s="479"/>
      <c r="OLB60" s="479"/>
      <c r="OLC60" s="479"/>
      <c r="OLD60" s="479"/>
      <c r="OLE60" s="479"/>
      <c r="OLF60" s="479"/>
      <c r="OLG60" s="479"/>
      <c r="OLH60" s="479"/>
      <c r="OLI60" s="479"/>
      <c r="OLJ60" s="479"/>
      <c r="OLK60" s="479"/>
      <c r="OLL60" s="479"/>
      <c r="OLM60" s="479"/>
      <c r="OLN60" s="479"/>
      <c r="OLO60" s="479"/>
      <c r="OLP60" s="479"/>
      <c r="OLQ60" s="479"/>
      <c r="OLR60" s="479"/>
      <c r="OLS60" s="479"/>
      <c r="OLT60" s="479"/>
      <c r="OLU60" s="479"/>
      <c r="OLV60" s="479"/>
      <c r="OLW60" s="479"/>
      <c r="OLX60" s="479"/>
      <c r="OLY60" s="479"/>
      <c r="OLZ60" s="479"/>
      <c r="OMA60" s="479"/>
      <c r="OMB60" s="479"/>
      <c r="OMC60" s="479"/>
      <c r="OMD60" s="479"/>
      <c r="OME60" s="479"/>
      <c r="OMF60" s="479"/>
      <c r="OMG60" s="479"/>
      <c r="OMH60" s="479"/>
      <c r="OMI60" s="479"/>
      <c r="OMJ60" s="479"/>
      <c r="OMK60" s="479"/>
      <c r="OML60" s="479"/>
      <c r="OMM60" s="479"/>
      <c r="OMN60" s="479"/>
      <c r="OMO60" s="479"/>
      <c r="OMP60" s="479"/>
      <c r="OMQ60" s="479"/>
      <c r="OMR60" s="479"/>
      <c r="OMS60" s="479"/>
      <c r="OMT60" s="479"/>
      <c r="OMU60" s="479"/>
      <c r="OMV60" s="479"/>
      <c r="OMW60" s="479"/>
      <c r="OMX60" s="479"/>
      <c r="OMY60" s="479"/>
      <c r="OMZ60" s="479"/>
      <c r="ONA60" s="479"/>
      <c r="ONB60" s="479"/>
      <c r="ONC60" s="479"/>
      <c r="OND60" s="479"/>
      <c r="ONE60" s="479"/>
      <c r="ONF60" s="479"/>
      <c r="ONG60" s="479"/>
      <c r="ONH60" s="479"/>
      <c r="ONI60" s="479"/>
      <c r="ONJ60" s="479"/>
      <c r="ONK60" s="479"/>
      <c r="ONL60" s="479"/>
      <c r="ONM60" s="479"/>
      <c r="ONN60" s="479"/>
      <c r="ONO60" s="479"/>
      <c r="ONP60" s="479"/>
      <c r="ONQ60" s="479"/>
      <c r="ONR60" s="479"/>
      <c r="ONS60" s="479"/>
      <c r="ONT60" s="479"/>
      <c r="ONU60" s="479"/>
      <c r="ONV60" s="479"/>
      <c r="ONW60" s="479"/>
      <c r="ONX60" s="479"/>
      <c r="ONY60" s="479"/>
      <c r="ONZ60" s="479"/>
      <c r="OOA60" s="479"/>
      <c r="OOB60" s="479"/>
      <c r="OOC60" s="479"/>
      <c r="OOD60" s="479"/>
      <c r="OOE60" s="479"/>
      <c r="OOF60" s="479"/>
      <c r="OOG60" s="479"/>
      <c r="OOH60" s="479"/>
      <c r="OOI60" s="479"/>
      <c r="OOJ60" s="479"/>
      <c r="OOK60" s="479"/>
      <c r="OOL60" s="479"/>
      <c r="OOM60" s="479"/>
      <c r="OON60" s="479"/>
      <c r="OOO60" s="479"/>
      <c r="OOP60" s="479"/>
      <c r="OOQ60" s="479"/>
      <c r="OOR60" s="479"/>
      <c r="OOS60" s="479"/>
      <c r="OOT60" s="479"/>
      <c r="OOU60" s="479"/>
      <c r="OOV60" s="479"/>
      <c r="OOW60" s="479"/>
      <c r="OOX60" s="479"/>
      <c r="OOY60" s="479"/>
      <c r="OOZ60" s="479"/>
      <c r="OPA60" s="479"/>
      <c r="OPB60" s="479"/>
      <c r="OPC60" s="479"/>
      <c r="OPD60" s="479"/>
      <c r="OPE60" s="479"/>
      <c r="OPF60" s="479"/>
      <c r="OPG60" s="479"/>
      <c r="OPH60" s="479"/>
      <c r="OPI60" s="479"/>
      <c r="OPJ60" s="479"/>
      <c r="OPK60" s="479"/>
      <c r="OPL60" s="479"/>
      <c r="OPM60" s="479"/>
      <c r="OPN60" s="479"/>
      <c r="OPO60" s="479"/>
      <c r="OPP60" s="479"/>
      <c r="OPQ60" s="479"/>
      <c r="OPR60" s="479"/>
      <c r="OPS60" s="479"/>
      <c r="OPT60" s="479"/>
      <c r="OPU60" s="479"/>
      <c r="OPV60" s="479"/>
      <c r="OPW60" s="479"/>
      <c r="OPX60" s="479"/>
      <c r="OPY60" s="479"/>
      <c r="OPZ60" s="479"/>
      <c r="OQA60" s="479"/>
      <c r="OQB60" s="479"/>
      <c r="OQC60" s="479"/>
      <c r="OQD60" s="479"/>
      <c r="OQE60" s="479"/>
      <c r="OQF60" s="479"/>
      <c r="OQG60" s="479"/>
      <c r="OQH60" s="479"/>
      <c r="OQI60" s="479"/>
      <c r="OQJ60" s="479"/>
      <c r="OQK60" s="479"/>
      <c r="OQL60" s="479"/>
      <c r="OQM60" s="479"/>
      <c r="OQN60" s="479"/>
      <c r="OQO60" s="479"/>
      <c r="OQP60" s="479"/>
      <c r="OQQ60" s="479"/>
      <c r="OQR60" s="479"/>
      <c r="OQS60" s="479"/>
      <c r="OQT60" s="479"/>
      <c r="OQU60" s="479"/>
      <c r="OQV60" s="479"/>
      <c r="OQW60" s="479"/>
      <c r="OQX60" s="479"/>
      <c r="OQY60" s="479"/>
      <c r="OQZ60" s="479"/>
      <c r="ORA60" s="479"/>
      <c r="ORB60" s="479"/>
      <c r="ORC60" s="479"/>
      <c r="ORD60" s="479"/>
      <c r="ORE60" s="479"/>
      <c r="ORF60" s="479"/>
      <c r="ORG60" s="479"/>
      <c r="ORH60" s="479"/>
      <c r="ORI60" s="479"/>
      <c r="ORJ60" s="479"/>
      <c r="ORK60" s="479"/>
      <c r="ORL60" s="479"/>
      <c r="ORM60" s="479"/>
      <c r="ORN60" s="479"/>
      <c r="ORO60" s="479"/>
      <c r="ORP60" s="479"/>
      <c r="ORQ60" s="479"/>
      <c r="ORR60" s="479"/>
      <c r="ORS60" s="479"/>
      <c r="ORT60" s="479"/>
      <c r="ORU60" s="479"/>
      <c r="ORV60" s="479"/>
      <c r="ORW60" s="479"/>
      <c r="ORX60" s="479"/>
      <c r="ORY60" s="479"/>
      <c r="ORZ60" s="479"/>
      <c r="OSA60" s="479"/>
      <c r="OSB60" s="479"/>
      <c r="OSC60" s="479"/>
      <c r="OSD60" s="479"/>
      <c r="OSE60" s="479"/>
      <c r="OSF60" s="479"/>
      <c r="OSG60" s="479"/>
      <c r="OSH60" s="479"/>
      <c r="OSI60" s="479"/>
      <c r="OSJ60" s="479"/>
      <c r="OSK60" s="479"/>
      <c r="OSL60" s="479"/>
      <c r="OSM60" s="479"/>
      <c r="OSN60" s="479"/>
      <c r="OSO60" s="479"/>
      <c r="OSP60" s="479"/>
      <c r="OSQ60" s="479"/>
      <c r="OSR60" s="479"/>
      <c r="OSS60" s="479"/>
      <c r="OST60" s="479"/>
      <c r="OSU60" s="479"/>
      <c r="OSV60" s="479"/>
      <c r="OSW60" s="479"/>
      <c r="OSX60" s="479"/>
      <c r="OSY60" s="479"/>
      <c r="OSZ60" s="479"/>
      <c r="OTA60" s="479"/>
      <c r="OTB60" s="479"/>
      <c r="OTC60" s="479"/>
      <c r="OTD60" s="479"/>
      <c r="OTE60" s="479"/>
      <c r="OTF60" s="479"/>
      <c r="OTG60" s="479"/>
      <c r="OTH60" s="479"/>
      <c r="OTI60" s="479"/>
      <c r="OTJ60" s="479"/>
      <c r="OTK60" s="479"/>
      <c r="OTL60" s="479"/>
      <c r="OTM60" s="479"/>
      <c r="OTN60" s="479"/>
      <c r="OTO60" s="479"/>
      <c r="OTP60" s="479"/>
      <c r="OTQ60" s="479"/>
      <c r="OTR60" s="479"/>
      <c r="OTS60" s="479"/>
      <c r="OTT60" s="479"/>
      <c r="OTU60" s="479"/>
      <c r="OTV60" s="479"/>
      <c r="OTW60" s="479"/>
      <c r="OTX60" s="479"/>
      <c r="OTY60" s="479"/>
      <c r="OTZ60" s="479"/>
      <c r="OUA60" s="479"/>
      <c r="OUB60" s="479"/>
      <c r="OUC60" s="479"/>
      <c r="OUD60" s="479"/>
      <c r="OUE60" s="479"/>
      <c r="OUF60" s="479"/>
      <c r="OUG60" s="479"/>
      <c r="OUH60" s="479"/>
      <c r="OUI60" s="479"/>
      <c r="OUJ60" s="479"/>
      <c r="OUK60" s="479"/>
      <c r="OUL60" s="479"/>
      <c r="OUM60" s="479"/>
      <c r="OUN60" s="479"/>
      <c r="OUO60" s="479"/>
      <c r="OUP60" s="479"/>
      <c r="OUQ60" s="479"/>
      <c r="OUR60" s="479"/>
      <c r="OUS60" s="479"/>
      <c r="OUT60" s="479"/>
      <c r="OUU60" s="479"/>
      <c r="OUV60" s="479"/>
      <c r="OUW60" s="479"/>
      <c r="OUX60" s="479"/>
      <c r="OUY60" s="479"/>
      <c r="OUZ60" s="479"/>
      <c r="OVA60" s="479"/>
      <c r="OVB60" s="479"/>
      <c r="OVC60" s="479"/>
      <c r="OVD60" s="479"/>
      <c r="OVE60" s="479"/>
      <c r="OVF60" s="479"/>
      <c r="OVG60" s="479"/>
      <c r="OVH60" s="479"/>
      <c r="OVI60" s="479"/>
      <c r="OVJ60" s="479"/>
      <c r="OVK60" s="479"/>
      <c r="OVL60" s="479"/>
      <c r="OVM60" s="479"/>
      <c r="OVN60" s="479"/>
      <c r="OVO60" s="479"/>
      <c r="OVP60" s="479"/>
      <c r="OVQ60" s="479"/>
      <c r="OVR60" s="479"/>
      <c r="OVS60" s="479"/>
      <c r="OVT60" s="479"/>
      <c r="OVU60" s="479"/>
      <c r="OVV60" s="479"/>
      <c r="OVW60" s="479"/>
      <c r="OVX60" s="479"/>
      <c r="OVY60" s="479"/>
      <c r="OVZ60" s="479"/>
      <c r="OWA60" s="479"/>
      <c r="OWB60" s="479"/>
      <c r="OWC60" s="479"/>
      <c r="OWD60" s="479"/>
      <c r="OWE60" s="479"/>
      <c r="OWF60" s="479"/>
      <c r="OWG60" s="479"/>
      <c r="OWH60" s="479"/>
      <c r="OWI60" s="479"/>
      <c r="OWJ60" s="479"/>
      <c r="OWK60" s="479"/>
      <c r="OWL60" s="479"/>
      <c r="OWM60" s="479"/>
      <c r="OWN60" s="479"/>
      <c r="OWO60" s="479"/>
      <c r="OWP60" s="479"/>
      <c r="OWQ60" s="479"/>
      <c r="OWR60" s="479"/>
      <c r="OWS60" s="479"/>
      <c r="OWT60" s="479"/>
      <c r="OWU60" s="479"/>
      <c r="OWV60" s="479"/>
      <c r="OWW60" s="479"/>
      <c r="OWX60" s="479"/>
      <c r="OWY60" s="479"/>
      <c r="OWZ60" s="479"/>
      <c r="OXA60" s="479"/>
      <c r="OXB60" s="479"/>
      <c r="OXC60" s="479"/>
      <c r="OXD60" s="479"/>
      <c r="OXE60" s="479"/>
      <c r="OXF60" s="479"/>
      <c r="OXG60" s="479"/>
      <c r="OXH60" s="479"/>
      <c r="OXI60" s="479"/>
      <c r="OXJ60" s="479"/>
      <c r="OXK60" s="479"/>
      <c r="OXL60" s="479"/>
      <c r="OXM60" s="479"/>
      <c r="OXN60" s="479"/>
      <c r="OXO60" s="479"/>
      <c r="OXP60" s="479"/>
      <c r="OXQ60" s="479"/>
      <c r="OXR60" s="479"/>
      <c r="OXS60" s="479"/>
      <c r="OXT60" s="479"/>
      <c r="OXU60" s="479"/>
      <c r="OXV60" s="479"/>
      <c r="OXW60" s="479"/>
      <c r="OXX60" s="479"/>
      <c r="OXY60" s="479"/>
      <c r="OXZ60" s="479"/>
      <c r="OYA60" s="479"/>
      <c r="OYB60" s="479"/>
      <c r="OYC60" s="479"/>
      <c r="OYD60" s="479"/>
      <c r="OYE60" s="479"/>
      <c r="OYF60" s="479"/>
      <c r="OYG60" s="479"/>
      <c r="OYH60" s="479"/>
      <c r="OYI60" s="479"/>
      <c r="OYJ60" s="479"/>
      <c r="OYK60" s="479"/>
      <c r="OYL60" s="479"/>
      <c r="OYM60" s="479"/>
      <c r="OYN60" s="479"/>
      <c r="OYO60" s="479"/>
      <c r="OYP60" s="479"/>
      <c r="OYQ60" s="479"/>
      <c r="OYR60" s="479"/>
      <c r="OYS60" s="479"/>
      <c r="OYT60" s="479"/>
      <c r="OYU60" s="479"/>
      <c r="OYV60" s="479"/>
      <c r="OYW60" s="479"/>
      <c r="OYX60" s="479"/>
      <c r="OYY60" s="479"/>
      <c r="OYZ60" s="479"/>
      <c r="OZA60" s="479"/>
      <c r="OZB60" s="479"/>
      <c r="OZC60" s="479"/>
      <c r="OZD60" s="479"/>
      <c r="OZE60" s="479"/>
      <c r="OZF60" s="479"/>
      <c r="OZG60" s="479"/>
      <c r="OZH60" s="479"/>
      <c r="OZI60" s="479"/>
      <c r="OZJ60" s="479"/>
      <c r="OZK60" s="479"/>
      <c r="OZL60" s="479"/>
      <c r="OZM60" s="479"/>
      <c r="OZN60" s="479"/>
      <c r="OZO60" s="479"/>
      <c r="OZP60" s="479"/>
      <c r="OZQ60" s="479"/>
      <c r="OZR60" s="479"/>
      <c r="OZS60" s="479"/>
      <c r="OZT60" s="479"/>
      <c r="OZU60" s="479"/>
      <c r="OZV60" s="479"/>
      <c r="OZW60" s="479"/>
      <c r="OZX60" s="479"/>
      <c r="OZY60" s="479"/>
      <c r="OZZ60" s="479"/>
      <c r="PAA60" s="479"/>
      <c r="PAB60" s="479"/>
      <c r="PAC60" s="479"/>
      <c r="PAD60" s="479"/>
      <c r="PAE60" s="479"/>
      <c r="PAF60" s="479"/>
      <c r="PAG60" s="479"/>
      <c r="PAH60" s="479"/>
      <c r="PAI60" s="479"/>
      <c r="PAJ60" s="479"/>
      <c r="PAK60" s="479"/>
      <c r="PAL60" s="479"/>
      <c r="PAM60" s="479"/>
      <c r="PAN60" s="479"/>
      <c r="PAO60" s="479"/>
      <c r="PAP60" s="479"/>
      <c r="PAQ60" s="479"/>
      <c r="PAR60" s="479"/>
      <c r="PAS60" s="479"/>
      <c r="PAT60" s="479"/>
      <c r="PAU60" s="479"/>
      <c r="PAV60" s="479"/>
      <c r="PAW60" s="479"/>
      <c r="PAX60" s="479"/>
      <c r="PAY60" s="479"/>
      <c r="PAZ60" s="479"/>
      <c r="PBA60" s="479"/>
      <c r="PBB60" s="479"/>
      <c r="PBC60" s="479"/>
      <c r="PBD60" s="479"/>
      <c r="PBE60" s="479"/>
      <c r="PBF60" s="479"/>
      <c r="PBG60" s="479"/>
      <c r="PBH60" s="479"/>
      <c r="PBI60" s="479"/>
      <c r="PBJ60" s="479"/>
      <c r="PBK60" s="479"/>
      <c r="PBL60" s="479"/>
      <c r="PBM60" s="479"/>
      <c r="PBN60" s="479"/>
      <c r="PBO60" s="479"/>
      <c r="PBP60" s="479"/>
      <c r="PBQ60" s="479"/>
      <c r="PBR60" s="479"/>
      <c r="PBS60" s="479"/>
      <c r="PBT60" s="479"/>
      <c r="PBU60" s="479"/>
      <c r="PBV60" s="479"/>
      <c r="PBW60" s="479"/>
      <c r="PBX60" s="479"/>
      <c r="PBY60" s="479"/>
      <c r="PBZ60" s="479"/>
      <c r="PCA60" s="479"/>
      <c r="PCB60" s="479"/>
      <c r="PCC60" s="479"/>
      <c r="PCD60" s="479"/>
      <c r="PCE60" s="479"/>
      <c r="PCF60" s="479"/>
      <c r="PCG60" s="479"/>
      <c r="PCH60" s="479"/>
      <c r="PCI60" s="479"/>
      <c r="PCJ60" s="479"/>
      <c r="PCK60" s="479"/>
      <c r="PCL60" s="479"/>
      <c r="PCM60" s="479"/>
      <c r="PCN60" s="479"/>
      <c r="PCO60" s="479"/>
      <c r="PCP60" s="479"/>
      <c r="PCQ60" s="479"/>
      <c r="PCR60" s="479"/>
      <c r="PCS60" s="479"/>
      <c r="PCT60" s="479"/>
      <c r="PCU60" s="479"/>
      <c r="PCV60" s="479"/>
      <c r="PCW60" s="479"/>
      <c r="PCX60" s="479"/>
      <c r="PCY60" s="479"/>
      <c r="PCZ60" s="479"/>
      <c r="PDA60" s="479"/>
      <c r="PDB60" s="479"/>
      <c r="PDC60" s="479"/>
      <c r="PDD60" s="479"/>
      <c r="PDE60" s="479"/>
      <c r="PDF60" s="479"/>
      <c r="PDG60" s="479"/>
      <c r="PDH60" s="479"/>
      <c r="PDI60" s="479"/>
      <c r="PDJ60" s="479"/>
      <c r="PDK60" s="479"/>
      <c r="PDL60" s="479"/>
      <c r="PDM60" s="479"/>
      <c r="PDN60" s="479"/>
      <c r="PDO60" s="479"/>
      <c r="PDP60" s="479"/>
      <c r="PDQ60" s="479"/>
      <c r="PDR60" s="479"/>
      <c r="PDS60" s="479"/>
      <c r="PDT60" s="479"/>
      <c r="PDU60" s="479"/>
      <c r="PDV60" s="479"/>
      <c r="PDW60" s="479"/>
      <c r="PDX60" s="479"/>
      <c r="PDY60" s="479"/>
      <c r="PDZ60" s="479"/>
      <c r="PEA60" s="479"/>
      <c r="PEB60" s="479"/>
      <c r="PEC60" s="479"/>
      <c r="PED60" s="479"/>
      <c r="PEE60" s="479"/>
      <c r="PEF60" s="479"/>
      <c r="PEG60" s="479"/>
      <c r="PEH60" s="479"/>
      <c r="PEI60" s="479"/>
      <c r="PEJ60" s="479"/>
      <c r="PEK60" s="479"/>
      <c r="PEL60" s="479"/>
      <c r="PEM60" s="479"/>
      <c r="PEN60" s="479"/>
      <c r="PEO60" s="479"/>
      <c r="PEP60" s="479"/>
      <c r="PEQ60" s="479"/>
      <c r="PER60" s="479"/>
      <c r="PES60" s="479"/>
      <c r="PET60" s="479"/>
      <c r="PEU60" s="479"/>
      <c r="PEV60" s="479"/>
      <c r="PEW60" s="479"/>
      <c r="PEX60" s="479"/>
      <c r="PEY60" s="479"/>
      <c r="PEZ60" s="479"/>
      <c r="PFA60" s="479"/>
      <c r="PFB60" s="479"/>
      <c r="PFC60" s="479"/>
      <c r="PFD60" s="479"/>
      <c r="PFE60" s="479"/>
      <c r="PFF60" s="479"/>
      <c r="PFG60" s="479"/>
      <c r="PFH60" s="479"/>
      <c r="PFI60" s="479"/>
      <c r="PFJ60" s="479"/>
      <c r="PFK60" s="479"/>
      <c r="PFL60" s="479"/>
      <c r="PFM60" s="479"/>
      <c r="PFN60" s="479"/>
      <c r="PFO60" s="479"/>
      <c r="PFP60" s="479"/>
      <c r="PFQ60" s="479"/>
      <c r="PFR60" s="479"/>
      <c r="PFS60" s="479"/>
      <c r="PFT60" s="479"/>
      <c r="PFU60" s="479"/>
      <c r="PFV60" s="479"/>
      <c r="PFW60" s="479"/>
      <c r="PFX60" s="479"/>
      <c r="PFY60" s="479"/>
      <c r="PFZ60" s="479"/>
      <c r="PGA60" s="479"/>
      <c r="PGB60" s="479"/>
      <c r="PGC60" s="479"/>
      <c r="PGD60" s="479"/>
      <c r="PGE60" s="479"/>
      <c r="PGF60" s="479"/>
      <c r="PGG60" s="479"/>
      <c r="PGH60" s="479"/>
      <c r="PGI60" s="479"/>
      <c r="PGJ60" s="479"/>
      <c r="PGK60" s="479"/>
      <c r="PGL60" s="479"/>
      <c r="PGM60" s="479"/>
      <c r="PGN60" s="479"/>
      <c r="PGO60" s="479"/>
      <c r="PGP60" s="479"/>
      <c r="PGQ60" s="479"/>
      <c r="PGR60" s="479"/>
      <c r="PGS60" s="479"/>
      <c r="PGT60" s="479"/>
      <c r="PGU60" s="479"/>
      <c r="PGV60" s="479"/>
      <c r="PGW60" s="479"/>
      <c r="PGX60" s="479"/>
      <c r="PGY60" s="479"/>
      <c r="PGZ60" s="479"/>
      <c r="PHA60" s="479"/>
      <c r="PHB60" s="479"/>
      <c r="PHC60" s="479"/>
      <c r="PHD60" s="479"/>
      <c r="PHE60" s="479"/>
      <c r="PHF60" s="479"/>
      <c r="PHG60" s="479"/>
      <c r="PHH60" s="479"/>
      <c r="PHI60" s="479"/>
      <c r="PHJ60" s="479"/>
      <c r="PHK60" s="479"/>
      <c r="PHL60" s="479"/>
      <c r="PHM60" s="479"/>
      <c r="PHN60" s="479"/>
      <c r="PHO60" s="479"/>
      <c r="PHP60" s="479"/>
      <c r="PHQ60" s="479"/>
      <c r="PHR60" s="479"/>
      <c r="PHS60" s="479"/>
      <c r="PHT60" s="479"/>
      <c r="PHU60" s="479"/>
      <c r="PHV60" s="479"/>
      <c r="PHW60" s="479"/>
      <c r="PHX60" s="479"/>
      <c r="PHY60" s="479"/>
      <c r="PHZ60" s="479"/>
      <c r="PIA60" s="479"/>
      <c r="PIB60" s="479"/>
      <c r="PIC60" s="479"/>
      <c r="PID60" s="479"/>
      <c r="PIE60" s="479"/>
      <c r="PIF60" s="479"/>
      <c r="PIG60" s="479"/>
      <c r="PIH60" s="479"/>
      <c r="PII60" s="479"/>
      <c r="PIJ60" s="479"/>
      <c r="PIK60" s="479"/>
      <c r="PIL60" s="479"/>
      <c r="PIM60" s="479"/>
      <c r="PIN60" s="479"/>
      <c r="PIO60" s="479"/>
      <c r="PIP60" s="479"/>
      <c r="PIQ60" s="479"/>
      <c r="PIR60" s="479"/>
      <c r="PIS60" s="479"/>
      <c r="PIT60" s="479"/>
      <c r="PIU60" s="479"/>
      <c r="PIV60" s="479"/>
      <c r="PIW60" s="479"/>
      <c r="PIX60" s="479"/>
      <c r="PIY60" s="479"/>
      <c r="PIZ60" s="479"/>
      <c r="PJA60" s="479"/>
      <c r="PJB60" s="479"/>
      <c r="PJC60" s="479"/>
      <c r="PJD60" s="479"/>
      <c r="PJE60" s="479"/>
      <c r="PJF60" s="479"/>
      <c r="PJG60" s="479"/>
      <c r="PJH60" s="479"/>
      <c r="PJI60" s="479"/>
      <c r="PJJ60" s="479"/>
      <c r="PJK60" s="479"/>
      <c r="PJL60" s="479"/>
      <c r="PJM60" s="479"/>
      <c r="PJN60" s="479"/>
      <c r="PJO60" s="479"/>
      <c r="PJP60" s="479"/>
      <c r="PJQ60" s="479"/>
      <c r="PJR60" s="479"/>
      <c r="PJS60" s="479"/>
      <c r="PJT60" s="479"/>
      <c r="PJU60" s="479"/>
      <c r="PJV60" s="479"/>
      <c r="PJW60" s="479"/>
      <c r="PJX60" s="479"/>
      <c r="PJY60" s="479"/>
      <c r="PJZ60" s="479"/>
      <c r="PKA60" s="479"/>
      <c r="PKB60" s="479"/>
      <c r="PKC60" s="479"/>
      <c r="PKD60" s="479"/>
      <c r="PKE60" s="479"/>
      <c r="PKF60" s="479"/>
      <c r="PKG60" s="479"/>
      <c r="PKH60" s="479"/>
      <c r="PKI60" s="479"/>
      <c r="PKJ60" s="479"/>
      <c r="PKK60" s="479"/>
      <c r="PKL60" s="479"/>
      <c r="PKM60" s="479"/>
      <c r="PKN60" s="479"/>
      <c r="PKO60" s="479"/>
      <c r="PKP60" s="479"/>
      <c r="PKQ60" s="479"/>
      <c r="PKR60" s="479"/>
      <c r="PKS60" s="479"/>
      <c r="PKT60" s="479"/>
      <c r="PKU60" s="479"/>
      <c r="PKV60" s="479"/>
      <c r="PKW60" s="479"/>
      <c r="PKX60" s="479"/>
      <c r="PKY60" s="479"/>
      <c r="PKZ60" s="479"/>
      <c r="PLA60" s="479"/>
      <c r="PLB60" s="479"/>
      <c r="PLC60" s="479"/>
      <c r="PLD60" s="479"/>
      <c r="PLE60" s="479"/>
      <c r="PLF60" s="479"/>
      <c r="PLG60" s="479"/>
      <c r="PLH60" s="479"/>
      <c r="PLI60" s="479"/>
      <c r="PLJ60" s="479"/>
      <c r="PLK60" s="479"/>
      <c r="PLL60" s="479"/>
      <c r="PLM60" s="479"/>
      <c r="PLN60" s="479"/>
      <c r="PLO60" s="479"/>
      <c r="PLP60" s="479"/>
      <c r="PLQ60" s="479"/>
      <c r="PLR60" s="479"/>
      <c r="PLS60" s="479"/>
      <c r="PLT60" s="479"/>
      <c r="PLU60" s="479"/>
      <c r="PLV60" s="479"/>
      <c r="PLW60" s="479"/>
      <c r="PLX60" s="479"/>
      <c r="PLY60" s="479"/>
      <c r="PLZ60" s="479"/>
      <c r="PMA60" s="479"/>
      <c r="PMB60" s="479"/>
      <c r="PMC60" s="479"/>
      <c r="PMD60" s="479"/>
      <c r="PME60" s="479"/>
      <c r="PMF60" s="479"/>
      <c r="PMG60" s="479"/>
      <c r="PMH60" s="479"/>
      <c r="PMI60" s="479"/>
      <c r="PMJ60" s="479"/>
      <c r="PMK60" s="479"/>
      <c r="PML60" s="479"/>
      <c r="PMM60" s="479"/>
      <c r="PMN60" s="479"/>
      <c r="PMO60" s="479"/>
      <c r="PMP60" s="479"/>
      <c r="PMQ60" s="479"/>
      <c r="PMR60" s="479"/>
      <c r="PMS60" s="479"/>
      <c r="PMT60" s="479"/>
      <c r="PMU60" s="479"/>
      <c r="PMV60" s="479"/>
      <c r="PMW60" s="479"/>
      <c r="PMX60" s="479"/>
      <c r="PMY60" s="479"/>
      <c r="PMZ60" s="479"/>
      <c r="PNA60" s="479"/>
      <c r="PNB60" s="479"/>
      <c r="PNC60" s="479"/>
      <c r="PND60" s="479"/>
      <c r="PNE60" s="479"/>
      <c r="PNF60" s="479"/>
      <c r="PNG60" s="479"/>
      <c r="PNH60" s="479"/>
      <c r="PNI60" s="479"/>
      <c r="PNJ60" s="479"/>
      <c r="PNK60" s="479"/>
      <c r="PNL60" s="479"/>
      <c r="PNM60" s="479"/>
      <c r="PNN60" s="479"/>
      <c r="PNO60" s="479"/>
      <c r="PNP60" s="479"/>
      <c r="PNQ60" s="479"/>
      <c r="PNR60" s="479"/>
      <c r="PNS60" s="479"/>
      <c r="PNT60" s="479"/>
      <c r="PNU60" s="479"/>
      <c r="PNV60" s="479"/>
      <c r="PNW60" s="479"/>
      <c r="PNX60" s="479"/>
      <c r="PNY60" s="479"/>
      <c r="PNZ60" s="479"/>
      <c r="POA60" s="479"/>
      <c r="POB60" s="479"/>
      <c r="POC60" s="479"/>
      <c r="POD60" s="479"/>
      <c r="POE60" s="479"/>
      <c r="POF60" s="479"/>
      <c r="POG60" s="479"/>
      <c r="POH60" s="479"/>
      <c r="POI60" s="479"/>
      <c r="POJ60" s="479"/>
      <c r="POK60" s="479"/>
      <c r="POL60" s="479"/>
      <c r="POM60" s="479"/>
      <c r="PON60" s="479"/>
      <c r="POO60" s="479"/>
      <c r="POP60" s="479"/>
      <c r="POQ60" s="479"/>
      <c r="POR60" s="479"/>
      <c r="POS60" s="479"/>
      <c r="POT60" s="479"/>
      <c r="POU60" s="479"/>
      <c r="POV60" s="479"/>
      <c r="POW60" s="479"/>
      <c r="POX60" s="479"/>
      <c r="POY60" s="479"/>
      <c r="POZ60" s="479"/>
      <c r="PPA60" s="479"/>
      <c r="PPB60" s="479"/>
      <c r="PPC60" s="479"/>
      <c r="PPD60" s="479"/>
      <c r="PPE60" s="479"/>
      <c r="PPF60" s="479"/>
      <c r="PPG60" s="479"/>
      <c r="PPH60" s="479"/>
      <c r="PPI60" s="479"/>
      <c r="PPJ60" s="479"/>
      <c r="PPK60" s="479"/>
      <c r="PPL60" s="479"/>
      <c r="PPM60" s="479"/>
      <c r="PPN60" s="479"/>
      <c r="PPO60" s="479"/>
      <c r="PPP60" s="479"/>
      <c r="PPQ60" s="479"/>
      <c r="PPR60" s="479"/>
      <c r="PPS60" s="479"/>
      <c r="PPT60" s="479"/>
      <c r="PPU60" s="479"/>
      <c r="PPV60" s="479"/>
      <c r="PPW60" s="479"/>
      <c r="PPX60" s="479"/>
      <c r="PPY60" s="479"/>
      <c r="PPZ60" s="479"/>
      <c r="PQA60" s="479"/>
      <c r="PQB60" s="479"/>
      <c r="PQC60" s="479"/>
      <c r="PQD60" s="479"/>
      <c r="PQE60" s="479"/>
      <c r="PQF60" s="479"/>
      <c r="PQG60" s="479"/>
      <c r="PQH60" s="479"/>
      <c r="PQI60" s="479"/>
      <c r="PQJ60" s="479"/>
      <c r="PQK60" s="479"/>
      <c r="PQL60" s="479"/>
      <c r="PQM60" s="479"/>
      <c r="PQN60" s="479"/>
      <c r="PQO60" s="479"/>
      <c r="PQP60" s="479"/>
      <c r="PQQ60" s="479"/>
      <c r="PQR60" s="479"/>
      <c r="PQS60" s="479"/>
      <c r="PQT60" s="479"/>
      <c r="PQU60" s="479"/>
      <c r="PQV60" s="479"/>
      <c r="PQW60" s="479"/>
      <c r="PQX60" s="479"/>
      <c r="PQY60" s="479"/>
      <c r="PQZ60" s="479"/>
      <c r="PRA60" s="479"/>
      <c r="PRB60" s="479"/>
      <c r="PRC60" s="479"/>
      <c r="PRD60" s="479"/>
      <c r="PRE60" s="479"/>
      <c r="PRF60" s="479"/>
      <c r="PRG60" s="479"/>
      <c r="PRH60" s="479"/>
      <c r="PRI60" s="479"/>
      <c r="PRJ60" s="479"/>
      <c r="PRK60" s="479"/>
      <c r="PRL60" s="479"/>
      <c r="PRM60" s="479"/>
      <c r="PRN60" s="479"/>
      <c r="PRO60" s="479"/>
      <c r="PRP60" s="479"/>
      <c r="PRQ60" s="479"/>
      <c r="PRR60" s="479"/>
      <c r="PRS60" s="479"/>
      <c r="PRT60" s="479"/>
      <c r="PRU60" s="479"/>
      <c r="PRV60" s="479"/>
      <c r="PRW60" s="479"/>
      <c r="PRX60" s="479"/>
      <c r="PRY60" s="479"/>
      <c r="PRZ60" s="479"/>
      <c r="PSA60" s="479"/>
      <c r="PSB60" s="479"/>
      <c r="PSC60" s="479"/>
      <c r="PSD60" s="479"/>
      <c r="PSE60" s="479"/>
      <c r="PSF60" s="479"/>
      <c r="PSG60" s="479"/>
      <c r="PSH60" s="479"/>
      <c r="PSI60" s="479"/>
      <c r="PSJ60" s="479"/>
      <c r="PSK60" s="479"/>
      <c r="PSL60" s="479"/>
      <c r="PSM60" s="479"/>
      <c r="PSN60" s="479"/>
      <c r="PSO60" s="479"/>
      <c r="PSP60" s="479"/>
      <c r="PSQ60" s="479"/>
      <c r="PSR60" s="479"/>
      <c r="PSS60" s="479"/>
      <c r="PST60" s="479"/>
      <c r="PSU60" s="479"/>
      <c r="PSV60" s="479"/>
      <c r="PSW60" s="479"/>
      <c r="PSX60" s="479"/>
      <c r="PSY60" s="479"/>
      <c r="PSZ60" s="479"/>
      <c r="PTA60" s="479"/>
      <c r="PTB60" s="479"/>
      <c r="PTC60" s="479"/>
      <c r="PTD60" s="479"/>
      <c r="PTE60" s="479"/>
      <c r="PTF60" s="479"/>
      <c r="PTG60" s="479"/>
      <c r="PTH60" s="479"/>
      <c r="PTI60" s="479"/>
      <c r="PTJ60" s="479"/>
      <c r="PTK60" s="479"/>
      <c r="PTL60" s="479"/>
      <c r="PTM60" s="479"/>
      <c r="PTN60" s="479"/>
      <c r="PTO60" s="479"/>
      <c r="PTP60" s="479"/>
      <c r="PTQ60" s="479"/>
      <c r="PTR60" s="479"/>
      <c r="PTS60" s="479"/>
      <c r="PTT60" s="479"/>
      <c r="PTU60" s="479"/>
      <c r="PTV60" s="479"/>
      <c r="PTW60" s="479"/>
      <c r="PTX60" s="479"/>
      <c r="PTY60" s="479"/>
      <c r="PTZ60" s="479"/>
      <c r="PUA60" s="479"/>
      <c r="PUB60" s="479"/>
      <c r="PUC60" s="479"/>
      <c r="PUD60" s="479"/>
      <c r="PUE60" s="479"/>
      <c r="PUF60" s="479"/>
      <c r="PUG60" s="479"/>
      <c r="PUH60" s="479"/>
      <c r="PUI60" s="479"/>
      <c r="PUJ60" s="479"/>
      <c r="PUK60" s="479"/>
      <c r="PUL60" s="479"/>
      <c r="PUM60" s="479"/>
      <c r="PUN60" s="479"/>
      <c r="PUO60" s="479"/>
      <c r="PUP60" s="479"/>
      <c r="PUQ60" s="479"/>
      <c r="PUR60" s="479"/>
      <c r="PUS60" s="479"/>
      <c r="PUT60" s="479"/>
      <c r="PUU60" s="479"/>
      <c r="PUV60" s="479"/>
      <c r="PUW60" s="479"/>
      <c r="PUX60" s="479"/>
      <c r="PUY60" s="479"/>
      <c r="PUZ60" s="479"/>
      <c r="PVA60" s="479"/>
      <c r="PVB60" s="479"/>
      <c r="PVC60" s="479"/>
      <c r="PVD60" s="479"/>
      <c r="PVE60" s="479"/>
      <c r="PVF60" s="479"/>
      <c r="PVG60" s="479"/>
      <c r="PVH60" s="479"/>
      <c r="PVI60" s="479"/>
      <c r="PVJ60" s="479"/>
      <c r="PVK60" s="479"/>
      <c r="PVL60" s="479"/>
      <c r="PVM60" s="479"/>
      <c r="PVN60" s="479"/>
      <c r="PVO60" s="479"/>
      <c r="PVP60" s="479"/>
      <c r="PVQ60" s="479"/>
      <c r="PVR60" s="479"/>
      <c r="PVS60" s="479"/>
      <c r="PVT60" s="479"/>
      <c r="PVU60" s="479"/>
      <c r="PVV60" s="479"/>
      <c r="PVW60" s="479"/>
      <c r="PVX60" s="479"/>
      <c r="PVY60" s="479"/>
      <c r="PVZ60" s="479"/>
      <c r="PWA60" s="479"/>
      <c r="PWB60" s="479"/>
      <c r="PWC60" s="479"/>
      <c r="PWD60" s="479"/>
      <c r="PWE60" s="479"/>
      <c r="PWF60" s="479"/>
      <c r="PWG60" s="479"/>
      <c r="PWH60" s="479"/>
      <c r="PWI60" s="479"/>
      <c r="PWJ60" s="479"/>
      <c r="PWK60" s="479"/>
      <c r="PWL60" s="479"/>
      <c r="PWM60" s="479"/>
      <c r="PWN60" s="479"/>
      <c r="PWO60" s="479"/>
      <c r="PWP60" s="479"/>
      <c r="PWQ60" s="479"/>
      <c r="PWR60" s="479"/>
      <c r="PWS60" s="479"/>
      <c r="PWT60" s="479"/>
      <c r="PWU60" s="479"/>
      <c r="PWV60" s="479"/>
      <c r="PWW60" s="479"/>
      <c r="PWX60" s="479"/>
      <c r="PWY60" s="479"/>
      <c r="PWZ60" s="479"/>
      <c r="PXA60" s="479"/>
      <c r="PXB60" s="479"/>
      <c r="PXC60" s="479"/>
      <c r="PXD60" s="479"/>
      <c r="PXE60" s="479"/>
      <c r="PXF60" s="479"/>
      <c r="PXG60" s="479"/>
      <c r="PXH60" s="479"/>
      <c r="PXI60" s="479"/>
      <c r="PXJ60" s="479"/>
      <c r="PXK60" s="479"/>
      <c r="PXL60" s="479"/>
      <c r="PXM60" s="479"/>
      <c r="PXN60" s="479"/>
      <c r="PXO60" s="479"/>
      <c r="PXP60" s="479"/>
      <c r="PXQ60" s="479"/>
      <c r="PXR60" s="479"/>
      <c r="PXS60" s="479"/>
      <c r="PXT60" s="479"/>
      <c r="PXU60" s="479"/>
      <c r="PXV60" s="479"/>
      <c r="PXW60" s="479"/>
      <c r="PXX60" s="479"/>
      <c r="PXY60" s="479"/>
      <c r="PXZ60" s="479"/>
      <c r="PYA60" s="479"/>
      <c r="PYB60" s="479"/>
      <c r="PYC60" s="479"/>
      <c r="PYD60" s="479"/>
      <c r="PYE60" s="479"/>
      <c r="PYF60" s="479"/>
      <c r="PYG60" s="479"/>
      <c r="PYH60" s="479"/>
      <c r="PYI60" s="479"/>
      <c r="PYJ60" s="479"/>
      <c r="PYK60" s="479"/>
      <c r="PYL60" s="479"/>
      <c r="PYM60" s="479"/>
      <c r="PYN60" s="479"/>
      <c r="PYO60" s="479"/>
      <c r="PYP60" s="479"/>
      <c r="PYQ60" s="479"/>
      <c r="PYR60" s="479"/>
      <c r="PYS60" s="479"/>
      <c r="PYT60" s="479"/>
      <c r="PYU60" s="479"/>
      <c r="PYV60" s="479"/>
      <c r="PYW60" s="479"/>
      <c r="PYX60" s="479"/>
      <c r="PYY60" s="479"/>
      <c r="PYZ60" s="479"/>
      <c r="PZA60" s="479"/>
      <c r="PZB60" s="479"/>
      <c r="PZC60" s="479"/>
      <c r="PZD60" s="479"/>
      <c r="PZE60" s="479"/>
      <c r="PZF60" s="479"/>
      <c r="PZG60" s="479"/>
      <c r="PZH60" s="479"/>
      <c r="PZI60" s="479"/>
      <c r="PZJ60" s="479"/>
      <c r="PZK60" s="479"/>
      <c r="PZL60" s="479"/>
      <c r="PZM60" s="479"/>
      <c r="PZN60" s="479"/>
      <c r="PZO60" s="479"/>
      <c r="PZP60" s="479"/>
      <c r="PZQ60" s="479"/>
      <c r="PZR60" s="479"/>
      <c r="PZS60" s="479"/>
      <c r="PZT60" s="479"/>
      <c r="PZU60" s="479"/>
      <c r="PZV60" s="479"/>
      <c r="PZW60" s="479"/>
      <c r="PZX60" s="479"/>
      <c r="PZY60" s="479"/>
      <c r="PZZ60" s="479"/>
      <c r="QAA60" s="479"/>
      <c r="QAB60" s="479"/>
      <c r="QAC60" s="479"/>
      <c r="QAD60" s="479"/>
      <c r="QAE60" s="479"/>
      <c r="QAF60" s="479"/>
      <c r="QAG60" s="479"/>
      <c r="QAH60" s="479"/>
      <c r="QAI60" s="479"/>
      <c r="QAJ60" s="479"/>
      <c r="QAK60" s="479"/>
      <c r="QAL60" s="479"/>
      <c r="QAM60" s="479"/>
      <c r="QAN60" s="479"/>
      <c r="QAO60" s="479"/>
      <c r="QAP60" s="479"/>
      <c r="QAQ60" s="479"/>
      <c r="QAR60" s="479"/>
      <c r="QAS60" s="479"/>
      <c r="QAT60" s="479"/>
      <c r="QAU60" s="479"/>
      <c r="QAV60" s="479"/>
      <c r="QAW60" s="479"/>
      <c r="QAX60" s="479"/>
      <c r="QAY60" s="479"/>
      <c r="QAZ60" s="479"/>
      <c r="QBA60" s="479"/>
      <c r="QBB60" s="479"/>
      <c r="QBC60" s="479"/>
      <c r="QBD60" s="479"/>
      <c r="QBE60" s="479"/>
      <c r="QBF60" s="479"/>
      <c r="QBG60" s="479"/>
      <c r="QBH60" s="479"/>
      <c r="QBI60" s="479"/>
      <c r="QBJ60" s="479"/>
      <c r="QBK60" s="479"/>
      <c r="QBL60" s="479"/>
      <c r="QBM60" s="479"/>
      <c r="QBN60" s="479"/>
      <c r="QBO60" s="479"/>
      <c r="QBP60" s="479"/>
      <c r="QBQ60" s="479"/>
      <c r="QBR60" s="479"/>
      <c r="QBS60" s="479"/>
      <c r="QBT60" s="479"/>
      <c r="QBU60" s="479"/>
      <c r="QBV60" s="479"/>
      <c r="QBW60" s="479"/>
      <c r="QBX60" s="479"/>
      <c r="QBY60" s="479"/>
      <c r="QBZ60" s="479"/>
      <c r="QCA60" s="479"/>
      <c r="QCB60" s="479"/>
      <c r="QCC60" s="479"/>
      <c r="QCD60" s="479"/>
      <c r="QCE60" s="479"/>
      <c r="QCF60" s="479"/>
      <c r="QCG60" s="479"/>
      <c r="QCH60" s="479"/>
      <c r="QCI60" s="479"/>
      <c r="QCJ60" s="479"/>
      <c r="QCK60" s="479"/>
      <c r="QCL60" s="479"/>
      <c r="QCM60" s="479"/>
      <c r="QCN60" s="479"/>
      <c r="QCO60" s="479"/>
      <c r="QCP60" s="479"/>
      <c r="QCQ60" s="479"/>
      <c r="QCR60" s="479"/>
      <c r="QCS60" s="479"/>
      <c r="QCT60" s="479"/>
      <c r="QCU60" s="479"/>
      <c r="QCV60" s="479"/>
      <c r="QCW60" s="479"/>
      <c r="QCX60" s="479"/>
      <c r="QCY60" s="479"/>
      <c r="QCZ60" s="479"/>
      <c r="QDA60" s="479"/>
      <c r="QDB60" s="479"/>
      <c r="QDC60" s="479"/>
      <c r="QDD60" s="479"/>
      <c r="QDE60" s="479"/>
      <c r="QDF60" s="479"/>
      <c r="QDG60" s="479"/>
      <c r="QDH60" s="479"/>
      <c r="QDI60" s="479"/>
      <c r="QDJ60" s="479"/>
      <c r="QDK60" s="479"/>
      <c r="QDL60" s="479"/>
      <c r="QDM60" s="479"/>
      <c r="QDN60" s="479"/>
      <c r="QDO60" s="479"/>
      <c r="QDP60" s="479"/>
      <c r="QDQ60" s="479"/>
      <c r="QDR60" s="479"/>
      <c r="QDS60" s="479"/>
      <c r="QDT60" s="479"/>
      <c r="QDU60" s="479"/>
      <c r="QDV60" s="479"/>
      <c r="QDW60" s="479"/>
      <c r="QDX60" s="479"/>
      <c r="QDY60" s="479"/>
      <c r="QDZ60" s="479"/>
      <c r="QEA60" s="479"/>
      <c r="QEB60" s="479"/>
      <c r="QEC60" s="479"/>
      <c r="QED60" s="479"/>
      <c r="QEE60" s="479"/>
      <c r="QEF60" s="479"/>
      <c r="QEG60" s="479"/>
      <c r="QEH60" s="479"/>
      <c r="QEI60" s="479"/>
      <c r="QEJ60" s="479"/>
      <c r="QEK60" s="479"/>
      <c r="QEL60" s="479"/>
      <c r="QEM60" s="479"/>
      <c r="QEN60" s="479"/>
      <c r="QEO60" s="479"/>
      <c r="QEP60" s="479"/>
      <c r="QEQ60" s="479"/>
      <c r="QER60" s="479"/>
      <c r="QES60" s="479"/>
      <c r="QET60" s="479"/>
      <c r="QEU60" s="479"/>
      <c r="QEV60" s="479"/>
      <c r="QEW60" s="479"/>
      <c r="QEX60" s="479"/>
      <c r="QEY60" s="479"/>
      <c r="QEZ60" s="479"/>
      <c r="QFA60" s="479"/>
      <c r="QFB60" s="479"/>
      <c r="QFC60" s="479"/>
      <c r="QFD60" s="479"/>
      <c r="QFE60" s="479"/>
      <c r="QFF60" s="479"/>
      <c r="QFG60" s="479"/>
      <c r="QFH60" s="479"/>
      <c r="QFI60" s="479"/>
      <c r="QFJ60" s="479"/>
      <c r="QFK60" s="479"/>
      <c r="QFL60" s="479"/>
      <c r="QFM60" s="479"/>
      <c r="QFN60" s="479"/>
      <c r="QFO60" s="479"/>
      <c r="QFP60" s="479"/>
      <c r="QFQ60" s="479"/>
      <c r="QFR60" s="479"/>
      <c r="QFS60" s="479"/>
      <c r="QFT60" s="479"/>
      <c r="QFU60" s="479"/>
      <c r="QFV60" s="479"/>
      <c r="QFW60" s="479"/>
      <c r="QFX60" s="479"/>
      <c r="QFY60" s="479"/>
      <c r="QFZ60" s="479"/>
      <c r="QGA60" s="479"/>
      <c r="QGB60" s="479"/>
      <c r="QGC60" s="479"/>
      <c r="QGD60" s="479"/>
      <c r="QGE60" s="479"/>
      <c r="QGF60" s="479"/>
      <c r="QGG60" s="479"/>
      <c r="QGH60" s="479"/>
      <c r="QGI60" s="479"/>
      <c r="QGJ60" s="479"/>
      <c r="QGK60" s="479"/>
      <c r="QGL60" s="479"/>
      <c r="QGM60" s="479"/>
      <c r="QGN60" s="479"/>
      <c r="QGO60" s="479"/>
      <c r="QGP60" s="479"/>
      <c r="QGQ60" s="479"/>
      <c r="QGR60" s="479"/>
      <c r="QGS60" s="479"/>
      <c r="QGT60" s="479"/>
      <c r="QGU60" s="479"/>
      <c r="QGV60" s="479"/>
      <c r="QGW60" s="479"/>
      <c r="QGX60" s="479"/>
      <c r="QGY60" s="479"/>
      <c r="QGZ60" s="479"/>
      <c r="QHA60" s="479"/>
      <c r="QHB60" s="479"/>
      <c r="QHC60" s="479"/>
      <c r="QHD60" s="479"/>
      <c r="QHE60" s="479"/>
      <c r="QHF60" s="479"/>
      <c r="QHG60" s="479"/>
      <c r="QHH60" s="479"/>
      <c r="QHI60" s="479"/>
      <c r="QHJ60" s="479"/>
      <c r="QHK60" s="479"/>
      <c r="QHL60" s="479"/>
      <c r="QHM60" s="479"/>
      <c r="QHN60" s="479"/>
      <c r="QHO60" s="479"/>
      <c r="QHP60" s="479"/>
      <c r="QHQ60" s="479"/>
      <c r="QHR60" s="479"/>
      <c r="QHS60" s="479"/>
      <c r="QHT60" s="479"/>
      <c r="QHU60" s="479"/>
      <c r="QHV60" s="479"/>
      <c r="QHW60" s="479"/>
      <c r="QHX60" s="479"/>
      <c r="QHY60" s="479"/>
      <c r="QHZ60" s="479"/>
      <c r="QIA60" s="479"/>
      <c r="QIB60" s="479"/>
      <c r="QIC60" s="479"/>
      <c r="QID60" s="479"/>
      <c r="QIE60" s="479"/>
      <c r="QIF60" s="479"/>
      <c r="QIG60" s="479"/>
      <c r="QIH60" s="479"/>
      <c r="QII60" s="479"/>
      <c r="QIJ60" s="479"/>
      <c r="QIK60" s="479"/>
      <c r="QIL60" s="479"/>
      <c r="QIM60" s="479"/>
      <c r="QIN60" s="479"/>
      <c r="QIO60" s="479"/>
      <c r="QIP60" s="479"/>
      <c r="QIQ60" s="479"/>
      <c r="QIR60" s="479"/>
      <c r="QIS60" s="479"/>
      <c r="QIT60" s="479"/>
      <c r="QIU60" s="479"/>
      <c r="QIV60" s="479"/>
      <c r="QIW60" s="479"/>
      <c r="QIX60" s="479"/>
      <c r="QIY60" s="479"/>
      <c r="QIZ60" s="479"/>
      <c r="QJA60" s="479"/>
      <c r="QJB60" s="479"/>
      <c r="QJC60" s="479"/>
      <c r="QJD60" s="479"/>
      <c r="QJE60" s="479"/>
      <c r="QJF60" s="479"/>
      <c r="QJG60" s="479"/>
      <c r="QJH60" s="479"/>
      <c r="QJI60" s="479"/>
      <c r="QJJ60" s="479"/>
      <c r="QJK60" s="479"/>
      <c r="QJL60" s="479"/>
      <c r="QJM60" s="479"/>
      <c r="QJN60" s="479"/>
      <c r="QJO60" s="479"/>
      <c r="QJP60" s="479"/>
      <c r="QJQ60" s="479"/>
      <c r="QJR60" s="479"/>
      <c r="QJS60" s="479"/>
      <c r="QJT60" s="479"/>
      <c r="QJU60" s="479"/>
      <c r="QJV60" s="479"/>
      <c r="QJW60" s="479"/>
      <c r="QJX60" s="479"/>
      <c r="QJY60" s="479"/>
      <c r="QJZ60" s="479"/>
      <c r="QKA60" s="479"/>
      <c r="QKB60" s="479"/>
      <c r="QKC60" s="479"/>
      <c r="QKD60" s="479"/>
      <c r="QKE60" s="479"/>
      <c r="QKF60" s="479"/>
      <c r="QKG60" s="479"/>
      <c r="QKH60" s="479"/>
      <c r="QKI60" s="479"/>
      <c r="QKJ60" s="479"/>
      <c r="QKK60" s="479"/>
      <c r="QKL60" s="479"/>
      <c r="QKM60" s="479"/>
      <c r="QKN60" s="479"/>
      <c r="QKO60" s="479"/>
      <c r="QKP60" s="479"/>
      <c r="QKQ60" s="479"/>
      <c r="QKR60" s="479"/>
      <c r="QKS60" s="479"/>
      <c r="QKT60" s="479"/>
      <c r="QKU60" s="479"/>
      <c r="QKV60" s="479"/>
      <c r="QKW60" s="479"/>
      <c r="QKX60" s="479"/>
      <c r="QKY60" s="479"/>
      <c r="QKZ60" s="479"/>
      <c r="QLA60" s="479"/>
      <c r="QLB60" s="479"/>
      <c r="QLC60" s="479"/>
      <c r="QLD60" s="479"/>
      <c r="QLE60" s="479"/>
      <c r="QLF60" s="479"/>
      <c r="QLG60" s="479"/>
      <c r="QLH60" s="479"/>
      <c r="QLI60" s="479"/>
      <c r="QLJ60" s="479"/>
      <c r="QLK60" s="479"/>
      <c r="QLL60" s="479"/>
      <c r="QLM60" s="479"/>
      <c r="QLN60" s="479"/>
      <c r="QLO60" s="479"/>
      <c r="QLP60" s="479"/>
      <c r="QLQ60" s="479"/>
      <c r="QLR60" s="479"/>
      <c r="QLS60" s="479"/>
      <c r="QLT60" s="479"/>
      <c r="QLU60" s="479"/>
      <c r="QLV60" s="479"/>
      <c r="QLW60" s="479"/>
      <c r="QLX60" s="479"/>
      <c r="QLY60" s="479"/>
      <c r="QLZ60" s="479"/>
      <c r="QMA60" s="479"/>
      <c r="QMB60" s="479"/>
      <c r="QMC60" s="479"/>
      <c r="QMD60" s="479"/>
      <c r="QME60" s="479"/>
      <c r="QMF60" s="479"/>
      <c r="QMG60" s="479"/>
      <c r="QMH60" s="479"/>
      <c r="QMI60" s="479"/>
      <c r="QMJ60" s="479"/>
      <c r="QMK60" s="479"/>
      <c r="QML60" s="479"/>
      <c r="QMM60" s="479"/>
      <c r="QMN60" s="479"/>
      <c r="QMO60" s="479"/>
      <c r="QMP60" s="479"/>
      <c r="QMQ60" s="479"/>
      <c r="QMR60" s="479"/>
      <c r="QMS60" s="479"/>
      <c r="QMT60" s="479"/>
      <c r="QMU60" s="479"/>
      <c r="QMV60" s="479"/>
      <c r="QMW60" s="479"/>
      <c r="QMX60" s="479"/>
      <c r="QMY60" s="479"/>
      <c r="QMZ60" s="479"/>
      <c r="QNA60" s="479"/>
      <c r="QNB60" s="479"/>
      <c r="QNC60" s="479"/>
      <c r="QND60" s="479"/>
      <c r="QNE60" s="479"/>
      <c r="QNF60" s="479"/>
      <c r="QNG60" s="479"/>
      <c r="QNH60" s="479"/>
      <c r="QNI60" s="479"/>
      <c r="QNJ60" s="479"/>
      <c r="QNK60" s="479"/>
      <c r="QNL60" s="479"/>
      <c r="QNM60" s="479"/>
      <c r="QNN60" s="479"/>
      <c r="QNO60" s="479"/>
      <c r="QNP60" s="479"/>
      <c r="QNQ60" s="479"/>
      <c r="QNR60" s="479"/>
      <c r="QNS60" s="479"/>
      <c r="QNT60" s="479"/>
      <c r="QNU60" s="479"/>
      <c r="QNV60" s="479"/>
      <c r="QNW60" s="479"/>
      <c r="QNX60" s="479"/>
      <c r="QNY60" s="479"/>
      <c r="QNZ60" s="479"/>
      <c r="QOA60" s="479"/>
      <c r="QOB60" s="479"/>
      <c r="QOC60" s="479"/>
      <c r="QOD60" s="479"/>
      <c r="QOE60" s="479"/>
      <c r="QOF60" s="479"/>
      <c r="QOG60" s="479"/>
      <c r="QOH60" s="479"/>
      <c r="QOI60" s="479"/>
      <c r="QOJ60" s="479"/>
      <c r="QOK60" s="479"/>
      <c r="QOL60" s="479"/>
      <c r="QOM60" s="479"/>
      <c r="QON60" s="479"/>
      <c r="QOO60" s="479"/>
      <c r="QOP60" s="479"/>
      <c r="QOQ60" s="479"/>
      <c r="QOR60" s="479"/>
      <c r="QOS60" s="479"/>
      <c r="QOT60" s="479"/>
      <c r="QOU60" s="479"/>
      <c r="QOV60" s="479"/>
      <c r="QOW60" s="479"/>
      <c r="QOX60" s="479"/>
      <c r="QOY60" s="479"/>
      <c r="QOZ60" s="479"/>
      <c r="QPA60" s="479"/>
      <c r="QPB60" s="479"/>
      <c r="QPC60" s="479"/>
      <c r="QPD60" s="479"/>
      <c r="QPE60" s="479"/>
      <c r="QPF60" s="479"/>
      <c r="QPG60" s="479"/>
      <c r="QPH60" s="479"/>
      <c r="QPI60" s="479"/>
      <c r="QPJ60" s="479"/>
      <c r="QPK60" s="479"/>
      <c r="QPL60" s="479"/>
      <c r="QPM60" s="479"/>
      <c r="QPN60" s="479"/>
      <c r="QPO60" s="479"/>
      <c r="QPP60" s="479"/>
      <c r="QPQ60" s="479"/>
      <c r="QPR60" s="479"/>
      <c r="QPS60" s="479"/>
      <c r="QPT60" s="479"/>
      <c r="QPU60" s="479"/>
      <c r="QPV60" s="479"/>
      <c r="QPW60" s="479"/>
      <c r="QPX60" s="479"/>
      <c r="QPY60" s="479"/>
      <c r="QPZ60" s="479"/>
      <c r="QQA60" s="479"/>
      <c r="QQB60" s="479"/>
      <c r="QQC60" s="479"/>
      <c r="QQD60" s="479"/>
      <c r="QQE60" s="479"/>
      <c r="QQF60" s="479"/>
      <c r="QQG60" s="479"/>
      <c r="QQH60" s="479"/>
      <c r="QQI60" s="479"/>
      <c r="QQJ60" s="479"/>
      <c r="QQK60" s="479"/>
      <c r="QQL60" s="479"/>
      <c r="QQM60" s="479"/>
      <c r="QQN60" s="479"/>
      <c r="QQO60" s="479"/>
      <c r="QQP60" s="479"/>
      <c r="QQQ60" s="479"/>
      <c r="QQR60" s="479"/>
      <c r="QQS60" s="479"/>
      <c r="QQT60" s="479"/>
      <c r="QQU60" s="479"/>
      <c r="QQV60" s="479"/>
      <c r="QQW60" s="479"/>
      <c r="QQX60" s="479"/>
      <c r="QQY60" s="479"/>
      <c r="QQZ60" s="479"/>
      <c r="QRA60" s="479"/>
      <c r="QRB60" s="479"/>
      <c r="QRC60" s="479"/>
      <c r="QRD60" s="479"/>
      <c r="QRE60" s="479"/>
      <c r="QRF60" s="479"/>
      <c r="QRG60" s="479"/>
      <c r="QRH60" s="479"/>
      <c r="QRI60" s="479"/>
      <c r="QRJ60" s="479"/>
      <c r="QRK60" s="479"/>
      <c r="QRL60" s="479"/>
      <c r="QRM60" s="479"/>
      <c r="QRN60" s="479"/>
      <c r="QRO60" s="479"/>
      <c r="QRP60" s="479"/>
      <c r="QRQ60" s="479"/>
      <c r="QRR60" s="479"/>
      <c r="QRS60" s="479"/>
      <c r="QRT60" s="479"/>
      <c r="QRU60" s="479"/>
      <c r="QRV60" s="479"/>
      <c r="QRW60" s="479"/>
      <c r="QRX60" s="479"/>
      <c r="QRY60" s="479"/>
      <c r="QRZ60" s="479"/>
      <c r="QSA60" s="479"/>
      <c r="QSB60" s="479"/>
      <c r="QSC60" s="479"/>
      <c r="QSD60" s="479"/>
      <c r="QSE60" s="479"/>
      <c r="QSF60" s="479"/>
      <c r="QSG60" s="479"/>
      <c r="QSH60" s="479"/>
      <c r="QSI60" s="479"/>
      <c r="QSJ60" s="479"/>
      <c r="QSK60" s="479"/>
      <c r="QSL60" s="479"/>
      <c r="QSM60" s="479"/>
      <c r="QSN60" s="479"/>
      <c r="QSO60" s="479"/>
      <c r="QSP60" s="479"/>
      <c r="QSQ60" s="479"/>
      <c r="QSR60" s="479"/>
      <c r="QSS60" s="479"/>
      <c r="QST60" s="479"/>
      <c r="QSU60" s="479"/>
      <c r="QSV60" s="479"/>
      <c r="QSW60" s="479"/>
      <c r="QSX60" s="479"/>
      <c r="QSY60" s="479"/>
      <c r="QSZ60" s="479"/>
      <c r="QTA60" s="479"/>
      <c r="QTB60" s="479"/>
      <c r="QTC60" s="479"/>
      <c r="QTD60" s="479"/>
      <c r="QTE60" s="479"/>
      <c r="QTF60" s="479"/>
      <c r="QTG60" s="479"/>
      <c r="QTH60" s="479"/>
      <c r="QTI60" s="479"/>
      <c r="QTJ60" s="479"/>
      <c r="QTK60" s="479"/>
      <c r="QTL60" s="479"/>
      <c r="QTM60" s="479"/>
      <c r="QTN60" s="479"/>
      <c r="QTO60" s="479"/>
      <c r="QTP60" s="479"/>
      <c r="QTQ60" s="479"/>
      <c r="QTR60" s="479"/>
      <c r="QTS60" s="479"/>
      <c r="QTT60" s="479"/>
      <c r="QTU60" s="479"/>
      <c r="QTV60" s="479"/>
      <c r="QTW60" s="479"/>
      <c r="QTX60" s="479"/>
      <c r="QTY60" s="479"/>
      <c r="QTZ60" s="479"/>
      <c r="QUA60" s="479"/>
      <c r="QUB60" s="479"/>
      <c r="QUC60" s="479"/>
      <c r="QUD60" s="479"/>
      <c r="QUE60" s="479"/>
      <c r="QUF60" s="479"/>
      <c r="QUG60" s="479"/>
      <c r="QUH60" s="479"/>
      <c r="QUI60" s="479"/>
      <c r="QUJ60" s="479"/>
      <c r="QUK60" s="479"/>
      <c r="QUL60" s="479"/>
      <c r="QUM60" s="479"/>
      <c r="QUN60" s="479"/>
      <c r="QUO60" s="479"/>
      <c r="QUP60" s="479"/>
      <c r="QUQ60" s="479"/>
      <c r="QUR60" s="479"/>
      <c r="QUS60" s="479"/>
      <c r="QUT60" s="479"/>
      <c r="QUU60" s="479"/>
      <c r="QUV60" s="479"/>
      <c r="QUW60" s="479"/>
      <c r="QUX60" s="479"/>
      <c r="QUY60" s="479"/>
      <c r="QUZ60" s="479"/>
      <c r="QVA60" s="479"/>
      <c r="QVB60" s="479"/>
      <c r="QVC60" s="479"/>
      <c r="QVD60" s="479"/>
      <c r="QVE60" s="479"/>
      <c r="QVF60" s="479"/>
      <c r="QVG60" s="479"/>
      <c r="QVH60" s="479"/>
      <c r="QVI60" s="479"/>
      <c r="QVJ60" s="479"/>
      <c r="QVK60" s="479"/>
      <c r="QVL60" s="479"/>
      <c r="QVM60" s="479"/>
      <c r="QVN60" s="479"/>
      <c r="QVO60" s="479"/>
      <c r="QVP60" s="479"/>
      <c r="QVQ60" s="479"/>
      <c r="QVR60" s="479"/>
      <c r="QVS60" s="479"/>
      <c r="QVT60" s="479"/>
      <c r="QVU60" s="479"/>
      <c r="QVV60" s="479"/>
      <c r="QVW60" s="479"/>
      <c r="QVX60" s="479"/>
      <c r="QVY60" s="479"/>
      <c r="QVZ60" s="479"/>
      <c r="QWA60" s="479"/>
      <c r="QWB60" s="479"/>
      <c r="QWC60" s="479"/>
      <c r="QWD60" s="479"/>
      <c r="QWE60" s="479"/>
      <c r="QWF60" s="479"/>
      <c r="QWG60" s="479"/>
      <c r="QWH60" s="479"/>
      <c r="QWI60" s="479"/>
      <c r="QWJ60" s="479"/>
      <c r="QWK60" s="479"/>
      <c r="QWL60" s="479"/>
      <c r="QWM60" s="479"/>
      <c r="QWN60" s="479"/>
      <c r="QWO60" s="479"/>
      <c r="QWP60" s="479"/>
      <c r="QWQ60" s="479"/>
      <c r="QWR60" s="479"/>
      <c r="QWS60" s="479"/>
      <c r="QWT60" s="479"/>
      <c r="QWU60" s="479"/>
      <c r="QWV60" s="479"/>
      <c r="QWW60" s="479"/>
      <c r="QWX60" s="479"/>
      <c r="QWY60" s="479"/>
      <c r="QWZ60" s="479"/>
      <c r="QXA60" s="479"/>
      <c r="QXB60" s="479"/>
      <c r="QXC60" s="479"/>
      <c r="QXD60" s="479"/>
      <c r="QXE60" s="479"/>
      <c r="QXF60" s="479"/>
      <c r="QXG60" s="479"/>
      <c r="QXH60" s="479"/>
      <c r="QXI60" s="479"/>
      <c r="QXJ60" s="479"/>
      <c r="QXK60" s="479"/>
      <c r="QXL60" s="479"/>
      <c r="QXM60" s="479"/>
      <c r="QXN60" s="479"/>
      <c r="QXO60" s="479"/>
      <c r="QXP60" s="479"/>
      <c r="QXQ60" s="479"/>
      <c r="QXR60" s="479"/>
      <c r="QXS60" s="479"/>
      <c r="QXT60" s="479"/>
      <c r="QXU60" s="479"/>
      <c r="QXV60" s="479"/>
      <c r="QXW60" s="479"/>
      <c r="QXX60" s="479"/>
      <c r="QXY60" s="479"/>
      <c r="QXZ60" s="479"/>
      <c r="QYA60" s="479"/>
      <c r="QYB60" s="479"/>
      <c r="QYC60" s="479"/>
      <c r="QYD60" s="479"/>
      <c r="QYE60" s="479"/>
      <c r="QYF60" s="479"/>
      <c r="QYG60" s="479"/>
      <c r="QYH60" s="479"/>
      <c r="QYI60" s="479"/>
      <c r="QYJ60" s="479"/>
      <c r="QYK60" s="479"/>
      <c r="QYL60" s="479"/>
      <c r="QYM60" s="479"/>
      <c r="QYN60" s="479"/>
      <c r="QYO60" s="479"/>
      <c r="QYP60" s="479"/>
      <c r="QYQ60" s="479"/>
      <c r="QYR60" s="479"/>
      <c r="QYS60" s="479"/>
      <c r="QYT60" s="479"/>
      <c r="QYU60" s="479"/>
      <c r="QYV60" s="479"/>
      <c r="QYW60" s="479"/>
      <c r="QYX60" s="479"/>
      <c r="QYY60" s="479"/>
      <c r="QYZ60" s="479"/>
      <c r="QZA60" s="479"/>
      <c r="QZB60" s="479"/>
      <c r="QZC60" s="479"/>
      <c r="QZD60" s="479"/>
      <c r="QZE60" s="479"/>
      <c r="QZF60" s="479"/>
      <c r="QZG60" s="479"/>
      <c r="QZH60" s="479"/>
      <c r="QZI60" s="479"/>
      <c r="QZJ60" s="479"/>
      <c r="QZK60" s="479"/>
      <c r="QZL60" s="479"/>
      <c r="QZM60" s="479"/>
      <c r="QZN60" s="479"/>
      <c r="QZO60" s="479"/>
      <c r="QZP60" s="479"/>
      <c r="QZQ60" s="479"/>
      <c r="QZR60" s="479"/>
      <c r="QZS60" s="479"/>
      <c r="QZT60" s="479"/>
      <c r="QZU60" s="479"/>
      <c r="QZV60" s="479"/>
      <c r="QZW60" s="479"/>
      <c r="QZX60" s="479"/>
      <c r="QZY60" s="479"/>
      <c r="QZZ60" s="479"/>
      <c r="RAA60" s="479"/>
      <c r="RAB60" s="479"/>
      <c r="RAC60" s="479"/>
      <c r="RAD60" s="479"/>
      <c r="RAE60" s="479"/>
      <c r="RAF60" s="479"/>
      <c r="RAG60" s="479"/>
      <c r="RAH60" s="479"/>
      <c r="RAI60" s="479"/>
      <c r="RAJ60" s="479"/>
      <c r="RAK60" s="479"/>
      <c r="RAL60" s="479"/>
      <c r="RAM60" s="479"/>
      <c r="RAN60" s="479"/>
      <c r="RAO60" s="479"/>
      <c r="RAP60" s="479"/>
      <c r="RAQ60" s="479"/>
      <c r="RAR60" s="479"/>
      <c r="RAS60" s="479"/>
      <c r="RAT60" s="479"/>
      <c r="RAU60" s="479"/>
      <c r="RAV60" s="479"/>
      <c r="RAW60" s="479"/>
      <c r="RAX60" s="479"/>
      <c r="RAY60" s="479"/>
      <c r="RAZ60" s="479"/>
      <c r="RBA60" s="479"/>
      <c r="RBB60" s="479"/>
      <c r="RBC60" s="479"/>
      <c r="RBD60" s="479"/>
      <c r="RBE60" s="479"/>
      <c r="RBF60" s="479"/>
      <c r="RBG60" s="479"/>
      <c r="RBH60" s="479"/>
      <c r="RBI60" s="479"/>
      <c r="RBJ60" s="479"/>
      <c r="RBK60" s="479"/>
      <c r="RBL60" s="479"/>
      <c r="RBM60" s="479"/>
      <c r="RBN60" s="479"/>
      <c r="RBO60" s="479"/>
      <c r="RBP60" s="479"/>
      <c r="RBQ60" s="479"/>
      <c r="RBR60" s="479"/>
      <c r="RBS60" s="479"/>
      <c r="RBT60" s="479"/>
      <c r="RBU60" s="479"/>
      <c r="RBV60" s="479"/>
      <c r="RBW60" s="479"/>
      <c r="RBX60" s="479"/>
      <c r="RBY60" s="479"/>
      <c r="RBZ60" s="479"/>
      <c r="RCA60" s="479"/>
      <c r="RCB60" s="479"/>
      <c r="RCC60" s="479"/>
      <c r="RCD60" s="479"/>
      <c r="RCE60" s="479"/>
      <c r="RCF60" s="479"/>
      <c r="RCG60" s="479"/>
      <c r="RCH60" s="479"/>
      <c r="RCI60" s="479"/>
      <c r="RCJ60" s="479"/>
      <c r="RCK60" s="479"/>
      <c r="RCL60" s="479"/>
      <c r="RCM60" s="479"/>
      <c r="RCN60" s="479"/>
      <c r="RCO60" s="479"/>
      <c r="RCP60" s="479"/>
      <c r="RCQ60" s="479"/>
      <c r="RCR60" s="479"/>
      <c r="RCS60" s="479"/>
      <c r="RCT60" s="479"/>
      <c r="RCU60" s="479"/>
      <c r="RCV60" s="479"/>
      <c r="RCW60" s="479"/>
      <c r="RCX60" s="479"/>
      <c r="RCY60" s="479"/>
      <c r="RCZ60" s="479"/>
      <c r="RDA60" s="479"/>
      <c r="RDB60" s="479"/>
      <c r="RDC60" s="479"/>
      <c r="RDD60" s="479"/>
      <c r="RDE60" s="479"/>
      <c r="RDF60" s="479"/>
      <c r="RDG60" s="479"/>
      <c r="RDH60" s="479"/>
      <c r="RDI60" s="479"/>
      <c r="RDJ60" s="479"/>
      <c r="RDK60" s="479"/>
      <c r="RDL60" s="479"/>
      <c r="RDM60" s="479"/>
      <c r="RDN60" s="479"/>
      <c r="RDO60" s="479"/>
      <c r="RDP60" s="479"/>
      <c r="RDQ60" s="479"/>
      <c r="RDR60" s="479"/>
      <c r="RDS60" s="479"/>
      <c r="RDT60" s="479"/>
      <c r="RDU60" s="479"/>
      <c r="RDV60" s="479"/>
      <c r="RDW60" s="479"/>
      <c r="RDX60" s="479"/>
      <c r="RDY60" s="479"/>
      <c r="RDZ60" s="479"/>
      <c r="REA60" s="479"/>
      <c r="REB60" s="479"/>
      <c r="REC60" s="479"/>
      <c r="RED60" s="479"/>
      <c r="REE60" s="479"/>
      <c r="REF60" s="479"/>
      <c r="REG60" s="479"/>
      <c r="REH60" s="479"/>
      <c r="REI60" s="479"/>
      <c r="REJ60" s="479"/>
      <c r="REK60" s="479"/>
      <c r="REL60" s="479"/>
      <c r="REM60" s="479"/>
      <c r="REN60" s="479"/>
      <c r="REO60" s="479"/>
      <c r="REP60" s="479"/>
      <c r="REQ60" s="479"/>
      <c r="RER60" s="479"/>
      <c r="RES60" s="479"/>
      <c r="RET60" s="479"/>
      <c r="REU60" s="479"/>
      <c r="REV60" s="479"/>
      <c r="REW60" s="479"/>
      <c r="REX60" s="479"/>
      <c r="REY60" s="479"/>
      <c r="REZ60" s="479"/>
      <c r="RFA60" s="479"/>
      <c r="RFB60" s="479"/>
      <c r="RFC60" s="479"/>
      <c r="RFD60" s="479"/>
      <c r="RFE60" s="479"/>
      <c r="RFF60" s="479"/>
      <c r="RFG60" s="479"/>
      <c r="RFH60" s="479"/>
      <c r="RFI60" s="479"/>
      <c r="RFJ60" s="479"/>
      <c r="RFK60" s="479"/>
      <c r="RFL60" s="479"/>
      <c r="RFM60" s="479"/>
      <c r="RFN60" s="479"/>
      <c r="RFO60" s="479"/>
      <c r="RFP60" s="479"/>
      <c r="RFQ60" s="479"/>
      <c r="RFR60" s="479"/>
      <c r="RFS60" s="479"/>
      <c r="RFT60" s="479"/>
      <c r="RFU60" s="479"/>
      <c r="RFV60" s="479"/>
      <c r="RFW60" s="479"/>
      <c r="RFX60" s="479"/>
      <c r="RFY60" s="479"/>
      <c r="RFZ60" s="479"/>
      <c r="RGA60" s="479"/>
      <c r="RGB60" s="479"/>
      <c r="RGC60" s="479"/>
      <c r="RGD60" s="479"/>
      <c r="RGE60" s="479"/>
      <c r="RGF60" s="479"/>
      <c r="RGG60" s="479"/>
      <c r="RGH60" s="479"/>
      <c r="RGI60" s="479"/>
      <c r="RGJ60" s="479"/>
      <c r="RGK60" s="479"/>
      <c r="RGL60" s="479"/>
      <c r="RGM60" s="479"/>
      <c r="RGN60" s="479"/>
      <c r="RGO60" s="479"/>
      <c r="RGP60" s="479"/>
      <c r="RGQ60" s="479"/>
      <c r="RGR60" s="479"/>
      <c r="RGS60" s="479"/>
      <c r="RGT60" s="479"/>
      <c r="RGU60" s="479"/>
      <c r="RGV60" s="479"/>
      <c r="RGW60" s="479"/>
      <c r="RGX60" s="479"/>
      <c r="RGY60" s="479"/>
      <c r="RGZ60" s="479"/>
      <c r="RHA60" s="479"/>
      <c r="RHB60" s="479"/>
      <c r="RHC60" s="479"/>
      <c r="RHD60" s="479"/>
      <c r="RHE60" s="479"/>
      <c r="RHF60" s="479"/>
      <c r="RHG60" s="479"/>
      <c r="RHH60" s="479"/>
      <c r="RHI60" s="479"/>
      <c r="RHJ60" s="479"/>
      <c r="RHK60" s="479"/>
      <c r="RHL60" s="479"/>
      <c r="RHM60" s="479"/>
      <c r="RHN60" s="479"/>
      <c r="RHO60" s="479"/>
      <c r="RHP60" s="479"/>
      <c r="RHQ60" s="479"/>
      <c r="RHR60" s="479"/>
      <c r="RHS60" s="479"/>
      <c r="RHT60" s="479"/>
      <c r="RHU60" s="479"/>
      <c r="RHV60" s="479"/>
      <c r="RHW60" s="479"/>
      <c r="RHX60" s="479"/>
      <c r="RHY60" s="479"/>
      <c r="RHZ60" s="479"/>
      <c r="RIA60" s="479"/>
      <c r="RIB60" s="479"/>
      <c r="RIC60" s="479"/>
      <c r="RID60" s="479"/>
      <c r="RIE60" s="479"/>
      <c r="RIF60" s="479"/>
      <c r="RIG60" s="479"/>
      <c r="RIH60" s="479"/>
      <c r="RII60" s="479"/>
      <c r="RIJ60" s="479"/>
      <c r="RIK60" s="479"/>
      <c r="RIL60" s="479"/>
      <c r="RIM60" s="479"/>
      <c r="RIN60" s="479"/>
      <c r="RIO60" s="479"/>
      <c r="RIP60" s="479"/>
      <c r="RIQ60" s="479"/>
      <c r="RIR60" s="479"/>
      <c r="RIS60" s="479"/>
      <c r="RIT60" s="479"/>
      <c r="RIU60" s="479"/>
      <c r="RIV60" s="479"/>
      <c r="RIW60" s="479"/>
      <c r="RIX60" s="479"/>
      <c r="RIY60" s="479"/>
      <c r="RIZ60" s="479"/>
      <c r="RJA60" s="479"/>
      <c r="RJB60" s="479"/>
      <c r="RJC60" s="479"/>
      <c r="RJD60" s="479"/>
      <c r="RJE60" s="479"/>
      <c r="RJF60" s="479"/>
      <c r="RJG60" s="479"/>
      <c r="RJH60" s="479"/>
      <c r="RJI60" s="479"/>
      <c r="RJJ60" s="479"/>
      <c r="RJK60" s="479"/>
      <c r="RJL60" s="479"/>
      <c r="RJM60" s="479"/>
      <c r="RJN60" s="479"/>
      <c r="RJO60" s="479"/>
      <c r="RJP60" s="479"/>
      <c r="RJQ60" s="479"/>
      <c r="RJR60" s="479"/>
      <c r="RJS60" s="479"/>
      <c r="RJT60" s="479"/>
      <c r="RJU60" s="479"/>
      <c r="RJV60" s="479"/>
      <c r="RJW60" s="479"/>
      <c r="RJX60" s="479"/>
      <c r="RJY60" s="479"/>
      <c r="RJZ60" s="479"/>
      <c r="RKA60" s="479"/>
      <c r="RKB60" s="479"/>
      <c r="RKC60" s="479"/>
      <c r="RKD60" s="479"/>
      <c r="RKE60" s="479"/>
      <c r="RKF60" s="479"/>
      <c r="RKG60" s="479"/>
      <c r="RKH60" s="479"/>
      <c r="RKI60" s="479"/>
      <c r="RKJ60" s="479"/>
      <c r="RKK60" s="479"/>
      <c r="RKL60" s="479"/>
      <c r="RKM60" s="479"/>
      <c r="RKN60" s="479"/>
      <c r="RKO60" s="479"/>
      <c r="RKP60" s="479"/>
      <c r="RKQ60" s="479"/>
      <c r="RKR60" s="479"/>
      <c r="RKS60" s="479"/>
      <c r="RKT60" s="479"/>
      <c r="RKU60" s="479"/>
      <c r="RKV60" s="479"/>
      <c r="RKW60" s="479"/>
      <c r="RKX60" s="479"/>
      <c r="RKY60" s="479"/>
      <c r="RKZ60" s="479"/>
      <c r="RLA60" s="479"/>
      <c r="RLB60" s="479"/>
      <c r="RLC60" s="479"/>
      <c r="RLD60" s="479"/>
      <c r="RLE60" s="479"/>
      <c r="RLF60" s="479"/>
      <c r="RLG60" s="479"/>
      <c r="RLH60" s="479"/>
      <c r="RLI60" s="479"/>
      <c r="RLJ60" s="479"/>
      <c r="RLK60" s="479"/>
      <c r="RLL60" s="479"/>
      <c r="RLM60" s="479"/>
      <c r="RLN60" s="479"/>
      <c r="RLO60" s="479"/>
      <c r="RLP60" s="479"/>
      <c r="RLQ60" s="479"/>
      <c r="RLR60" s="479"/>
      <c r="RLS60" s="479"/>
      <c r="RLT60" s="479"/>
      <c r="RLU60" s="479"/>
      <c r="RLV60" s="479"/>
      <c r="RLW60" s="479"/>
      <c r="RLX60" s="479"/>
      <c r="RLY60" s="479"/>
      <c r="RLZ60" s="479"/>
      <c r="RMA60" s="479"/>
      <c r="RMB60" s="479"/>
      <c r="RMC60" s="479"/>
      <c r="RMD60" s="479"/>
      <c r="RME60" s="479"/>
      <c r="RMF60" s="479"/>
      <c r="RMG60" s="479"/>
      <c r="RMH60" s="479"/>
      <c r="RMI60" s="479"/>
      <c r="RMJ60" s="479"/>
      <c r="RMK60" s="479"/>
      <c r="RML60" s="479"/>
      <c r="RMM60" s="479"/>
      <c r="RMN60" s="479"/>
      <c r="RMO60" s="479"/>
      <c r="RMP60" s="479"/>
      <c r="RMQ60" s="479"/>
      <c r="RMR60" s="479"/>
      <c r="RMS60" s="479"/>
      <c r="RMT60" s="479"/>
      <c r="RMU60" s="479"/>
      <c r="RMV60" s="479"/>
      <c r="RMW60" s="479"/>
      <c r="RMX60" s="479"/>
      <c r="RMY60" s="479"/>
      <c r="RMZ60" s="479"/>
      <c r="RNA60" s="479"/>
      <c r="RNB60" s="479"/>
      <c r="RNC60" s="479"/>
      <c r="RND60" s="479"/>
      <c r="RNE60" s="479"/>
      <c r="RNF60" s="479"/>
      <c r="RNG60" s="479"/>
      <c r="RNH60" s="479"/>
      <c r="RNI60" s="479"/>
      <c r="RNJ60" s="479"/>
      <c r="RNK60" s="479"/>
      <c r="RNL60" s="479"/>
      <c r="RNM60" s="479"/>
      <c r="RNN60" s="479"/>
      <c r="RNO60" s="479"/>
      <c r="RNP60" s="479"/>
      <c r="RNQ60" s="479"/>
      <c r="RNR60" s="479"/>
      <c r="RNS60" s="479"/>
      <c r="RNT60" s="479"/>
      <c r="RNU60" s="479"/>
      <c r="RNV60" s="479"/>
      <c r="RNW60" s="479"/>
      <c r="RNX60" s="479"/>
      <c r="RNY60" s="479"/>
      <c r="RNZ60" s="479"/>
      <c r="ROA60" s="479"/>
      <c r="ROB60" s="479"/>
      <c r="ROC60" s="479"/>
      <c r="ROD60" s="479"/>
      <c r="ROE60" s="479"/>
      <c r="ROF60" s="479"/>
      <c r="ROG60" s="479"/>
      <c r="ROH60" s="479"/>
      <c r="ROI60" s="479"/>
      <c r="ROJ60" s="479"/>
      <c r="ROK60" s="479"/>
      <c r="ROL60" s="479"/>
      <c r="ROM60" s="479"/>
      <c r="RON60" s="479"/>
      <c r="ROO60" s="479"/>
      <c r="ROP60" s="479"/>
      <c r="ROQ60" s="479"/>
      <c r="ROR60" s="479"/>
      <c r="ROS60" s="479"/>
      <c r="ROT60" s="479"/>
      <c r="ROU60" s="479"/>
      <c r="ROV60" s="479"/>
      <c r="ROW60" s="479"/>
      <c r="ROX60" s="479"/>
      <c r="ROY60" s="479"/>
      <c r="ROZ60" s="479"/>
      <c r="RPA60" s="479"/>
      <c r="RPB60" s="479"/>
      <c r="RPC60" s="479"/>
      <c r="RPD60" s="479"/>
      <c r="RPE60" s="479"/>
      <c r="RPF60" s="479"/>
      <c r="RPG60" s="479"/>
      <c r="RPH60" s="479"/>
      <c r="RPI60" s="479"/>
      <c r="RPJ60" s="479"/>
      <c r="RPK60" s="479"/>
      <c r="RPL60" s="479"/>
      <c r="RPM60" s="479"/>
      <c r="RPN60" s="479"/>
      <c r="RPO60" s="479"/>
      <c r="RPP60" s="479"/>
      <c r="RPQ60" s="479"/>
      <c r="RPR60" s="479"/>
      <c r="RPS60" s="479"/>
      <c r="RPT60" s="479"/>
      <c r="RPU60" s="479"/>
      <c r="RPV60" s="479"/>
      <c r="RPW60" s="479"/>
      <c r="RPX60" s="479"/>
      <c r="RPY60" s="479"/>
      <c r="RPZ60" s="479"/>
      <c r="RQA60" s="479"/>
      <c r="RQB60" s="479"/>
      <c r="RQC60" s="479"/>
      <c r="RQD60" s="479"/>
      <c r="RQE60" s="479"/>
      <c r="RQF60" s="479"/>
      <c r="RQG60" s="479"/>
      <c r="RQH60" s="479"/>
      <c r="RQI60" s="479"/>
      <c r="RQJ60" s="479"/>
      <c r="RQK60" s="479"/>
      <c r="RQL60" s="479"/>
      <c r="RQM60" s="479"/>
      <c r="RQN60" s="479"/>
      <c r="RQO60" s="479"/>
      <c r="RQP60" s="479"/>
      <c r="RQQ60" s="479"/>
      <c r="RQR60" s="479"/>
      <c r="RQS60" s="479"/>
      <c r="RQT60" s="479"/>
      <c r="RQU60" s="479"/>
      <c r="RQV60" s="479"/>
      <c r="RQW60" s="479"/>
      <c r="RQX60" s="479"/>
      <c r="RQY60" s="479"/>
      <c r="RQZ60" s="479"/>
      <c r="RRA60" s="479"/>
      <c r="RRB60" s="479"/>
      <c r="RRC60" s="479"/>
      <c r="RRD60" s="479"/>
      <c r="RRE60" s="479"/>
      <c r="RRF60" s="479"/>
      <c r="RRG60" s="479"/>
      <c r="RRH60" s="479"/>
      <c r="RRI60" s="479"/>
      <c r="RRJ60" s="479"/>
      <c r="RRK60" s="479"/>
      <c r="RRL60" s="479"/>
      <c r="RRM60" s="479"/>
      <c r="RRN60" s="479"/>
      <c r="RRO60" s="479"/>
      <c r="RRP60" s="479"/>
      <c r="RRQ60" s="479"/>
      <c r="RRR60" s="479"/>
      <c r="RRS60" s="479"/>
      <c r="RRT60" s="479"/>
      <c r="RRU60" s="479"/>
      <c r="RRV60" s="479"/>
      <c r="RRW60" s="479"/>
      <c r="RRX60" s="479"/>
      <c r="RRY60" s="479"/>
      <c r="RRZ60" s="479"/>
      <c r="RSA60" s="479"/>
      <c r="RSB60" s="479"/>
      <c r="RSC60" s="479"/>
      <c r="RSD60" s="479"/>
      <c r="RSE60" s="479"/>
      <c r="RSF60" s="479"/>
      <c r="RSG60" s="479"/>
      <c r="RSH60" s="479"/>
      <c r="RSI60" s="479"/>
      <c r="RSJ60" s="479"/>
      <c r="RSK60" s="479"/>
      <c r="RSL60" s="479"/>
      <c r="RSM60" s="479"/>
      <c r="RSN60" s="479"/>
      <c r="RSO60" s="479"/>
      <c r="RSP60" s="479"/>
      <c r="RSQ60" s="479"/>
      <c r="RSR60" s="479"/>
      <c r="RSS60" s="479"/>
      <c r="RST60" s="479"/>
      <c r="RSU60" s="479"/>
      <c r="RSV60" s="479"/>
      <c r="RSW60" s="479"/>
      <c r="RSX60" s="479"/>
      <c r="RSY60" s="479"/>
      <c r="RSZ60" s="479"/>
      <c r="RTA60" s="479"/>
      <c r="RTB60" s="479"/>
      <c r="RTC60" s="479"/>
      <c r="RTD60" s="479"/>
      <c r="RTE60" s="479"/>
      <c r="RTF60" s="479"/>
      <c r="RTG60" s="479"/>
      <c r="RTH60" s="479"/>
      <c r="RTI60" s="479"/>
      <c r="RTJ60" s="479"/>
      <c r="RTK60" s="479"/>
      <c r="RTL60" s="479"/>
      <c r="RTM60" s="479"/>
      <c r="RTN60" s="479"/>
      <c r="RTO60" s="479"/>
      <c r="RTP60" s="479"/>
      <c r="RTQ60" s="479"/>
      <c r="RTR60" s="479"/>
      <c r="RTS60" s="479"/>
      <c r="RTT60" s="479"/>
      <c r="RTU60" s="479"/>
      <c r="RTV60" s="479"/>
      <c r="RTW60" s="479"/>
      <c r="RTX60" s="479"/>
      <c r="RTY60" s="479"/>
      <c r="RTZ60" s="479"/>
      <c r="RUA60" s="479"/>
      <c r="RUB60" s="479"/>
      <c r="RUC60" s="479"/>
      <c r="RUD60" s="479"/>
      <c r="RUE60" s="479"/>
      <c r="RUF60" s="479"/>
      <c r="RUG60" s="479"/>
      <c r="RUH60" s="479"/>
      <c r="RUI60" s="479"/>
      <c r="RUJ60" s="479"/>
      <c r="RUK60" s="479"/>
      <c r="RUL60" s="479"/>
      <c r="RUM60" s="479"/>
      <c r="RUN60" s="479"/>
      <c r="RUO60" s="479"/>
      <c r="RUP60" s="479"/>
      <c r="RUQ60" s="479"/>
      <c r="RUR60" s="479"/>
      <c r="RUS60" s="479"/>
      <c r="RUT60" s="479"/>
      <c r="RUU60" s="479"/>
      <c r="RUV60" s="479"/>
      <c r="RUW60" s="479"/>
      <c r="RUX60" s="479"/>
      <c r="RUY60" s="479"/>
      <c r="RUZ60" s="479"/>
      <c r="RVA60" s="479"/>
      <c r="RVB60" s="479"/>
      <c r="RVC60" s="479"/>
      <c r="RVD60" s="479"/>
      <c r="RVE60" s="479"/>
      <c r="RVF60" s="479"/>
      <c r="RVG60" s="479"/>
      <c r="RVH60" s="479"/>
      <c r="RVI60" s="479"/>
      <c r="RVJ60" s="479"/>
      <c r="RVK60" s="479"/>
      <c r="RVL60" s="479"/>
      <c r="RVM60" s="479"/>
      <c r="RVN60" s="479"/>
      <c r="RVO60" s="479"/>
      <c r="RVP60" s="479"/>
      <c r="RVQ60" s="479"/>
      <c r="RVR60" s="479"/>
      <c r="RVS60" s="479"/>
      <c r="RVT60" s="479"/>
      <c r="RVU60" s="479"/>
      <c r="RVV60" s="479"/>
      <c r="RVW60" s="479"/>
      <c r="RVX60" s="479"/>
      <c r="RVY60" s="479"/>
      <c r="RVZ60" s="479"/>
      <c r="RWA60" s="479"/>
      <c r="RWB60" s="479"/>
      <c r="RWC60" s="479"/>
      <c r="RWD60" s="479"/>
      <c r="RWE60" s="479"/>
      <c r="RWF60" s="479"/>
      <c r="RWG60" s="479"/>
      <c r="RWH60" s="479"/>
      <c r="RWI60" s="479"/>
      <c r="RWJ60" s="479"/>
      <c r="RWK60" s="479"/>
      <c r="RWL60" s="479"/>
      <c r="RWM60" s="479"/>
      <c r="RWN60" s="479"/>
      <c r="RWO60" s="479"/>
      <c r="RWP60" s="479"/>
      <c r="RWQ60" s="479"/>
      <c r="RWR60" s="479"/>
      <c r="RWS60" s="479"/>
      <c r="RWT60" s="479"/>
      <c r="RWU60" s="479"/>
      <c r="RWV60" s="479"/>
      <c r="RWW60" s="479"/>
      <c r="RWX60" s="479"/>
      <c r="RWY60" s="479"/>
      <c r="RWZ60" s="479"/>
      <c r="RXA60" s="479"/>
      <c r="RXB60" s="479"/>
      <c r="RXC60" s="479"/>
      <c r="RXD60" s="479"/>
      <c r="RXE60" s="479"/>
      <c r="RXF60" s="479"/>
      <c r="RXG60" s="479"/>
      <c r="RXH60" s="479"/>
      <c r="RXI60" s="479"/>
      <c r="RXJ60" s="479"/>
      <c r="RXK60" s="479"/>
      <c r="RXL60" s="479"/>
      <c r="RXM60" s="479"/>
      <c r="RXN60" s="479"/>
      <c r="RXO60" s="479"/>
      <c r="RXP60" s="479"/>
      <c r="RXQ60" s="479"/>
      <c r="RXR60" s="479"/>
      <c r="RXS60" s="479"/>
      <c r="RXT60" s="479"/>
      <c r="RXU60" s="479"/>
      <c r="RXV60" s="479"/>
      <c r="RXW60" s="479"/>
      <c r="RXX60" s="479"/>
      <c r="RXY60" s="479"/>
      <c r="RXZ60" s="479"/>
      <c r="RYA60" s="479"/>
      <c r="RYB60" s="479"/>
      <c r="RYC60" s="479"/>
      <c r="RYD60" s="479"/>
      <c r="RYE60" s="479"/>
      <c r="RYF60" s="479"/>
      <c r="RYG60" s="479"/>
      <c r="RYH60" s="479"/>
      <c r="RYI60" s="479"/>
      <c r="RYJ60" s="479"/>
      <c r="RYK60" s="479"/>
      <c r="RYL60" s="479"/>
      <c r="RYM60" s="479"/>
      <c r="RYN60" s="479"/>
      <c r="RYO60" s="479"/>
      <c r="RYP60" s="479"/>
      <c r="RYQ60" s="479"/>
      <c r="RYR60" s="479"/>
      <c r="RYS60" s="479"/>
      <c r="RYT60" s="479"/>
      <c r="RYU60" s="479"/>
      <c r="RYV60" s="479"/>
      <c r="RYW60" s="479"/>
      <c r="RYX60" s="479"/>
      <c r="RYY60" s="479"/>
      <c r="RYZ60" s="479"/>
      <c r="RZA60" s="479"/>
      <c r="RZB60" s="479"/>
      <c r="RZC60" s="479"/>
      <c r="RZD60" s="479"/>
      <c r="RZE60" s="479"/>
      <c r="RZF60" s="479"/>
      <c r="RZG60" s="479"/>
      <c r="RZH60" s="479"/>
      <c r="RZI60" s="479"/>
      <c r="RZJ60" s="479"/>
      <c r="RZK60" s="479"/>
      <c r="RZL60" s="479"/>
      <c r="RZM60" s="479"/>
      <c r="RZN60" s="479"/>
      <c r="RZO60" s="479"/>
      <c r="RZP60" s="479"/>
      <c r="RZQ60" s="479"/>
      <c r="RZR60" s="479"/>
      <c r="RZS60" s="479"/>
      <c r="RZT60" s="479"/>
      <c r="RZU60" s="479"/>
      <c r="RZV60" s="479"/>
      <c r="RZW60" s="479"/>
      <c r="RZX60" s="479"/>
      <c r="RZY60" s="479"/>
      <c r="RZZ60" s="479"/>
      <c r="SAA60" s="479"/>
      <c r="SAB60" s="479"/>
      <c r="SAC60" s="479"/>
      <c r="SAD60" s="479"/>
      <c r="SAE60" s="479"/>
      <c r="SAF60" s="479"/>
      <c r="SAG60" s="479"/>
      <c r="SAH60" s="479"/>
      <c r="SAI60" s="479"/>
      <c r="SAJ60" s="479"/>
      <c r="SAK60" s="479"/>
      <c r="SAL60" s="479"/>
      <c r="SAM60" s="479"/>
      <c r="SAN60" s="479"/>
      <c r="SAO60" s="479"/>
      <c r="SAP60" s="479"/>
      <c r="SAQ60" s="479"/>
      <c r="SAR60" s="479"/>
      <c r="SAS60" s="479"/>
      <c r="SAT60" s="479"/>
      <c r="SAU60" s="479"/>
      <c r="SAV60" s="479"/>
      <c r="SAW60" s="479"/>
      <c r="SAX60" s="479"/>
      <c r="SAY60" s="479"/>
      <c r="SAZ60" s="479"/>
      <c r="SBA60" s="479"/>
      <c r="SBB60" s="479"/>
      <c r="SBC60" s="479"/>
      <c r="SBD60" s="479"/>
      <c r="SBE60" s="479"/>
      <c r="SBF60" s="479"/>
      <c r="SBG60" s="479"/>
      <c r="SBH60" s="479"/>
      <c r="SBI60" s="479"/>
      <c r="SBJ60" s="479"/>
      <c r="SBK60" s="479"/>
      <c r="SBL60" s="479"/>
      <c r="SBM60" s="479"/>
      <c r="SBN60" s="479"/>
      <c r="SBO60" s="479"/>
      <c r="SBP60" s="479"/>
      <c r="SBQ60" s="479"/>
      <c r="SBR60" s="479"/>
      <c r="SBS60" s="479"/>
      <c r="SBT60" s="479"/>
      <c r="SBU60" s="479"/>
      <c r="SBV60" s="479"/>
      <c r="SBW60" s="479"/>
      <c r="SBX60" s="479"/>
      <c r="SBY60" s="479"/>
      <c r="SBZ60" s="479"/>
      <c r="SCA60" s="479"/>
      <c r="SCB60" s="479"/>
      <c r="SCC60" s="479"/>
      <c r="SCD60" s="479"/>
      <c r="SCE60" s="479"/>
      <c r="SCF60" s="479"/>
      <c r="SCG60" s="479"/>
      <c r="SCH60" s="479"/>
      <c r="SCI60" s="479"/>
      <c r="SCJ60" s="479"/>
      <c r="SCK60" s="479"/>
      <c r="SCL60" s="479"/>
      <c r="SCM60" s="479"/>
      <c r="SCN60" s="479"/>
      <c r="SCO60" s="479"/>
      <c r="SCP60" s="479"/>
      <c r="SCQ60" s="479"/>
      <c r="SCR60" s="479"/>
      <c r="SCS60" s="479"/>
      <c r="SCT60" s="479"/>
      <c r="SCU60" s="479"/>
      <c r="SCV60" s="479"/>
      <c r="SCW60" s="479"/>
      <c r="SCX60" s="479"/>
      <c r="SCY60" s="479"/>
      <c r="SCZ60" s="479"/>
      <c r="SDA60" s="479"/>
      <c r="SDB60" s="479"/>
      <c r="SDC60" s="479"/>
      <c r="SDD60" s="479"/>
      <c r="SDE60" s="479"/>
      <c r="SDF60" s="479"/>
      <c r="SDG60" s="479"/>
      <c r="SDH60" s="479"/>
      <c r="SDI60" s="479"/>
      <c r="SDJ60" s="479"/>
      <c r="SDK60" s="479"/>
      <c r="SDL60" s="479"/>
      <c r="SDM60" s="479"/>
      <c r="SDN60" s="479"/>
      <c r="SDO60" s="479"/>
      <c r="SDP60" s="479"/>
      <c r="SDQ60" s="479"/>
      <c r="SDR60" s="479"/>
      <c r="SDS60" s="479"/>
      <c r="SDT60" s="479"/>
      <c r="SDU60" s="479"/>
      <c r="SDV60" s="479"/>
      <c r="SDW60" s="479"/>
      <c r="SDX60" s="479"/>
      <c r="SDY60" s="479"/>
      <c r="SDZ60" s="479"/>
      <c r="SEA60" s="479"/>
      <c r="SEB60" s="479"/>
      <c r="SEC60" s="479"/>
      <c r="SED60" s="479"/>
      <c r="SEE60" s="479"/>
      <c r="SEF60" s="479"/>
      <c r="SEG60" s="479"/>
      <c r="SEH60" s="479"/>
      <c r="SEI60" s="479"/>
      <c r="SEJ60" s="479"/>
      <c r="SEK60" s="479"/>
      <c r="SEL60" s="479"/>
      <c r="SEM60" s="479"/>
      <c r="SEN60" s="479"/>
      <c r="SEO60" s="479"/>
      <c r="SEP60" s="479"/>
      <c r="SEQ60" s="479"/>
      <c r="SER60" s="479"/>
      <c r="SES60" s="479"/>
      <c r="SET60" s="479"/>
      <c r="SEU60" s="479"/>
      <c r="SEV60" s="479"/>
      <c r="SEW60" s="479"/>
      <c r="SEX60" s="479"/>
      <c r="SEY60" s="479"/>
      <c r="SEZ60" s="479"/>
      <c r="SFA60" s="479"/>
      <c r="SFB60" s="479"/>
      <c r="SFC60" s="479"/>
      <c r="SFD60" s="479"/>
      <c r="SFE60" s="479"/>
      <c r="SFF60" s="479"/>
      <c r="SFG60" s="479"/>
      <c r="SFH60" s="479"/>
      <c r="SFI60" s="479"/>
      <c r="SFJ60" s="479"/>
      <c r="SFK60" s="479"/>
      <c r="SFL60" s="479"/>
      <c r="SFM60" s="479"/>
      <c r="SFN60" s="479"/>
      <c r="SFO60" s="479"/>
      <c r="SFP60" s="479"/>
      <c r="SFQ60" s="479"/>
      <c r="SFR60" s="479"/>
      <c r="SFS60" s="479"/>
      <c r="SFT60" s="479"/>
      <c r="SFU60" s="479"/>
      <c r="SFV60" s="479"/>
      <c r="SFW60" s="479"/>
      <c r="SFX60" s="479"/>
      <c r="SFY60" s="479"/>
      <c r="SFZ60" s="479"/>
      <c r="SGA60" s="479"/>
      <c r="SGB60" s="479"/>
      <c r="SGC60" s="479"/>
      <c r="SGD60" s="479"/>
      <c r="SGE60" s="479"/>
      <c r="SGF60" s="479"/>
      <c r="SGG60" s="479"/>
      <c r="SGH60" s="479"/>
      <c r="SGI60" s="479"/>
      <c r="SGJ60" s="479"/>
      <c r="SGK60" s="479"/>
      <c r="SGL60" s="479"/>
      <c r="SGM60" s="479"/>
      <c r="SGN60" s="479"/>
      <c r="SGO60" s="479"/>
      <c r="SGP60" s="479"/>
      <c r="SGQ60" s="479"/>
      <c r="SGR60" s="479"/>
      <c r="SGS60" s="479"/>
      <c r="SGT60" s="479"/>
      <c r="SGU60" s="479"/>
      <c r="SGV60" s="479"/>
      <c r="SGW60" s="479"/>
      <c r="SGX60" s="479"/>
      <c r="SGY60" s="479"/>
      <c r="SGZ60" s="479"/>
      <c r="SHA60" s="479"/>
      <c r="SHB60" s="479"/>
      <c r="SHC60" s="479"/>
      <c r="SHD60" s="479"/>
      <c r="SHE60" s="479"/>
      <c r="SHF60" s="479"/>
      <c r="SHG60" s="479"/>
      <c r="SHH60" s="479"/>
      <c r="SHI60" s="479"/>
      <c r="SHJ60" s="479"/>
      <c r="SHK60" s="479"/>
      <c r="SHL60" s="479"/>
      <c r="SHM60" s="479"/>
      <c r="SHN60" s="479"/>
      <c r="SHO60" s="479"/>
      <c r="SHP60" s="479"/>
      <c r="SHQ60" s="479"/>
      <c r="SHR60" s="479"/>
      <c r="SHS60" s="479"/>
      <c r="SHT60" s="479"/>
      <c r="SHU60" s="479"/>
      <c r="SHV60" s="479"/>
      <c r="SHW60" s="479"/>
      <c r="SHX60" s="479"/>
      <c r="SHY60" s="479"/>
      <c r="SHZ60" s="479"/>
      <c r="SIA60" s="479"/>
      <c r="SIB60" s="479"/>
      <c r="SIC60" s="479"/>
      <c r="SID60" s="479"/>
      <c r="SIE60" s="479"/>
      <c r="SIF60" s="479"/>
      <c r="SIG60" s="479"/>
      <c r="SIH60" s="479"/>
      <c r="SII60" s="479"/>
      <c r="SIJ60" s="479"/>
      <c r="SIK60" s="479"/>
      <c r="SIL60" s="479"/>
      <c r="SIM60" s="479"/>
      <c r="SIN60" s="479"/>
      <c r="SIO60" s="479"/>
      <c r="SIP60" s="479"/>
      <c r="SIQ60" s="479"/>
      <c r="SIR60" s="479"/>
      <c r="SIS60" s="479"/>
      <c r="SIT60" s="479"/>
      <c r="SIU60" s="479"/>
      <c r="SIV60" s="479"/>
      <c r="SIW60" s="479"/>
      <c r="SIX60" s="479"/>
      <c r="SIY60" s="479"/>
      <c r="SIZ60" s="479"/>
      <c r="SJA60" s="479"/>
      <c r="SJB60" s="479"/>
      <c r="SJC60" s="479"/>
      <c r="SJD60" s="479"/>
      <c r="SJE60" s="479"/>
      <c r="SJF60" s="479"/>
      <c r="SJG60" s="479"/>
      <c r="SJH60" s="479"/>
      <c r="SJI60" s="479"/>
      <c r="SJJ60" s="479"/>
      <c r="SJK60" s="479"/>
      <c r="SJL60" s="479"/>
      <c r="SJM60" s="479"/>
      <c r="SJN60" s="479"/>
      <c r="SJO60" s="479"/>
      <c r="SJP60" s="479"/>
      <c r="SJQ60" s="479"/>
      <c r="SJR60" s="479"/>
      <c r="SJS60" s="479"/>
      <c r="SJT60" s="479"/>
      <c r="SJU60" s="479"/>
      <c r="SJV60" s="479"/>
      <c r="SJW60" s="479"/>
      <c r="SJX60" s="479"/>
      <c r="SJY60" s="479"/>
      <c r="SJZ60" s="479"/>
      <c r="SKA60" s="479"/>
      <c r="SKB60" s="479"/>
      <c r="SKC60" s="479"/>
      <c r="SKD60" s="479"/>
      <c r="SKE60" s="479"/>
      <c r="SKF60" s="479"/>
      <c r="SKG60" s="479"/>
      <c r="SKH60" s="479"/>
      <c r="SKI60" s="479"/>
      <c r="SKJ60" s="479"/>
      <c r="SKK60" s="479"/>
      <c r="SKL60" s="479"/>
      <c r="SKM60" s="479"/>
      <c r="SKN60" s="479"/>
      <c r="SKO60" s="479"/>
      <c r="SKP60" s="479"/>
      <c r="SKQ60" s="479"/>
      <c r="SKR60" s="479"/>
      <c r="SKS60" s="479"/>
      <c r="SKT60" s="479"/>
      <c r="SKU60" s="479"/>
      <c r="SKV60" s="479"/>
      <c r="SKW60" s="479"/>
      <c r="SKX60" s="479"/>
      <c r="SKY60" s="479"/>
      <c r="SKZ60" s="479"/>
      <c r="SLA60" s="479"/>
      <c r="SLB60" s="479"/>
      <c r="SLC60" s="479"/>
      <c r="SLD60" s="479"/>
      <c r="SLE60" s="479"/>
      <c r="SLF60" s="479"/>
      <c r="SLG60" s="479"/>
      <c r="SLH60" s="479"/>
      <c r="SLI60" s="479"/>
      <c r="SLJ60" s="479"/>
      <c r="SLK60" s="479"/>
      <c r="SLL60" s="479"/>
      <c r="SLM60" s="479"/>
      <c r="SLN60" s="479"/>
      <c r="SLO60" s="479"/>
      <c r="SLP60" s="479"/>
      <c r="SLQ60" s="479"/>
      <c r="SLR60" s="479"/>
      <c r="SLS60" s="479"/>
      <c r="SLT60" s="479"/>
      <c r="SLU60" s="479"/>
      <c r="SLV60" s="479"/>
      <c r="SLW60" s="479"/>
      <c r="SLX60" s="479"/>
      <c r="SLY60" s="479"/>
      <c r="SLZ60" s="479"/>
      <c r="SMA60" s="479"/>
      <c r="SMB60" s="479"/>
      <c r="SMC60" s="479"/>
      <c r="SMD60" s="479"/>
      <c r="SME60" s="479"/>
      <c r="SMF60" s="479"/>
      <c r="SMG60" s="479"/>
      <c r="SMH60" s="479"/>
      <c r="SMI60" s="479"/>
      <c r="SMJ60" s="479"/>
      <c r="SMK60" s="479"/>
      <c r="SML60" s="479"/>
      <c r="SMM60" s="479"/>
      <c r="SMN60" s="479"/>
      <c r="SMO60" s="479"/>
      <c r="SMP60" s="479"/>
      <c r="SMQ60" s="479"/>
      <c r="SMR60" s="479"/>
      <c r="SMS60" s="479"/>
      <c r="SMT60" s="479"/>
      <c r="SMU60" s="479"/>
      <c r="SMV60" s="479"/>
      <c r="SMW60" s="479"/>
      <c r="SMX60" s="479"/>
      <c r="SMY60" s="479"/>
      <c r="SMZ60" s="479"/>
      <c r="SNA60" s="479"/>
      <c r="SNB60" s="479"/>
      <c r="SNC60" s="479"/>
      <c r="SND60" s="479"/>
      <c r="SNE60" s="479"/>
      <c r="SNF60" s="479"/>
      <c r="SNG60" s="479"/>
      <c r="SNH60" s="479"/>
      <c r="SNI60" s="479"/>
      <c r="SNJ60" s="479"/>
      <c r="SNK60" s="479"/>
      <c r="SNL60" s="479"/>
      <c r="SNM60" s="479"/>
      <c r="SNN60" s="479"/>
      <c r="SNO60" s="479"/>
      <c r="SNP60" s="479"/>
      <c r="SNQ60" s="479"/>
      <c r="SNR60" s="479"/>
      <c r="SNS60" s="479"/>
      <c r="SNT60" s="479"/>
      <c r="SNU60" s="479"/>
      <c r="SNV60" s="479"/>
      <c r="SNW60" s="479"/>
      <c r="SNX60" s="479"/>
      <c r="SNY60" s="479"/>
      <c r="SNZ60" s="479"/>
      <c r="SOA60" s="479"/>
      <c r="SOB60" s="479"/>
      <c r="SOC60" s="479"/>
      <c r="SOD60" s="479"/>
      <c r="SOE60" s="479"/>
      <c r="SOF60" s="479"/>
      <c r="SOG60" s="479"/>
      <c r="SOH60" s="479"/>
      <c r="SOI60" s="479"/>
      <c r="SOJ60" s="479"/>
      <c r="SOK60" s="479"/>
      <c r="SOL60" s="479"/>
      <c r="SOM60" s="479"/>
      <c r="SON60" s="479"/>
      <c r="SOO60" s="479"/>
      <c r="SOP60" s="479"/>
      <c r="SOQ60" s="479"/>
      <c r="SOR60" s="479"/>
      <c r="SOS60" s="479"/>
      <c r="SOT60" s="479"/>
      <c r="SOU60" s="479"/>
      <c r="SOV60" s="479"/>
      <c r="SOW60" s="479"/>
      <c r="SOX60" s="479"/>
      <c r="SOY60" s="479"/>
      <c r="SOZ60" s="479"/>
      <c r="SPA60" s="479"/>
      <c r="SPB60" s="479"/>
      <c r="SPC60" s="479"/>
      <c r="SPD60" s="479"/>
      <c r="SPE60" s="479"/>
      <c r="SPF60" s="479"/>
      <c r="SPG60" s="479"/>
      <c r="SPH60" s="479"/>
      <c r="SPI60" s="479"/>
      <c r="SPJ60" s="479"/>
      <c r="SPK60" s="479"/>
      <c r="SPL60" s="479"/>
      <c r="SPM60" s="479"/>
      <c r="SPN60" s="479"/>
      <c r="SPO60" s="479"/>
      <c r="SPP60" s="479"/>
      <c r="SPQ60" s="479"/>
      <c r="SPR60" s="479"/>
      <c r="SPS60" s="479"/>
      <c r="SPT60" s="479"/>
      <c r="SPU60" s="479"/>
      <c r="SPV60" s="479"/>
      <c r="SPW60" s="479"/>
      <c r="SPX60" s="479"/>
      <c r="SPY60" s="479"/>
      <c r="SPZ60" s="479"/>
      <c r="SQA60" s="479"/>
      <c r="SQB60" s="479"/>
      <c r="SQC60" s="479"/>
      <c r="SQD60" s="479"/>
      <c r="SQE60" s="479"/>
      <c r="SQF60" s="479"/>
      <c r="SQG60" s="479"/>
      <c r="SQH60" s="479"/>
      <c r="SQI60" s="479"/>
      <c r="SQJ60" s="479"/>
      <c r="SQK60" s="479"/>
      <c r="SQL60" s="479"/>
      <c r="SQM60" s="479"/>
      <c r="SQN60" s="479"/>
      <c r="SQO60" s="479"/>
      <c r="SQP60" s="479"/>
      <c r="SQQ60" s="479"/>
      <c r="SQR60" s="479"/>
      <c r="SQS60" s="479"/>
      <c r="SQT60" s="479"/>
      <c r="SQU60" s="479"/>
      <c r="SQV60" s="479"/>
      <c r="SQW60" s="479"/>
      <c r="SQX60" s="479"/>
      <c r="SQY60" s="479"/>
      <c r="SQZ60" s="479"/>
      <c r="SRA60" s="479"/>
      <c r="SRB60" s="479"/>
      <c r="SRC60" s="479"/>
      <c r="SRD60" s="479"/>
      <c r="SRE60" s="479"/>
      <c r="SRF60" s="479"/>
      <c r="SRG60" s="479"/>
      <c r="SRH60" s="479"/>
      <c r="SRI60" s="479"/>
      <c r="SRJ60" s="479"/>
      <c r="SRK60" s="479"/>
      <c r="SRL60" s="479"/>
      <c r="SRM60" s="479"/>
      <c r="SRN60" s="479"/>
      <c r="SRO60" s="479"/>
      <c r="SRP60" s="479"/>
      <c r="SRQ60" s="479"/>
      <c r="SRR60" s="479"/>
      <c r="SRS60" s="479"/>
      <c r="SRT60" s="479"/>
      <c r="SRU60" s="479"/>
      <c r="SRV60" s="479"/>
      <c r="SRW60" s="479"/>
      <c r="SRX60" s="479"/>
      <c r="SRY60" s="479"/>
      <c r="SRZ60" s="479"/>
      <c r="SSA60" s="479"/>
      <c r="SSB60" s="479"/>
      <c r="SSC60" s="479"/>
      <c r="SSD60" s="479"/>
      <c r="SSE60" s="479"/>
      <c r="SSF60" s="479"/>
      <c r="SSG60" s="479"/>
      <c r="SSH60" s="479"/>
      <c r="SSI60" s="479"/>
      <c r="SSJ60" s="479"/>
      <c r="SSK60" s="479"/>
      <c r="SSL60" s="479"/>
      <c r="SSM60" s="479"/>
      <c r="SSN60" s="479"/>
      <c r="SSO60" s="479"/>
      <c r="SSP60" s="479"/>
      <c r="SSQ60" s="479"/>
      <c r="SSR60" s="479"/>
      <c r="SSS60" s="479"/>
      <c r="SST60" s="479"/>
      <c r="SSU60" s="479"/>
      <c r="SSV60" s="479"/>
      <c r="SSW60" s="479"/>
      <c r="SSX60" s="479"/>
      <c r="SSY60" s="479"/>
      <c r="SSZ60" s="479"/>
      <c r="STA60" s="479"/>
      <c r="STB60" s="479"/>
      <c r="STC60" s="479"/>
      <c r="STD60" s="479"/>
      <c r="STE60" s="479"/>
      <c r="STF60" s="479"/>
      <c r="STG60" s="479"/>
      <c r="STH60" s="479"/>
      <c r="STI60" s="479"/>
      <c r="STJ60" s="479"/>
      <c r="STK60" s="479"/>
      <c r="STL60" s="479"/>
      <c r="STM60" s="479"/>
      <c r="STN60" s="479"/>
      <c r="STO60" s="479"/>
      <c r="STP60" s="479"/>
      <c r="STQ60" s="479"/>
      <c r="STR60" s="479"/>
      <c r="STS60" s="479"/>
      <c r="STT60" s="479"/>
      <c r="STU60" s="479"/>
      <c r="STV60" s="479"/>
      <c r="STW60" s="479"/>
      <c r="STX60" s="479"/>
      <c r="STY60" s="479"/>
      <c r="STZ60" s="479"/>
      <c r="SUA60" s="479"/>
      <c r="SUB60" s="479"/>
      <c r="SUC60" s="479"/>
      <c r="SUD60" s="479"/>
      <c r="SUE60" s="479"/>
      <c r="SUF60" s="479"/>
      <c r="SUG60" s="479"/>
      <c r="SUH60" s="479"/>
      <c r="SUI60" s="479"/>
      <c r="SUJ60" s="479"/>
      <c r="SUK60" s="479"/>
      <c r="SUL60" s="479"/>
      <c r="SUM60" s="479"/>
      <c r="SUN60" s="479"/>
      <c r="SUO60" s="479"/>
      <c r="SUP60" s="479"/>
      <c r="SUQ60" s="479"/>
      <c r="SUR60" s="479"/>
      <c r="SUS60" s="479"/>
      <c r="SUT60" s="479"/>
      <c r="SUU60" s="479"/>
      <c r="SUV60" s="479"/>
      <c r="SUW60" s="479"/>
      <c r="SUX60" s="479"/>
      <c r="SUY60" s="479"/>
      <c r="SUZ60" s="479"/>
      <c r="SVA60" s="479"/>
      <c r="SVB60" s="479"/>
      <c r="SVC60" s="479"/>
      <c r="SVD60" s="479"/>
      <c r="SVE60" s="479"/>
      <c r="SVF60" s="479"/>
      <c r="SVG60" s="479"/>
      <c r="SVH60" s="479"/>
      <c r="SVI60" s="479"/>
      <c r="SVJ60" s="479"/>
      <c r="SVK60" s="479"/>
      <c r="SVL60" s="479"/>
      <c r="SVM60" s="479"/>
      <c r="SVN60" s="479"/>
      <c r="SVO60" s="479"/>
      <c r="SVP60" s="479"/>
      <c r="SVQ60" s="479"/>
      <c r="SVR60" s="479"/>
      <c r="SVS60" s="479"/>
      <c r="SVT60" s="479"/>
      <c r="SVU60" s="479"/>
      <c r="SVV60" s="479"/>
      <c r="SVW60" s="479"/>
      <c r="SVX60" s="479"/>
      <c r="SVY60" s="479"/>
      <c r="SVZ60" s="479"/>
      <c r="SWA60" s="479"/>
      <c r="SWB60" s="479"/>
      <c r="SWC60" s="479"/>
      <c r="SWD60" s="479"/>
      <c r="SWE60" s="479"/>
      <c r="SWF60" s="479"/>
      <c r="SWG60" s="479"/>
      <c r="SWH60" s="479"/>
      <c r="SWI60" s="479"/>
      <c r="SWJ60" s="479"/>
      <c r="SWK60" s="479"/>
      <c r="SWL60" s="479"/>
      <c r="SWM60" s="479"/>
      <c r="SWN60" s="479"/>
      <c r="SWO60" s="479"/>
      <c r="SWP60" s="479"/>
      <c r="SWQ60" s="479"/>
      <c r="SWR60" s="479"/>
      <c r="SWS60" s="479"/>
      <c r="SWT60" s="479"/>
      <c r="SWU60" s="479"/>
      <c r="SWV60" s="479"/>
      <c r="SWW60" s="479"/>
      <c r="SWX60" s="479"/>
      <c r="SWY60" s="479"/>
      <c r="SWZ60" s="479"/>
      <c r="SXA60" s="479"/>
      <c r="SXB60" s="479"/>
      <c r="SXC60" s="479"/>
      <c r="SXD60" s="479"/>
      <c r="SXE60" s="479"/>
      <c r="SXF60" s="479"/>
      <c r="SXG60" s="479"/>
      <c r="SXH60" s="479"/>
      <c r="SXI60" s="479"/>
      <c r="SXJ60" s="479"/>
      <c r="SXK60" s="479"/>
      <c r="SXL60" s="479"/>
      <c r="SXM60" s="479"/>
      <c r="SXN60" s="479"/>
      <c r="SXO60" s="479"/>
      <c r="SXP60" s="479"/>
      <c r="SXQ60" s="479"/>
      <c r="SXR60" s="479"/>
      <c r="SXS60" s="479"/>
      <c r="SXT60" s="479"/>
      <c r="SXU60" s="479"/>
      <c r="SXV60" s="479"/>
      <c r="SXW60" s="479"/>
      <c r="SXX60" s="479"/>
      <c r="SXY60" s="479"/>
      <c r="SXZ60" s="479"/>
      <c r="SYA60" s="479"/>
      <c r="SYB60" s="479"/>
      <c r="SYC60" s="479"/>
      <c r="SYD60" s="479"/>
      <c r="SYE60" s="479"/>
      <c r="SYF60" s="479"/>
      <c r="SYG60" s="479"/>
      <c r="SYH60" s="479"/>
      <c r="SYI60" s="479"/>
      <c r="SYJ60" s="479"/>
      <c r="SYK60" s="479"/>
      <c r="SYL60" s="479"/>
      <c r="SYM60" s="479"/>
      <c r="SYN60" s="479"/>
      <c r="SYO60" s="479"/>
      <c r="SYP60" s="479"/>
      <c r="SYQ60" s="479"/>
      <c r="SYR60" s="479"/>
      <c r="SYS60" s="479"/>
      <c r="SYT60" s="479"/>
      <c r="SYU60" s="479"/>
      <c r="SYV60" s="479"/>
      <c r="SYW60" s="479"/>
      <c r="SYX60" s="479"/>
      <c r="SYY60" s="479"/>
      <c r="SYZ60" s="479"/>
      <c r="SZA60" s="479"/>
      <c r="SZB60" s="479"/>
      <c r="SZC60" s="479"/>
      <c r="SZD60" s="479"/>
      <c r="SZE60" s="479"/>
      <c r="SZF60" s="479"/>
      <c r="SZG60" s="479"/>
      <c r="SZH60" s="479"/>
      <c r="SZI60" s="479"/>
      <c r="SZJ60" s="479"/>
      <c r="SZK60" s="479"/>
      <c r="SZL60" s="479"/>
      <c r="SZM60" s="479"/>
      <c r="SZN60" s="479"/>
      <c r="SZO60" s="479"/>
      <c r="SZP60" s="479"/>
      <c r="SZQ60" s="479"/>
      <c r="SZR60" s="479"/>
      <c r="SZS60" s="479"/>
      <c r="SZT60" s="479"/>
      <c r="SZU60" s="479"/>
      <c r="SZV60" s="479"/>
      <c r="SZW60" s="479"/>
      <c r="SZX60" s="479"/>
      <c r="SZY60" s="479"/>
      <c r="SZZ60" s="479"/>
      <c r="TAA60" s="479"/>
      <c r="TAB60" s="479"/>
      <c r="TAC60" s="479"/>
      <c r="TAD60" s="479"/>
      <c r="TAE60" s="479"/>
      <c r="TAF60" s="479"/>
      <c r="TAG60" s="479"/>
      <c r="TAH60" s="479"/>
      <c r="TAI60" s="479"/>
      <c r="TAJ60" s="479"/>
      <c r="TAK60" s="479"/>
      <c r="TAL60" s="479"/>
      <c r="TAM60" s="479"/>
      <c r="TAN60" s="479"/>
      <c r="TAO60" s="479"/>
      <c r="TAP60" s="479"/>
      <c r="TAQ60" s="479"/>
      <c r="TAR60" s="479"/>
      <c r="TAS60" s="479"/>
      <c r="TAT60" s="479"/>
      <c r="TAU60" s="479"/>
      <c r="TAV60" s="479"/>
      <c r="TAW60" s="479"/>
      <c r="TAX60" s="479"/>
      <c r="TAY60" s="479"/>
      <c r="TAZ60" s="479"/>
      <c r="TBA60" s="479"/>
      <c r="TBB60" s="479"/>
      <c r="TBC60" s="479"/>
      <c r="TBD60" s="479"/>
      <c r="TBE60" s="479"/>
      <c r="TBF60" s="479"/>
      <c r="TBG60" s="479"/>
      <c r="TBH60" s="479"/>
      <c r="TBI60" s="479"/>
      <c r="TBJ60" s="479"/>
      <c r="TBK60" s="479"/>
      <c r="TBL60" s="479"/>
      <c r="TBM60" s="479"/>
      <c r="TBN60" s="479"/>
      <c r="TBO60" s="479"/>
      <c r="TBP60" s="479"/>
      <c r="TBQ60" s="479"/>
      <c r="TBR60" s="479"/>
      <c r="TBS60" s="479"/>
      <c r="TBT60" s="479"/>
      <c r="TBU60" s="479"/>
      <c r="TBV60" s="479"/>
      <c r="TBW60" s="479"/>
      <c r="TBX60" s="479"/>
      <c r="TBY60" s="479"/>
      <c r="TBZ60" s="479"/>
      <c r="TCA60" s="479"/>
      <c r="TCB60" s="479"/>
      <c r="TCC60" s="479"/>
      <c r="TCD60" s="479"/>
      <c r="TCE60" s="479"/>
      <c r="TCF60" s="479"/>
      <c r="TCG60" s="479"/>
      <c r="TCH60" s="479"/>
      <c r="TCI60" s="479"/>
      <c r="TCJ60" s="479"/>
      <c r="TCK60" s="479"/>
      <c r="TCL60" s="479"/>
      <c r="TCM60" s="479"/>
      <c r="TCN60" s="479"/>
      <c r="TCO60" s="479"/>
      <c r="TCP60" s="479"/>
      <c r="TCQ60" s="479"/>
      <c r="TCR60" s="479"/>
      <c r="TCS60" s="479"/>
      <c r="TCT60" s="479"/>
      <c r="TCU60" s="479"/>
      <c r="TCV60" s="479"/>
      <c r="TCW60" s="479"/>
      <c r="TCX60" s="479"/>
      <c r="TCY60" s="479"/>
      <c r="TCZ60" s="479"/>
      <c r="TDA60" s="479"/>
      <c r="TDB60" s="479"/>
      <c r="TDC60" s="479"/>
      <c r="TDD60" s="479"/>
      <c r="TDE60" s="479"/>
      <c r="TDF60" s="479"/>
      <c r="TDG60" s="479"/>
      <c r="TDH60" s="479"/>
      <c r="TDI60" s="479"/>
      <c r="TDJ60" s="479"/>
      <c r="TDK60" s="479"/>
      <c r="TDL60" s="479"/>
      <c r="TDM60" s="479"/>
      <c r="TDN60" s="479"/>
      <c r="TDO60" s="479"/>
      <c r="TDP60" s="479"/>
      <c r="TDQ60" s="479"/>
      <c r="TDR60" s="479"/>
      <c r="TDS60" s="479"/>
      <c r="TDT60" s="479"/>
      <c r="TDU60" s="479"/>
      <c r="TDV60" s="479"/>
      <c r="TDW60" s="479"/>
      <c r="TDX60" s="479"/>
      <c r="TDY60" s="479"/>
      <c r="TDZ60" s="479"/>
      <c r="TEA60" s="479"/>
      <c r="TEB60" s="479"/>
      <c r="TEC60" s="479"/>
      <c r="TED60" s="479"/>
      <c r="TEE60" s="479"/>
      <c r="TEF60" s="479"/>
      <c r="TEG60" s="479"/>
      <c r="TEH60" s="479"/>
      <c r="TEI60" s="479"/>
      <c r="TEJ60" s="479"/>
      <c r="TEK60" s="479"/>
      <c r="TEL60" s="479"/>
      <c r="TEM60" s="479"/>
      <c r="TEN60" s="479"/>
      <c r="TEO60" s="479"/>
      <c r="TEP60" s="479"/>
      <c r="TEQ60" s="479"/>
      <c r="TER60" s="479"/>
      <c r="TES60" s="479"/>
      <c r="TET60" s="479"/>
      <c r="TEU60" s="479"/>
      <c r="TEV60" s="479"/>
      <c r="TEW60" s="479"/>
      <c r="TEX60" s="479"/>
      <c r="TEY60" s="479"/>
      <c r="TEZ60" s="479"/>
      <c r="TFA60" s="479"/>
      <c r="TFB60" s="479"/>
      <c r="TFC60" s="479"/>
      <c r="TFD60" s="479"/>
      <c r="TFE60" s="479"/>
      <c r="TFF60" s="479"/>
      <c r="TFG60" s="479"/>
      <c r="TFH60" s="479"/>
      <c r="TFI60" s="479"/>
      <c r="TFJ60" s="479"/>
      <c r="TFK60" s="479"/>
      <c r="TFL60" s="479"/>
      <c r="TFM60" s="479"/>
      <c r="TFN60" s="479"/>
      <c r="TFO60" s="479"/>
      <c r="TFP60" s="479"/>
      <c r="TFQ60" s="479"/>
      <c r="TFR60" s="479"/>
      <c r="TFS60" s="479"/>
      <c r="TFT60" s="479"/>
      <c r="TFU60" s="479"/>
      <c r="TFV60" s="479"/>
      <c r="TFW60" s="479"/>
      <c r="TFX60" s="479"/>
      <c r="TFY60" s="479"/>
      <c r="TFZ60" s="479"/>
      <c r="TGA60" s="479"/>
      <c r="TGB60" s="479"/>
      <c r="TGC60" s="479"/>
      <c r="TGD60" s="479"/>
      <c r="TGE60" s="479"/>
      <c r="TGF60" s="479"/>
      <c r="TGG60" s="479"/>
      <c r="TGH60" s="479"/>
      <c r="TGI60" s="479"/>
      <c r="TGJ60" s="479"/>
      <c r="TGK60" s="479"/>
      <c r="TGL60" s="479"/>
      <c r="TGM60" s="479"/>
      <c r="TGN60" s="479"/>
      <c r="TGO60" s="479"/>
      <c r="TGP60" s="479"/>
      <c r="TGQ60" s="479"/>
      <c r="TGR60" s="479"/>
      <c r="TGS60" s="479"/>
      <c r="TGT60" s="479"/>
      <c r="TGU60" s="479"/>
      <c r="TGV60" s="479"/>
      <c r="TGW60" s="479"/>
      <c r="TGX60" s="479"/>
      <c r="TGY60" s="479"/>
      <c r="TGZ60" s="479"/>
      <c r="THA60" s="479"/>
      <c r="THB60" s="479"/>
      <c r="THC60" s="479"/>
      <c r="THD60" s="479"/>
      <c r="THE60" s="479"/>
      <c r="THF60" s="479"/>
      <c r="THG60" s="479"/>
      <c r="THH60" s="479"/>
      <c r="THI60" s="479"/>
      <c r="THJ60" s="479"/>
      <c r="THK60" s="479"/>
      <c r="THL60" s="479"/>
      <c r="THM60" s="479"/>
      <c r="THN60" s="479"/>
      <c r="THO60" s="479"/>
      <c r="THP60" s="479"/>
      <c r="THQ60" s="479"/>
      <c r="THR60" s="479"/>
      <c r="THS60" s="479"/>
      <c r="THT60" s="479"/>
      <c r="THU60" s="479"/>
      <c r="THV60" s="479"/>
      <c r="THW60" s="479"/>
      <c r="THX60" s="479"/>
      <c r="THY60" s="479"/>
      <c r="THZ60" s="479"/>
      <c r="TIA60" s="479"/>
      <c r="TIB60" s="479"/>
      <c r="TIC60" s="479"/>
      <c r="TID60" s="479"/>
      <c r="TIE60" s="479"/>
      <c r="TIF60" s="479"/>
      <c r="TIG60" s="479"/>
      <c r="TIH60" s="479"/>
      <c r="TII60" s="479"/>
      <c r="TIJ60" s="479"/>
      <c r="TIK60" s="479"/>
      <c r="TIL60" s="479"/>
      <c r="TIM60" s="479"/>
      <c r="TIN60" s="479"/>
      <c r="TIO60" s="479"/>
      <c r="TIP60" s="479"/>
      <c r="TIQ60" s="479"/>
      <c r="TIR60" s="479"/>
      <c r="TIS60" s="479"/>
      <c r="TIT60" s="479"/>
      <c r="TIU60" s="479"/>
      <c r="TIV60" s="479"/>
      <c r="TIW60" s="479"/>
      <c r="TIX60" s="479"/>
      <c r="TIY60" s="479"/>
      <c r="TIZ60" s="479"/>
      <c r="TJA60" s="479"/>
      <c r="TJB60" s="479"/>
      <c r="TJC60" s="479"/>
      <c r="TJD60" s="479"/>
      <c r="TJE60" s="479"/>
      <c r="TJF60" s="479"/>
      <c r="TJG60" s="479"/>
      <c r="TJH60" s="479"/>
      <c r="TJI60" s="479"/>
      <c r="TJJ60" s="479"/>
      <c r="TJK60" s="479"/>
      <c r="TJL60" s="479"/>
      <c r="TJM60" s="479"/>
      <c r="TJN60" s="479"/>
      <c r="TJO60" s="479"/>
      <c r="TJP60" s="479"/>
      <c r="TJQ60" s="479"/>
      <c r="TJR60" s="479"/>
      <c r="TJS60" s="479"/>
      <c r="TJT60" s="479"/>
      <c r="TJU60" s="479"/>
      <c r="TJV60" s="479"/>
      <c r="TJW60" s="479"/>
      <c r="TJX60" s="479"/>
      <c r="TJY60" s="479"/>
      <c r="TJZ60" s="479"/>
      <c r="TKA60" s="479"/>
      <c r="TKB60" s="479"/>
      <c r="TKC60" s="479"/>
      <c r="TKD60" s="479"/>
      <c r="TKE60" s="479"/>
      <c r="TKF60" s="479"/>
      <c r="TKG60" s="479"/>
      <c r="TKH60" s="479"/>
      <c r="TKI60" s="479"/>
      <c r="TKJ60" s="479"/>
      <c r="TKK60" s="479"/>
      <c r="TKL60" s="479"/>
      <c r="TKM60" s="479"/>
      <c r="TKN60" s="479"/>
      <c r="TKO60" s="479"/>
      <c r="TKP60" s="479"/>
      <c r="TKQ60" s="479"/>
      <c r="TKR60" s="479"/>
      <c r="TKS60" s="479"/>
      <c r="TKT60" s="479"/>
      <c r="TKU60" s="479"/>
      <c r="TKV60" s="479"/>
      <c r="TKW60" s="479"/>
      <c r="TKX60" s="479"/>
      <c r="TKY60" s="479"/>
      <c r="TKZ60" s="479"/>
      <c r="TLA60" s="479"/>
      <c r="TLB60" s="479"/>
      <c r="TLC60" s="479"/>
      <c r="TLD60" s="479"/>
      <c r="TLE60" s="479"/>
      <c r="TLF60" s="479"/>
      <c r="TLG60" s="479"/>
      <c r="TLH60" s="479"/>
      <c r="TLI60" s="479"/>
      <c r="TLJ60" s="479"/>
      <c r="TLK60" s="479"/>
      <c r="TLL60" s="479"/>
      <c r="TLM60" s="479"/>
      <c r="TLN60" s="479"/>
      <c r="TLO60" s="479"/>
      <c r="TLP60" s="479"/>
      <c r="TLQ60" s="479"/>
      <c r="TLR60" s="479"/>
      <c r="TLS60" s="479"/>
      <c r="TLT60" s="479"/>
      <c r="TLU60" s="479"/>
      <c r="TLV60" s="479"/>
      <c r="TLW60" s="479"/>
      <c r="TLX60" s="479"/>
      <c r="TLY60" s="479"/>
      <c r="TLZ60" s="479"/>
      <c r="TMA60" s="479"/>
      <c r="TMB60" s="479"/>
      <c r="TMC60" s="479"/>
      <c r="TMD60" s="479"/>
      <c r="TME60" s="479"/>
      <c r="TMF60" s="479"/>
      <c r="TMG60" s="479"/>
      <c r="TMH60" s="479"/>
      <c r="TMI60" s="479"/>
      <c r="TMJ60" s="479"/>
      <c r="TMK60" s="479"/>
      <c r="TML60" s="479"/>
      <c r="TMM60" s="479"/>
      <c r="TMN60" s="479"/>
      <c r="TMO60" s="479"/>
      <c r="TMP60" s="479"/>
      <c r="TMQ60" s="479"/>
      <c r="TMR60" s="479"/>
      <c r="TMS60" s="479"/>
      <c r="TMT60" s="479"/>
      <c r="TMU60" s="479"/>
      <c r="TMV60" s="479"/>
      <c r="TMW60" s="479"/>
      <c r="TMX60" s="479"/>
      <c r="TMY60" s="479"/>
      <c r="TMZ60" s="479"/>
      <c r="TNA60" s="479"/>
      <c r="TNB60" s="479"/>
      <c r="TNC60" s="479"/>
      <c r="TND60" s="479"/>
      <c r="TNE60" s="479"/>
      <c r="TNF60" s="479"/>
      <c r="TNG60" s="479"/>
      <c r="TNH60" s="479"/>
      <c r="TNI60" s="479"/>
      <c r="TNJ60" s="479"/>
      <c r="TNK60" s="479"/>
      <c r="TNL60" s="479"/>
      <c r="TNM60" s="479"/>
      <c r="TNN60" s="479"/>
      <c r="TNO60" s="479"/>
      <c r="TNP60" s="479"/>
      <c r="TNQ60" s="479"/>
      <c r="TNR60" s="479"/>
      <c r="TNS60" s="479"/>
      <c r="TNT60" s="479"/>
      <c r="TNU60" s="479"/>
      <c r="TNV60" s="479"/>
      <c r="TNW60" s="479"/>
      <c r="TNX60" s="479"/>
      <c r="TNY60" s="479"/>
      <c r="TNZ60" s="479"/>
      <c r="TOA60" s="479"/>
      <c r="TOB60" s="479"/>
      <c r="TOC60" s="479"/>
      <c r="TOD60" s="479"/>
      <c r="TOE60" s="479"/>
      <c r="TOF60" s="479"/>
      <c r="TOG60" s="479"/>
      <c r="TOH60" s="479"/>
      <c r="TOI60" s="479"/>
      <c r="TOJ60" s="479"/>
      <c r="TOK60" s="479"/>
      <c r="TOL60" s="479"/>
      <c r="TOM60" s="479"/>
      <c r="TON60" s="479"/>
      <c r="TOO60" s="479"/>
      <c r="TOP60" s="479"/>
      <c r="TOQ60" s="479"/>
      <c r="TOR60" s="479"/>
      <c r="TOS60" s="479"/>
      <c r="TOT60" s="479"/>
      <c r="TOU60" s="479"/>
      <c r="TOV60" s="479"/>
      <c r="TOW60" s="479"/>
      <c r="TOX60" s="479"/>
      <c r="TOY60" s="479"/>
      <c r="TOZ60" s="479"/>
      <c r="TPA60" s="479"/>
      <c r="TPB60" s="479"/>
      <c r="TPC60" s="479"/>
      <c r="TPD60" s="479"/>
      <c r="TPE60" s="479"/>
      <c r="TPF60" s="479"/>
      <c r="TPG60" s="479"/>
      <c r="TPH60" s="479"/>
      <c r="TPI60" s="479"/>
      <c r="TPJ60" s="479"/>
      <c r="TPK60" s="479"/>
      <c r="TPL60" s="479"/>
      <c r="TPM60" s="479"/>
      <c r="TPN60" s="479"/>
      <c r="TPO60" s="479"/>
      <c r="TPP60" s="479"/>
      <c r="TPQ60" s="479"/>
      <c r="TPR60" s="479"/>
      <c r="TPS60" s="479"/>
      <c r="TPT60" s="479"/>
      <c r="TPU60" s="479"/>
      <c r="TPV60" s="479"/>
      <c r="TPW60" s="479"/>
      <c r="TPX60" s="479"/>
      <c r="TPY60" s="479"/>
      <c r="TPZ60" s="479"/>
      <c r="TQA60" s="479"/>
      <c r="TQB60" s="479"/>
      <c r="TQC60" s="479"/>
      <c r="TQD60" s="479"/>
      <c r="TQE60" s="479"/>
      <c r="TQF60" s="479"/>
      <c r="TQG60" s="479"/>
      <c r="TQH60" s="479"/>
      <c r="TQI60" s="479"/>
      <c r="TQJ60" s="479"/>
      <c r="TQK60" s="479"/>
      <c r="TQL60" s="479"/>
      <c r="TQM60" s="479"/>
      <c r="TQN60" s="479"/>
      <c r="TQO60" s="479"/>
      <c r="TQP60" s="479"/>
      <c r="TQQ60" s="479"/>
      <c r="TQR60" s="479"/>
      <c r="TQS60" s="479"/>
      <c r="TQT60" s="479"/>
      <c r="TQU60" s="479"/>
      <c r="TQV60" s="479"/>
      <c r="TQW60" s="479"/>
      <c r="TQX60" s="479"/>
      <c r="TQY60" s="479"/>
      <c r="TQZ60" s="479"/>
      <c r="TRA60" s="479"/>
      <c r="TRB60" s="479"/>
      <c r="TRC60" s="479"/>
      <c r="TRD60" s="479"/>
      <c r="TRE60" s="479"/>
      <c r="TRF60" s="479"/>
      <c r="TRG60" s="479"/>
      <c r="TRH60" s="479"/>
      <c r="TRI60" s="479"/>
      <c r="TRJ60" s="479"/>
      <c r="TRK60" s="479"/>
      <c r="TRL60" s="479"/>
      <c r="TRM60" s="479"/>
      <c r="TRN60" s="479"/>
      <c r="TRO60" s="479"/>
      <c r="TRP60" s="479"/>
      <c r="TRQ60" s="479"/>
      <c r="TRR60" s="479"/>
      <c r="TRS60" s="479"/>
      <c r="TRT60" s="479"/>
      <c r="TRU60" s="479"/>
      <c r="TRV60" s="479"/>
      <c r="TRW60" s="479"/>
      <c r="TRX60" s="479"/>
      <c r="TRY60" s="479"/>
      <c r="TRZ60" s="479"/>
      <c r="TSA60" s="479"/>
      <c r="TSB60" s="479"/>
      <c r="TSC60" s="479"/>
      <c r="TSD60" s="479"/>
      <c r="TSE60" s="479"/>
      <c r="TSF60" s="479"/>
      <c r="TSG60" s="479"/>
      <c r="TSH60" s="479"/>
      <c r="TSI60" s="479"/>
      <c r="TSJ60" s="479"/>
      <c r="TSK60" s="479"/>
      <c r="TSL60" s="479"/>
      <c r="TSM60" s="479"/>
      <c r="TSN60" s="479"/>
      <c r="TSO60" s="479"/>
      <c r="TSP60" s="479"/>
      <c r="TSQ60" s="479"/>
      <c r="TSR60" s="479"/>
      <c r="TSS60" s="479"/>
      <c r="TST60" s="479"/>
      <c r="TSU60" s="479"/>
      <c r="TSV60" s="479"/>
      <c r="TSW60" s="479"/>
      <c r="TSX60" s="479"/>
      <c r="TSY60" s="479"/>
      <c r="TSZ60" s="479"/>
      <c r="TTA60" s="479"/>
      <c r="TTB60" s="479"/>
      <c r="TTC60" s="479"/>
      <c r="TTD60" s="479"/>
      <c r="TTE60" s="479"/>
      <c r="TTF60" s="479"/>
      <c r="TTG60" s="479"/>
      <c r="TTH60" s="479"/>
      <c r="TTI60" s="479"/>
      <c r="TTJ60" s="479"/>
      <c r="TTK60" s="479"/>
      <c r="TTL60" s="479"/>
      <c r="TTM60" s="479"/>
      <c r="TTN60" s="479"/>
      <c r="TTO60" s="479"/>
      <c r="TTP60" s="479"/>
      <c r="TTQ60" s="479"/>
      <c r="TTR60" s="479"/>
      <c r="TTS60" s="479"/>
      <c r="TTT60" s="479"/>
      <c r="TTU60" s="479"/>
      <c r="TTV60" s="479"/>
      <c r="TTW60" s="479"/>
      <c r="TTX60" s="479"/>
      <c r="TTY60" s="479"/>
      <c r="TTZ60" s="479"/>
      <c r="TUA60" s="479"/>
      <c r="TUB60" s="479"/>
      <c r="TUC60" s="479"/>
      <c r="TUD60" s="479"/>
      <c r="TUE60" s="479"/>
      <c r="TUF60" s="479"/>
      <c r="TUG60" s="479"/>
      <c r="TUH60" s="479"/>
      <c r="TUI60" s="479"/>
      <c r="TUJ60" s="479"/>
      <c r="TUK60" s="479"/>
      <c r="TUL60" s="479"/>
      <c r="TUM60" s="479"/>
      <c r="TUN60" s="479"/>
      <c r="TUO60" s="479"/>
      <c r="TUP60" s="479"/>
      <c r="TUQ60" s="479"/>
      <c r="TUR60" s="479"/>
      <c r="TUS60" s="479"/>
      <c r="TUT60" s="479"/>
      <c r="TUU60" s="479"/>
      <c r="TUV60" s="479"/>
      <c r="TUW60" s="479"/>
      <c r="TUX60" s="479"/>
      <c r="TUY60" s="479"/>
      <c r="TUZ60" s="479"/>
      <c r="TVA60" s="479"/>
      <c r="TVB60" s="479"/>
      <c r="TVC60" s="479"/>
      <c r="TVD60" s="479"/>
      <c r="TVE60" s="479"/>
      <c r="TVF60" s="479"/>
      <c r="TVG60" s="479"/>
      <c r="TVH60" s="479"/>
      <c r="TVI60" s="479"/>
      <c r="TVJ60" s="479"/>
      <c r="TVK60" s="479"/>
      <c r="TVL60" s="479"/>
      <c r="TVM60" s="479"/>
      <c r="TVN60" s="479"/>
      <c r="TVO60" s="479"/>
      <c r="TVP60" s="479"/>
      <c r="TVQ60" s="479"/>
      <c r="TVR60" s="479"/>
      <c r="TVS60" s="479"/>
      <c r="TVT60" s="479"/>
      <c r="TVU60" s="479"/>
      <c r="TVV60" s="479"/>
      <c r="TVW60" s="479"/>
      <c r="TVX60" s="479"/>
      <c r="TVY60" s="479"/>
      <c r="TVZ60" s="479"/>
      <c r="TWA60" s="479"/>
      <c r="TWB60" s="479"/>
      <c r="TWC60" s="479"/>
      <c r="TWD60" s="479"/>
      <c r="TWE60" s="479"/>
      <c r="TWF60" s="479"/>
      <c r="TWG60" s="479"/>
      <c r="TWH60" s="479"/>
      <c r="TWI60" s="479"/>
      <c r="TWJ60" s="479"/>
      <c r="TWK60" s="479"/>
      <c r="TWL60" s="479"/>
      <c r="TWM60" s="479"/>
      <c r="TWN60" s="479"/>
      <c r="TWO60" s="479"/>
      <c r="TWP60" s="479"/>
      <c r="TWQ60" s="479"/>
      <c r="TWR60" s="479"/>
      <c r="TWS60" s="479"/>
      <c r="TWT60" s="479"/>
      <c r="TWU60" s="479"/>
      <c r="TWV60" s="479"/>
      <c r="TWW60" s="479"/>
      <c r="TWX60" s="479"/>
      <c r="TWY60" s="479"/>
      <c r="TWZ60" s="479"/>
      <c r="TXA60" s="479"/>
      <c r="TXB60" s="479"/>
      <c r="TXC60" s="479"/>
      <c r="TXD60" s="479"/>
      <c r="TXE60" s="479"/>
      <c r="TXF60" s="479"/>
      <c r="TXG60" s="479"/>
      <c r="TXH60" s="479"/>
      <c r="TXI60" s="479"/>
      <c r="TXJ60" s="479"/>
      <c r="TXK60" s="479"/>
      <c r="TXL60" s="479"/>
      <c r="TXM60" s="479"/>
      <c r="TXN60" s="479"/>
      <c r="TXO60" s="479"/>
      <c r="TXP60" s="479"/>
      <c r="TXQ60" s="479"/>
      <c r="TXR60" s="479"/>
      <c r="TXS60" s="479"/>
      <c r="TXT60" s="479"/>
      <c r="TXU60" s="479"/>
      <c r="TXV60" s="479"/>
      <c r="TXW60" s="479"/>
      <c r="TXX60" s="479"/>
      <c r="TXY60" s="479"/>
      <c r="TXZ60" s="479"/>
      <c r="TYA60" s="479"/>
      <c r="TYB60" s="479"/>
      <c r="TYC60" s="479"/>
      <c r="TYD60" s="479"/>
      <c r="TYE60" s="479"/>
      <c r="TYF60" s="479"/>
      <c r="TYG60" s="479"/>
      <c r="TYH60" s="479"/>
      <c r="TYI60" s="479"/>
      <c r="TYJ60" s="479"/>
      <c r="TYK60" s="479"/>
      <c r="TYL60" s="479"/>
      <c r="TYM60" s="479"/>
      <c r="TYN60" s="479"/>
      <c r="TYO60" s="479"/>
      <c r="TYP60" s="479"/>
      <c r="TYQ60" s="479"/>
      <c r="TYR60" s="479"/>
      <c r="TYS60" s="479"/>
      <c r="TYT60" s="479"/>
      <c r="TYU60" s="479"/>
      <c r="TYV60" s="479"/>
      <c r="TYW60" s="479"/>
      <c r="TYX60" s="479"/>
      <c r="TYY60" s="479"/>
      <c r="TYZ60" s="479"/>
      <c r="TZA60" s="479"/>
      <c r="TZB60" s="479"/>
      <c r="TZC60" s="479"/>
      <c r="TZD60" s="479"/>
      <c r="TZE60" s="479"/>
      <c r="TZF60" s="479"/>
      <c r="TZG60" s="479"/>
      <c r="TZH60" s="479"/>
      <c r="TZI60" s="479"/>
      <c r="TZJ60" s="479"/>
      <c r="TZK60" s="479"/>
      <c r="TZL60" s="479"/>
      <c r="TZM60" s="479"/>
      <c r="TZN60" s="479"/>
      <c r="TZO60" s="479"/>
      <c r="TZP60" s="479"/>
      <c r="TZQ60" s="479"/>
      <c r="TZR60" s="479"/>
      <c r="TZS60" s="479"/>
      <c r="TZT60" s="479"/>
      <c r="TZU60" s="479"/>
      <c r="TZV60" s="479"/>
      <c r="TZW60" s="479"/>
      <c r="TZX60" s="479"/>
      <c r="TZY60" s="479"/>
      <c r="TZZ60" s="479"/>
      <c r="UAA60" s="479"/>
      <c r="UAB60" s="479"/>
      <c r="UAC60" s="479"/>
      <c r="UAD60" s="479"/>
      <c r="UAE60" s="479"/>
      <c r="UAF60" s="479"/>
      <c r="UAG60" s="479"/>
      <c r="UAH60" s="479"/>
      <c r="UAI60" s="479"/>
      <c r="UAJ60" s="479"/>
      <c r="UAK60" s="479"/>
      <c r="UAL60" s="479"/>
      <c r="UAM60" s="479"/>
      <c r="UAN60" s="479"/>
      <c r="UAO60" s="479"/>
      <c r="UAP60" s="479"/>
      <c r="UAQ60" s="479"/>
      <c r="UAR60" s="479"/>
      <c r="UAS60" s="479"/>
      <c r="UAT60" s="479"/>
      <c r="UAU60" s="479"/>
      <c r="UAV60" s="479"/>
      <c r="UAW60" s="479"/>
      <c r="UAX60" s="479"/>
      <c r="UAY60" s="479"/>
      <c r="UAZ60" s="479"/>
      <c r="UBA60" s="479"/>
      <c r="UBB60" s="479"/>
      <c r="UBC60" s="479"/>
      <c r="UBD60" s="479"/>
      <c r="UBE60" s="479"/>
      <c r="UBF60" s="479"/>
      <c r="UBG60" s="479"/>
      <c r="UBH60" s="479"/>
      <c r="UBI60" s="479"/>
      <c r="UBJ60" s="479"/>
      <c r="UBK60" s="479"/>
      <c r="UBL60" s="479"/>
      <c r="UBM60" s="479"/>
      <c r="UBN60" s="479"/>
      <c r="UBO60" s="479"/>
      <c r="UBP60" s="479"/>
      <c r="UBQ60" s="479"/>
      <c r="UBR60" s="479"/>
      <c r="UBS60" s="479"/>
      <c r="UBT60" s="479"/>
      <c r="UBU60" s="479"/>
      <c r="UBV60" s="479"/>
      <c r="UBW60" s="479"/>
      <c r="UBX60" s="479"/>
      <c r="UBY60" s="479"/>
      <c r="UBZ60" s="479"/>
      <c r="UCA60" s="479"/>
      <c r="UCB60" s="479"/>
      <c r="UCC60" s="479"/>
      <c r="UCD60" s="479"/>
      <c r="UCE60" s="479"/>
      <c r="UCF60" s="479"/>
      <c r="UCG60" s="479"/>
      <c r="UCH60" s="479"/>
      <c r="UCI60" s="479"/>
      <c r="UCJ60" s="479"/>
      <c r="UCK60" s="479"/>
      <c r="UCL60" s="479"/>
      <c r="UCM60" s="479"/>
      <c r="UCN60" s="479"/>
      <c r="UCO60" s="479"/>
      <c r="UCP60" s="479"/>
      <c r="UCQ60" s="479"/>
      <c r="UCR60" s="479"/>
      <c r="UCS60" s="479"/>
      <c r="UCT60" s="479"/>
      <c r="UCU60" s="479"/>
      <c r="UCV60" s="479"/>
      <c r="UCW60" s="479"/>
      <c r="UCX60" s="479"/>
      <c r="UCY60" s="479"/>
      <c r="UCZ60" s="479"/>
      <c r="UDA60" s="479"/>
      <c r="UDB60" s="479"/>
      <c r="UDC60" s="479"/>
      <c r="UDD60" s="479"/>
      <c r="UDE60" s="479"/>
      <c r="UDF60" s="479"/>
      <c r="UDG60" s="479"/>
      <c r="UDH60" s="479"/>
      <c r="UDI60" s="479"/>
      <c r="UDJ60" s="479"/>
      <c r="UDK60" s="479"/>
      <c r="UDL60" s="479"/>
      <c r="UDM60" s="479"/>
      <c r="UDN60" s="479"/>
      <c r="UDO60" s="479"/>
      <c r="UDP60" s="479"/>
      <c r="UDQ60" s="479"/>
      <c r="UDR60" s="479"/>
      <c r="UDS60" s="479"/>
      <c r="UDT60" s="479"/>
      <c r="UDU60" s="479"/>
      <c r="UDV60" s="479"/>
      <c r="UDW60" s="479"/>
      <c r="UDX60" s="479"/>
      <c r="UDY60" s="479"/>
      <c r="UDZ60" s="479"/>
      <c r="UEA60" s="479"/>
      <c r="UEB60" s="479"/>
      <c r="UEC60" s="479"/>
      <c r="UED60" s="479"/>
      <c r="UEE60" s="479"/>
      <c r="UEF60" s="479"/>
      <c r="UEG60" s="479"/>
      <c r="UEH60" s="479"/>
      <c r="UEI60" s="479"/>
      <c r="UEJ60" s="479"/>
      <c r="UEK60" s="479"/>
      <c r="UEL60" s="479"/>
      <c r="UEM60" s="479"/>
      <c r="UEN60" s="479"/>
      <c r="UEO60" s="479"/>
      <c r="UEP60" s="479"/>
      <c r="UEQ60" s="479"/>
      <c r="UER60" s="479"/>
      <c r="UES60" s="479"/>
      <c r="UET60" s="479"/>
      <c r="UEU60" s="479"/>
      <c r="UEV60" s="479"/>
      <c r="UEW60" s="479"/>
      <c r="UEX60" s="479"/>
      <c r="UEY60" s="479"/>
      <c r="UEZ60" s="479"/>
      <c r="UFA60" s="479"/>
      <c r="UFB60" s="479"/>
      <c r="UFC60" s="479"/>
      <c r="UFD60" s="479"/>
      <c r="UFE60" s="479"/>
      <c r="UFF60" s="479"/>
      <c r="UFG60" s="479"/>
      <c r="UFH60" s="479"/>
      <c r="UFI60" s="479"/>
      <c r="UFJ60" s="479"/>
      <c r="UFK60" s="479"/>
      <c r="UFL60" s="479"/>
      <c r="UFM60" s="479"/>
      <c r="UFN60" s="479"/>
      <c r="UFO60" s="479"/>
      <c r="UFP60" s="479"/>
      <c r="UFQ60" s="479"/>
      <c r="UFR60" s="479"/>
      <c r="UFS60" s="479"/>
      <c r="UFT60" s="479"/>
      <c r="UFU60" s="479"/>
      <c r="UFV60" s="479"/>
      <c r="UFW60" s="479"/>
      <c r="UFX60" s="479"/>
      <c r="UFY60" s="479"/>
      <c r="UFZ60" s="479"/>
      <c r="UGA60" s="479"/>
      <c r="UGB60" s="479"/>
      <c r="UGC60" s="479"/>
      <c r="UGD60" s="479"/>
      <c r="UGE60" s="479"/>
      <c r="UGF60" s="479"/>
      <c r="UGG60" s="479"/>
      <c r="UGH60" s="479"/>
      <c r="UGI60" s="479"/>
      <c r="UGJ60" s="479"/>
      <c r="UGK60" s="479"/>
      <c r="UGL60" s="479"/>
      <c r="UGM60" s="479"/>
      <c r="UGN60" s="479"/>
      <c r="UGO60" s="479"/>
      <c r="UGP60" s="479"/>
      <c r="UGQ60" s="479"/>
      <c r="UGR60" s="479"/>
      <c r="UGS60" s="479"/>
      <c r="UGT60" s="479"/>
      <c r="UGU60" s="479"/>
      <c r="UGV60" s="479"/>
      <c r="UGW60" s="479"/>
      <c r="UGX60" s="479"/>
      <c r="UGY60" s="479"/>
      <c r="UGZ60" s="479"/>
      <c r="UHA60" s="479"/>
      <c r="UHB60" s="479"/>
      <c r="UHC60" s="479"/>
      <c r="UHD60" s="479"/>
      <c r="UHE60" s="479"/>
      <c r="UHF60" s="479"/>
      <c r="UHG60" s="479"/>
      <c r="UHH60" s="479"/>
      <c r="UHI60" s="479"/>
      <c r="UHJ60" s="479"/>
      <c r="UHK60" s="479"/>
      <c r="UHL60" s="479"/>
      <c r="UHM60" s="479"/>
      <c r="UHN60" s="479"/>
      <c r="UHO60" s="479"/>
      <c r="UHP60" s="479"/>
      <c r="UHQ60" s="479"/>
      <c r="UHR60" s="479"/>
      <c r="UHS60" s="479"/>
      <c r="UHT60" s="479"/>
      <c r="UHU60" s="479"/>
      <c r="UHV60" s="479"/>
      <c r="UHW60" s="479"/>
      <c r="UHX60" s="479"/>
      <c r="UHY60" s="479"/>
      <c r="UHZ60" s="479"/>
      <c r="UIA60" s="479"/>
      <c r="UIB60" s="479"/>
      <c r="UIC60" s="479"/>
      <c r="UID60" s="479"/>
      <c r="UIE60" s="479"/>
      <c r="UIF60" s="479"/>
      <c r="UIG60" s="479"/>
      <c r="UIH60" s="479"/>
      <c r="UII60" s="479"/>
      <c r="UIJ60" s="479"/>
      <c r="UIK60" s="479"/>
      <c r="UIL60" s="479"/>
      <c r="UIM60" s="479"/>
      <c r="UIN60" s="479"/>
      <c r="UIO60" s="479"/>
      <c r="UIP60" s="479"/>
      <c r="UIQ60" s="479"/>
      <c r="UIR60" s="479"/>
      <c r="UIS60" s="479"/>
      <c r="UIT60" s="479"/>
      <c r="UIU60" s="479"/>
      <c r="UIV60" s="479"/>
      <c r="UIW60" s="479"/>
      <c r="UIX60" s="479"/>
      <c r="UIY60" s="479"/>
      <c r="UIZ60" s="479"/>
      <c r="UJA60" s="479"/>
      <c r="UJB60" s="479"/>
      <c r="UJC60" s="479"/>
      <c r="UJD60" s="479"/>
      <c r="UJE60" s="479"/>
      <c r="UJF60" s="479"/>
      <c r="UJG60" s="479"/>
      <c r="UJH60" s="479"/>
      <c r="UJI60" s="479"/>
      <c r="UJJ60" s="479"/>
      <c r="UJK60" s="479"/>
      <c r="UJL60" s="479"/>
      <c r="UJM60" s="479"/>
      <c r="UJN60" s="479"/>
      <c r="UJO60" s="479"/>
      <c r="UJP60" s="479"/>
      <c r="UJQ60" s="479"/>
      <c r="UJR60" s="479"/>
      <c r="UJS60" s="479"/>
      <c r="UJT60" s="479"/>
      <c r="UJU60" s="479"/>
      <c r="UJV60" s="479"/>
      <c r="UJW60" s="479"/>
      <c r="UJX60" s="479"/>
      <c r="UJY60" s="479"/>
      <c r="UJZ60" s="479"/>
      <c r="UKA60" s="479"/>
      <c r="UKB60" s="479"/>
      <c r="UKC60" s="479"/>
      <c r="UKD60" s="479"/>
      <c r="UKE60" s="479"/>
      <c r="UKF60" s="479"/>
      <c r="UKG60" s="479"/>
      <c r="UKH60" s="479"/>
      <c r="UKI60" s="479"/>
      <c r="UKJ60" s="479"/>
      <c r="UKK60" s="479"/>
      <c r="UKL60" s="479"/>
      <c r="UKM60" s="479"/>
      <c r="UKN60" s="479"/>
      <c r="UKO60" s="479"/>
      <c r="UKP60" s="479"/>
      <c r="UKQ60" s="479"/>
      <c r="UKR60" s="479"/>
      <c r="UKS60" s="479"/>
      <c r="UKT60" s="479"/>
      <c r="UKU60" s="479"/>
      <c r="UKV60" s="479"/>
      <c r="UKW60" s="479"/>
      <c r="UKX60" s="479"/>
      <c r="UKY60" s="479"/>
      <c r="UKZ60" s="479"/>
      <c r="ULA60" s="479"/>
      <c r="ULB60" s="479"/>
      <c r="ULC60" s="479"/>
      <c r="ULD60" s="479"/>
      <c r="ULE60" s="479"/>
      <c r="ULF60" s="479"/>
      <c r="ULG60" s="479"/>
      <c r="ULH60" s="479"/>
      <c r="ULI60" s="479"/>
      <c r="ULJ60" s="479"/>
      <c r="ULK60" s="479"/>
      <c r="ULL60" s="479"/>
      <c r="ULM60" s="479"/>
      <c r="ULN60" s="479"/>
      <c r="ULO60" s="479"/>
      <c r="ULP60" s="479"/>
      <c r="ULQ60" s="479"/>
      <c r="ULR60" s="479"/>
      <c r="ULS60" s="479"/>
      <c r="ULT60" s="479"/>
      <c r="ULU60" s="479"/>
      <c r="ULV60" s="479"/>
      <c r="ULW60" s="479"/>
      <c r="ULX60" s="479"/>
      <c r="ULY60" s="479"/>
      <c r="ULZ60" s="479"/>
      <c r="UMA60" s="479"/>
      <c r="UMB60" s="479"/>
      <c r="UMC60" s="479"/>
      <c r="UMD60" s="479"/>
      <c r="UME60" s="479"/>
      <c r="UMF60" s="479"/>
      <c r="UMG60" s="479"/>
      <c r="UMH60" s="479"/>
      <c r="UMI60" s="479"/>
      <c r="UMJ60" s="479"/>
      <c r="UMK60" s="479"/>
      <c r="UML60" s="479"/>
      <c r="UMM60" s="479"/>
      <c r="UMN60" s="479"/>
      <c r="UMO60" s="479"/>
      <c r="UMP60" s="479"/>
      <c r="UMQ60" s="479"/>
      <c r="UMR60" s="479"/>
      <c r="UMS60" s="479"/>
      <c r="UMT60" s="479"/>
      <c r="UMU60" s="479"/>
      <c r="UMV60" s="479"/>
      <c r="UMW60" s="479"/>
      <c r="UMX60" s="479"/>
      <c r="UMY60" s="479"/>
      <c r="UMZ60" s="479"/>
      <c r="UNA60" s="479"/>
      <c r="UNB60" s="479"/>
      <c r="UNC60" s="479"/>
      <c r="UND60" s="479"/>
      <c r="UNE60" s="479"/>
      <c r="UNF60" s="479"/>
      <c r="UNG60" s="479"/>
      <c r="UNH60" s="479"/>
      <c r="UNI60" s="479"/>
      <c r="UNJ60" s="479"/>
      <c r="UNK60" s="479"/>
      <c r="UNL60" s="479"/>
      <c r="UNM60" s="479"/>
      <c r="UNN60" s="479"/>
      <c r="UNO60" s="479"/>
      <c r="UNP60" s="479"/>
      <c r="UNQ60" s="479"/>
      <c r="UNR60" s="479"/>
      <c r="UNS60" s="479"/>
      <c r="UNT60" s="479"/>
      <c r="UNU60" s="479"/>
      <c r="UNV60" s="479"/>
      <c r="UNW60" s="479"/>
      <c r="UNX60" s="479"/>
      <c r="UNY60" s="479"/>
      <c r="UNZ60" s="479"/>
      <c r="UOA60" s="479"/>
      <c r="UOB60" s="479"/>
      <c r="UOC60" s="479"/>
      <c r="UOD60" s="479"/>
      <c r="UOE60" s="479"/>
      <c r="UOF60" s="479"/>
      <c r="UOG60" s="479"/>
      <c r="UOH60" s="479"/>
      <c r="UOI60" s="479"/>
      <c r="UOJ60" s="479"/>
      <c r="UOK60" s="479"/>
      <c r="UOL60" s="479"/>
      <c r="UOM60" s="479"/>
      <c r="UON60" s="479"/>
      <c r="UOO60" s="479"/>
      <c r="UOP60" s="479"/>
      <c r="UOQ60" s="479"/>
      <c r="UOR60" s="479"/>
      <c r="UOS60" s="479"/>
      <c r="UOT60" s="479"/>
      <c r="UOU60" s="479"/>
      <c r="UOV60" s="479"/>
      <c r="UOW60" s="479"/>
      <c r="UOX60" s="479"/>
      <c r="UOY60" s="479"/>
      <c r="UOZ60" s="479"/>
      <c r="UPA60" s="479"/>
      <c r="UPB60" s="479"/>
      <c r="UPC60" s="479"/>
      <c r="UPD60" s="479"/>
      <c r="UPE60" s="479"/>
      <c r="UPF60" s="479"/>
      <c r="UPG60" s="479"/>
      <c r="UPH60" s="479"/>
      <c r="UPI60" s="479"/>
      <c r="UPJ60" s="479"/>
      <c r="UPK60" s="479"/>
      <c r="UPL60" s="479"/>
      <c r="UPM60" s="479"/>
      <c r="UPN60" s="479"/>
      <c r="UPO60" s="479"/>
      <c r="UPP60" s="479"/>
      <c r="UPQ60" s="479"/>
      <c r="UPR60" s="479"/>
      <c r="UPS60" s="479"/>
      <c r="UPT60" s="479"/>
      <c r="UPU60" s="479"/>
      <c r="UPV60" s="479"/>
      <c r="UPW60" s="479"/>
      <c r="UPX60" s="479"/>
      <c r="UPY60" s="479"/>
      <c r="UPZ60" s="479"/>
      <c r="UQA60" s="479"/>
      <c r="UQB60" s="479"/>
      <c r="UQC60" s="479"/>
      <c r="UQD60" s="479"/>
      <c r="UQE60" s="479"/>
      <c r="UQF60" s="479"/>
      <c r="UQG60" s="479"/>
      <c r="UQH60" s="479"/>
      <c r="UQI60" s="479"/>
      <c r="UQJ60" s="479"/>
      <c r="UQK60" s="479"/>
      <c r="UQL60" s="479"/>
      <c r="UQM60" s="479"/>
      <c r="UQN60" s="479"/>
      <c r="UQO60" s="479"/>
      <c r="UQP60" s="479"/>
      <c r="UQQ60" s="479"/>
      <c r="UQR60" s="479"/>
      <c r="UQS60" s="479"/>
      <c r="UQT60" s="479"/>
      <c r="UQU60" s="479"/>
      <c r="UQV60" s="479"/>
      <c r="UQW60" s="479"/>
      <c r="UQX60" s="479"/>
      <c r="UQY60" s="479"/>
      <c r="UQZ60" s="479"/>
      <c r="URA60" s="479"/>
      <c r="URB60" s="479"/>
      <c r="URC60" s="479"/>
      <c r="URD60" s="479"/>
      <c r="URE60" s="479"/>
      <c r="URF60" s="479"/>
      <c r="URG60" s="479"/>
      <c r="URH60" s="479"/>
      <c r="URI60" s="479"/>
      <c r="URJ60" s="479"/>
      <c r="URK60" s="479"/>
      <c r="URL60" s="479"/>
      <c r="URM60" s="479"/>
      <c r="URN60" s="479"/>
      <c r="URO60" s="479"/>
      <c r="URP60" s="479"/>
      <c r="URQ60" s="479"/>
      <c r="URR60" s="479"/>
      <c r="URS60" s="479"/>
      <c r="URT60" s="479"/>
      <c r="URU60" s="479"/>
      <c r="URV60" s="479"/>
      <c r="URW60" s="479"/>
      <c r="URX60" s="479"/>
      <c r="URY60" s="479"/>
      <c r="URZ60" s="479"/>
      <c r="USA60" s="479"/>
      <c r="USB60" s="479"/>
      <c r="USC60" s="479"/>
      <c r="USD60" s="479"/>
      <c r="USE60" s="479"/>
      <c r="USF60" s="479"/>
      <c r="USG60" s="479"/>
      <c r="USH60" s="479"/>
      <c r="USI60" s="479"/>
      <c r="USJ60" s="479"/>
      <c r="USK60" s="479"/>
      <c r="USL60" s="479"/>
      <c r="USM60" s="479"/>
      <c r="USN60" s="479"/>
      <c r="USO60" s="479"/>
      <c r="USP60" s="479"/>
      <c r="USQ60" s="479"/>
      <c r="USR60" s="479"/>
      <c r="USS60" s="479"/>
      <c r="UST60" s="479"/>
      <c r="USU60" s="479"/>
      <c r="USV60" s="479"/>
      <c r="USW60" s="479"/>
      <c r="USX60" s="479"/>
      <c r="USY60" s="479"/>
      <c r="USZ60" s="479"/>
      <c r="UTA60" s="479"/>
      <c r="UTB60" s="479"/>
      <c r="UTC60" s="479"/>
      <c r="UTD60" s="479"/>
      <c r="UTE60" s="479"/>
      <c r="UTF60" s="479"/>
      <c r="UTG60" s="479"/>
      <c r="UTH60" s="479"/>
      <c r="UTI60" s="479"/>
      <c r="UTJ60" s="479"/>
      <c r="UTK60" s="479"/>
      <c r="UTL60" s="479"/>
      <c r="UTM60" s="479"/>
      <c r="UTN60" s="479"/>
      <c r="UTO60" s="479"/>
      <c r="UTP60" s="479"/>
      <c r="UTQ60" s="479"/>
      <c r="UTR60" s="479"/>
      <c r="UTS60" s="479"/>
      <c r="UTT60" s="479"/>
      <c r="UTU60" s="479"/>
      <c r="UTV60" s="479"/>
      <c r="UTW60" s="479"/>
      <c r="UTX60" s="479"/>
      <c r="UTY60" s="479"/>
      <c r="UTZ60" s="479"/>
      <c r="UUA60" s="479"/>
      <c r="UUB60" s="479"/>
      <c r="UUC60" s="479"/>
      <c r="UUD60" s="479"/>
      <c r="UUE60" s="479"/>
      <c r="UUF60" s="479"/>
      <c r="UUG60" s="479"/>
      <c r="UUH60" s="479"/>
      <c r="UUI60" s="479"/>
      <c r="UUJ60" s="479"/>
      <c r="UUK60" s="479"/>
      <c r="UUL60" s="479"/>
      <c r="UUM60" s="479"/>
      <c r="UUN60" s="479"/>
      <c r="UUO60" s="479"/>
      <c r="UUP60" s="479"/>
      <c r="UUQ60" s="479"/>
      <c r="UUR60" s="479"/>
      <c r="UUS60" s="479"/>
      <c r="UUT60" s="479"/>
      <c r="UUU60" s="479"/>
      <c r="UUV60" s="479"/>
      <c r="UUW60" s="479"/>
      <c r="UUX60" s="479"/>
      <c r="UUY60" s="479"/>
      <c r="UUZ60" s="479"/>
      <c r="UVA60" s="479"/>
      <c r="UVB60" s="479"/>
      <c r="UVC60" s="479"/>
      <c r="UVD60" s="479"/>
      <c r="UVE60" s="479"/>
      <c r="UVF60" s="479"/>
      <c r="UVG60" s="479"/>
      <c r="UVH60" s="479"/>
      <c r="UVI60" s="479"/>
      <c r="UVJ60" s="479"/>
      <c r="UVK60" s="479"/>
      <c r="UVL60" s="479"/>
      <c r="UVM60" s="479"/>
      <c r="UVN60" s="479"/>
      <c r="UVO60" s="479"/>
      <c r="UVP60" s="479"/>
      <c r="UVQ60" s="479"/>
      <c r="UVR60" s="479"/>
      <c r="UVS60" s="479"/>
      <c r="UVT60" s="479"/>
      <c r="UVU60" s="479"/>
      <c r="UVV60" s="479"/>
      <c r="UVW60" s="479"/>
      <c r="UVX60" s="479"/>
      <c r="UVY60" s="479"/>
      <c r="UVZ60" s="479"/>
      <c r="UWA60" s="479"/>
      <c r="UWB60" s="479"/>
      <c r="UWC60" s="479"/>
      <c r="UWD60" s="479"/>
      <c r="UWE60" s="479"/>
      <c r="UWF60" s="479"/>
      <c r="UWG60" s="479"/>
      <c r="UWH60" s="479"/>
      <c r="UWI60" s="479"/>
      <c r="UWJ60" s="479"/>
      <c r="UWK60" s="479"/>
      <c r="UWL60" s="479"/>
      <c r="UWM60" s="479"/>
      <c r="UWN60" s="479"/>
      <c r="UWO60" s="479"/>
      <c r="UWP60" s="479"/>
      <c r="UWQ60" s="479"/>
      <c r="UWR60" s="479"/>
      <c r="UWS60" s="479"/>
      <c r="UWT60" s="479"/>
      <c r="UWU60" s="479"/>
      <c r="UWV60" s="479"/>
      <c r="UWW60" s="479"/>
      <c r="UWX60" s="479"/>
      <c r="UWY60" s="479"/>
      <c r="UWZ60" s="479"/>
      <c r="UXA60" s="479"/>
      <c r="UXB60" s="479"/>
      <c r="UXC60" s="479"/>
      <c r="UXD60" s="479"/>
      <c r="UXE60" s="479"/>
      <c r="UXF60" s="479"/>
      <c r="UXG60" s="479"/>
      <c r="UXH60" s="479"/>
      <c r="UXI60" s="479"/>
      <c r="UXJ60" s="479"/>
      <c r="UXK60" s="479"/>
      <c r="UXL60" s="479"/>
      <c r="UXM60" s="479"/>
      <c r="UXN60" s="479"/>
      <c r="UXO60" s="479"/>
      <c r="UXP60" s="479"/>
      <c r="UXQ60" s="479"/>
      <c r="UXR60" s="479"/>
      <c r="UXS60" s="479"/>
      <c r="UXT60" s="479"/>
      <c r="UXU60" s="479"/>
      <c r="UXV60" s="479"/>
      <c r="UXW60" s="479"/>
      <c r="UXX60" s="479"/>
      <c r="UXY60" s="479"/>
      <c r="UXZ60" s="479"/>
      <c r="UYA60" s="479"/>
      <c r="UYB60" s="479"/>
      <c r="UYC60" s="479"/>
      <c r="UYD60" s="479"/>
      <c r="UYE60" s="479"/>
      <c r="UYF60" s="479"/>
      <c r="UYG60" s="479"/>
      <c r="UYH60" s="479"/>
      <c r="UYI60" s="479"/>
      <c r="UYJ60" s="479"/>
      <c r="UYK60" s="479"/>
      <c r="UYL60" s="479"/>
      <c r="UYM60" s="479"/>
      <c r="UYN60" s="479"/>
      <c r="UYO60" s="479"/>
      <c r="UYP60" s="479"/>
      <c r="UYQ60" s="479"/>
      <c r="UYR60" s="479"/>
      <c r="UYS60" s="479"/>
      <c r="UYT60" s="479"/>
      <c r="UYU60" s="479"/>
      <c r="UYV60" s="479"/>
      <c r="UYW60" s="479"/>
      <c r="UYX60" s="479"/>
      <c r="UYY60" s="479"/>
      <c r="UYZ60" s="479"/>
      <c r="UZA60" s="479"/>
      <c r="UZB60" s="479"/>
      <c r="UZC60" s="479"/>
      <c r="UZD60" s="479"/>
      <c r="UZE60" s="479"/>
      <c r="UZF60" s="479"/>
      <c r="UZG60" s="479"/>
      <c r="UZH60" s="479"/>
      <c r="UZI60" s="479"/>
      <c r="UZJ60" s="479"/>
      <c r="UZK60" s="479"/>
      <c r="UZL60" s="479"/>
      <c r="UZM60" s="479"/>
      <c r="UZN60" s="479"/>
      <c r="UZO60" s="479"/>
      <c r="UZP60" s="479"/>
      <c r="UZQ60" s="479"/>
      <c r="UZR60" s="479"/>
      <c r="UZS60" s="479"/>
      <c r="UZT60" s="479"/>
      <c r="UZU60" s="479"/>
      <c r="UZV60" s="479"/>
      <c r="UZW60" s="479"/>
      <c r="UZX60" s="479"/>
      <c r="UZY60" s="479"/>
      <c r="UZZ60" s="479"/>
      <c r="VAA60" s="479"/>
      <c r="VAB60" s="479"/>
      <c r="VAC60" s="479"/>
      <c r="VAD60" s="479"/>
      <c r="VAE60" s="479"/>
      <c r="VAF60" s="479"/>
      <c r="VAG60" s="479"/>
      <c r="VAH60" s="479"/>
      <c r="VAI60" s="479"/>
      <c r="VAJ60" s="479"/>
      <c r="VAK60" s="479"/>
      <c r="VAL60" s="479"/>
      <c r="VAM60" s="479"/>
      <c r="VAN60" s="479"/>
      <c r="VAO60" s="479"/>
      <c r="VAP60" s="479"/>
      <c r="VAQ60" s="479"/>
      <c r="VAR60" s="479"/>
      <c r="VAS60" s="479"/>
      <c r="VAT60" s="479"/>
      <c r="VAU60" s="479"/>
      <c r="VAV60" s="479"/>
      <c r="VAW60" s="479"/>
      <c r="VAX60" s="479"/>
      <c r="VAY60" s="479"/>
      <c r="VAZ60" s="479"/>
      <c r="VBA60" s="479"/>
      <c r="VBB60" s="479"/>
      <c r="VBC60" s="479"/>
      <c r="VBD60" s="479"/>
      <c r="VBE60" s="479"/>
      <c r="VBF60" s="479"/>
      <c r="VBG60" s="479"/>
      <c r="VBH60" s="479"/>
      <c r="VBI60" s="479"/>
      <c r="VBJ60" s="479"/>
      <c r="VBK60" s="479"/>
      <c r="VBL60" s="479"/>
      <c r="VBM60" s="479"/>
      <c r="VBN60" s="479"/>
      <c r="VBO60" s="479"/>
      <c r="VBP60" s="479"/>
      <c r="VBQ60" s="479"/>
      <c r="VBR60" s="479"/>
      <c r="VBS60" s="479"/>
      <c r="VBT60" s="479"/>
      <c r="VBU60" s="479"/>
      <c r="VBV60" s="479"/>
      <c r="VBW60" s="479"/>
      <c r="VBX60" s="479"/>
      <c r="VBY60" s="479"/>
      <c r="VBZ60" s="479"/>
      <c r="VCA60" s="479"/>
      <c r="VCB60" s="479"/>
      <c r="VCC60" s="479"/>
      <c r="VCD60" s="479"/>
      <c r="VCE60" s="479"/>
      <c r="VCF60" s="479"/>
      <c r="VCG60" s="479"/>
      <c r="VCH60" s="479"/>
      <c r="VCI60" s="479"/>
      <c r="VCJ60" s="479"/>
      <c r="VCK60" s="479"/>
      <c r="VCL60" s="479"/>
      <c r="VCM60" s="479"/>
      <c r="VCN60" s="479"/>
      <c r="VCO60" s="479"/>
      <c r="VCP60" s="479"/>
      <c r="VCQ60" s="479"/>
      <c r="VCR60" s="479"/>
      <c r="VCS60" s="479"/>
      <c r="VCT60" s="479"/>
      <c r="VCU60" s="479"/>
      <c r="VCV60" s="479"/>
      <c r="VCW60" s="479"/>
      <c r="VCX60" s="479"/>
      <c r="VCY60" s="479"/>
      <c r="VCZ60" s="479"/>
      <c r="VDA60" s="479"/>
      <c r="VDB60" s="479"/>
      <c r="VDC60" s="479"/>
      <c r="VDD60" s="479"/>
      <c r="VDE60" s="479"/>
      <c r="VDF60" s="479"/>
      <c r="VDG60" s="479"/>
      <c r="VDH60" s="479"/>
      <c r="VDI60" s="479"/>
      <c r="VDJ60" s="479"/>
      <c r="VDK60" s="479"/>
      <c r="VDL60" s="479"/>
      <c r="VDM60" s="479"/>
      <c r="VDN60" s="479"/>
      <c r="VDO60" s="479"/>
      <c r="VDP60" s="479"/>
      <c r="VDQ60" s="479"/>
      <c r="VDR60" s="479"/>
      <c r="VDS60" s="479"/>
      <c r="VDT60" s="479"/>
      <c r="VDU60" s="479"/>
      <c r="VDV60" s="479"/>
      <c r="VDW60" s="479"/>
      <c r="VDX60" s="479"/>
      <c r="VDY60" s="479"/>
      <c r="VDZ60" s="479"/>
      <c r="VEA60" s="479"/>
      <c r="VEB60" s="479"/>
      <c r="VEC60" s="479"/>
      <c r="VED60" s="479"/>
      <c r="VEE60" s="479"/>
      <c r="VEF60" s="479"/>
      <c r="VEG60" s="479"/>
      <c r="VEH60" s="479"/>
      <c r="VEI60" s="479"/>
      <c r="VEJ60" s="479"/>
      <c r="VEK60" s="479"/>
      <c r="VEL60" s="479"/>
      <c r="VEM60" s="479"/>
      <c r="VEN60" s="479"/>
      <c r="VEO60" s="479"/>
      <c r="VEP60" s="479"/>
      <c r="VEQ60" s="479"/>
      <c r="VER60" s="479"/>
      <c r="VES60" s="479"/>
      <c r="VET60" s="479"/>
      <c r="VEU60" s="479"/>
      <c r="VEV60" s="479"/>
      <c r="VEW60" s="479"/>
      <c r="VEX60" s="479"/>
      <c r="VEY60" s="479"/>
      <c r="VEZ60" s="479"/>
      <c r="VFA60" s="479"/>
      <c r="VFB60" s="479"/>
      <c r="VFC60" s="479"/>
      <c r="VFD60" s="479"/>
      <c r="VFE60" s="479"/>
      <c r="VFF60" s="479"/>
      <c r="VFG60" s="479"/>
      <c r="VFH60" s="479"/>
      <c r="VFI60" s="479"/>
      <c r="VFJ60" s="479"/>
      <c r="VFK60" s="479"/>
      <c r="VFL60" s="479"/>
      <c r="VFM60" s="479"/>
      <c r="VFN60" s="479"/>
      <c r="VFO60" s="479"/>
      <c r="VFP60" s="479"/>
      <c r="VFQ60" s="479"/>
      <c r="VFR60" s="479"/>
      <c r="VFS60" s="479"/>
      <c r="VFT60" s="479"/>
      <c r="VFU60" s="479"/>
      <c r="VFV60" s="479"/>
      <c r="VFW60" s="479"/>
      <c r="VFX60" s="479"/>
      <c r="VFY60" s="479"/>
      <c r="VFZ60" s="479"/>
      <c r="VGA60" s="479"/>
      <c r="VGB60" s="479"/>
      <c r="VGC60" s="479"/>
      <c r="VGD60" s="479"/>
      <c r="VGE60" s="479"/>
      <c r="VGF60" s="479"/>
      <c r="VGG60" s="479"/>
      <c r="VGH60" s="479"/>
      <c r="VGI60" s="479"/>
      <c r="VGJ60" s="479"/>
      <c r="VGK60" s="479"/>
      <c r="VGL60" s="479"/>
      <c r="VGM60" s="479"/>
      <c r="VGN60" s="479"/>
      <c r="VGO60" s="479"/>
      <c r="VGP60" s="479"/>
      <c r="VGQ60" s="479"/>
      <c r="VGR60" s="479"/>
      <c r="VGS60" s="479"/>
      <c r="VGT60" s="479"/>
      <c r="VGU60" s="479"/>
      <c r="VGV60" s="479"/>
      <c r="VGW60" s="479"/>
      <c r="VGX60" s="479"/>
      <c r="VGY60" s="479"/>
      <c r="VGZ60" s="479"/>
      <c r="VHA60" s="479"/>
      <c r="VHB60" s="479"/>
      <c r="VHC60" s="479"/>
      <c r="VHD60" s="479"/>
      <c r="VHE60" s="479"/>
      <c r="VHF60" s="479"/>
      <c r="VHG60" s="479"/>
      <c r="VHH60" s="479"/>
      <c r="VHI60" s="479"/>
      <c r="VHJ60" s="479"/>
      <c r="VHK60" s="479"/>
      <c r="VHL60" s="479"/>
      <c r="VHM60" s="479"/>
      <c r="VHN60" s="479"/>
      <c r="VHO60" s="479"/>
      <c r="VHP60" s="479"/>
      <c r="VHQ60" s="479"/>
      <c r="VHR60" s="479"/>
      <c r="VHS60" s="479"/>
      <c r="VHT60" s="479"/>
      <c r="VHU60" s="479"/>
      <c r="VHV60" s="479"/>
      <c r="VHW60" s="479"/>
      <c r="VHX60" s="479"/>
      <c r="VHY60" s="479"/>
      <c r="VHZ60" s="479"/>
      <c r="VIA60" s="479"/>
      <c r="VIB60" s="479"/>
      <c r="VIC60" s="479"/>
      <c r="VID60" s="479"/>
      <c r="VIE60" s="479"/>
      <c r="VIF60" s="479"/>
      <c r="VIG60" s="479"/>
      <c r="VIH60" s="479"/>
      <c r="VII60" s="479"/>
      <c r="VIJ60" s="479"/>
      <c r="VIK60" s="479"/>
      <c r="VIL60" s="479"/>
      <c r="VIM60" s="479"/>
      <c r="VIN60" s="479"/>
      <c r="VIO60" s="479"/>
      <c r="VIP60" s="479"/>
      <c r="VIQ60" s="479"/>
      <c r="VIR60" s="479"/>
      <c r="VIS60" s="479"/>
      <c r="VIT60" s="479"/>
      <c r="VIU60" s="479"/>
      <c r="VIV60" s="479"/>
      <c r="VIW60" s="479"/>
      <c r="VIX60" s="479"/>
      <c r="VIY60" s="479"/>
      <c r="VIZ60" s="479"/>
      <c r="VJA60" s="479"/>
      <c r="VJB60" s="479"/>
      <c r="VJC60" s="479"/>
      <c r="VJD60" s="479"/>
      <c r="VJE60" s="479"/>
      <c r="VJF60" s="479"/>
      <c r="VJG60" s="479"/>
      <c r="VJH60" s="479"/>
      <c r="VJI60" s="479"/>
      <c r="VJJ60" s="479"/>
      <c r="VJK60" s="479"/>
      <c r="VJL60" s="479"/>
      <c r="VJM60" s="479"/>
      <c r="VJN60" s="479"/>
      <c r="VJO60" s="479"/>
      <c r="VJP60" s="479"/>
      <c r="VJQ60" s="479"/>
      <c r="VJR60" s="479"/>
      <c r="VJS60" s="479"/>
      <c r="VJT60" s="479"/>
      <c r="VJU60" s="479"/>
      <c r="VJV60" s="479"/>
      <c r="VJW60" s="479"/>
      <c r="VJX60" s="479"/>
      <c r="VJY60" s="479"/>
      <c r="VJZ60" s="479"/>
      <c r="VKA60" s="479"/>
      <c r="VKB60" s="479"/>
      <c r="VKC60" s="479"/>
      <c r="VKD60" s="479"/>
      <c r="VKE60" s="479"/>
      <c r="VKF60" s="479"/>
      <c r="VKG60" s="479"/>
      <c r="VKH60" s="479"/>
      <c r="VKI60" s="479"/>
      <c r="VKJ60" s="479"/>
      <c r="VKK60" s="479"/>
      <c r="VKL60" s="479"/>
      <c r="VKM60" s="479"/>
      <c r="VKN60" s="479"/>
      <c r="VKO60" s="479"/>
      <c r="VKP60" s="479"/>
      <c r="VKQ60" s="479"/>
      <c r="VKR60" s="479"/>
      <c r="VKS60" s="479"/>
      <c r="VKT60" s="479"/>
      <c r="VKU60" s="479"/>
      <c r="VKV60" s="479"/>
      <c r="VKW60" s="479"/>
      <c r="VKX60" s="479"/>
      <c r="VKY60" s="479"/>
      <c r="VKZ60" s="479"/>
      <c r="VLA60" s="479"/>
      <c r="VLB60" s="479"/>
      <c r="VLC60" s="479"/>
      <c r="VLD60" s="479"/>
      <c r="VLE60" s="479"/>
      <c r="VLF60" s="479"/>
      <c r="VLG60" s="479"/>
      <c r="VLH60" s="479"/>
      <c r="VLI60" s="479"/>
      <c r="VLJ60" s="479"/>
      <c r="VLK60" s="479"/>
      <c r="VLL60" s="479"/>
      <c r="VLM60" s="479"/>
      <c r="VLN60" s="479"/>
      <c r="VLO60" s="479"/>
      <c r="VLP60" s="479"/>
      <c r="VLQ60" s="479"/>
      <c r="VLR60" s="479"/>
      <c r="VLS60" s="479"/>
      <c r="VLT60" s="479"/>
      <c r="VLU60" s="479"/>
      <c r="VLV60" s="479"/>
      <c r="VLW60" s="479"/>
      <c r="VLX60" s="479"/>
      <c r="VLY60" s="479"/>
      <c r="VLZ60" s="479"/>
      <c r="VMA60" s="479"/>
      <c r="VMB60" s="479"/>
      <c r="VMC60" s="479"/>
      <c r="VMD60" s="479"/>
      <c r="VME60" s="479"/>
      <c r="VMF60" s="479"/>
      <c r="VMG60" s="479"/>
      <c r="VMH60" s="479"/>
      <c r="VMI60" s="479"/>
      <c r="VMJ60" s="479"/>
      <c r="VMK60" s="479"/>
      <c r="VML60" s="479"/>
      <c r="VMM60" s="479"/>
      <c r="VMN60" s="479"/>
      <c r="VMO60" s="479"/>
      <c r="VMP60" s="479"/>
      <c r="VMQ60" s="479"/>
      <c r="VMR60" s="479"/>
      <c r="VMS60" s="479"/>
      <c r="VMT60" s="479"/>
      <c r="VMU60" s="479"/>
      <c r="VMV60" s="479"/>
      <c r="VMW60" s="479"/>
      <c r="VMX60" s="479"/>
      <c r="VMY60" s="479"/>
      <c r="VMZ60" s="479"/>
      <c r="VNA60" s="479"/>
      <c r="VNB60" s="479"/>
      <c r="VNC60" s="479"/>
      <c r="VND60" s="479"/>
      <c r="VNE60" s="479"/>
      <c r="VNF60" s="479"/>
      <c r="VNG60" s="479"/>
      <c r="VNH60" s="479"/>
      <c r="VNI60" s="479"/>
      <c r="VNJ60" s="479"/>
      <c r="VNK60" s="479"/>
      <c r="VNL60" s="479"/>
      <c r="VNM60" s="479"/>
      <c r="VNN60" s="479"/>
      <c r="VNO60" s="479"/>
      <c r="VNP60" s="479"/>
      <c r="VNQ60" s="479"/>
      <c r="VNR60" s="479"/>
      <c r="VNS60" s="479"/>
      <c r="VNT60" s="479"/>
      <c r="VNU60" s="479"/>
      <c r="VNV60" s="479"/>
      <c r="VNW60" s="479"/>
      <c r="VNX60" s="479"/>
      <c r="VNY60" s="479"/>
      <c r="VNZ60" s="479"/>
      <c r="VOA60" s="479"/>
      <c r="VOB60" s="479"/>
      <c r="VOC60" s="479"/>
      <c r="VOD60" s="479"/>
      <c r="VOE60" s="479"/>
      <c r="VOF60" s="479"/>
      <c r="VOG60" s="479"/>
      <c r="VOH60" s="479"/>
      <c r="VOI60" s="479"/>
      <c r="VOJ60" s="479"/>
      <c r="VOK60" s="479"/>
      <c r="VOL60" s="479"/>
      <c r="VOM60" s="479"/>
      <c r="VON60" s="479"/>
      <c r="VOO60" s="479"/>
      <c r="VOP60" s="479"/>
      <c r="VOQ60" s="479"/>
      <c r="VOR60" s="479"/>
      <c r="VOS60" s="479"/>
      <c r="VOT60" s="479"/>
      <c r="VOU60" s="479"/>
      <c r="VOV60" s="479"/>
      <c r="VOW60" s="479"/>
      <c r="VOX60" s="479"/>
      <c r="VOY60" s="479"/>
      <c r="VOZ60" s="479"/>
      <c r="VPA60" s="479"/>
      <c r="VPB60" s="479"/>
      <c r="VPC60" s="479"/>
      <c r="VPD60" s="479"/>
      <c r="VPE60" s="479"/>
      <c r="VPF60" s="479"/>
      <c r="VPG60" s="479"/>
      <c r="VPH60" s="479"/>
      <c r="VPI60" s="479"/>
      <c r="VPJ60" s="479"/>
      <c r="VPK60" s="479"/>
      <c r="VPL60" s="479"/>
      <c r="VPM60" s="479"/>
      <c r="VPN60" s="479"/>
      <c r="VPO60" s="479"/>
      <c r="VPP60" s="479"/>
      <c r="VPQ60" s="479"/>
      <c r="VPR60" s="479"/>
      <c r="VPS60" s="479"/>
      <c r="VPT60" s="479"/>
      <c r="VPU60" s="479"/>
      <c r="VPV60" s="479"/>
      <c r="VPW60" s="479"/>
      <c r="VPX60" s="479"/>
      <c r="VPY60" s="479"/>
      <c r="VPZ60" s="479"/>
      <c r="VQA60" s="479"/>
      <c r="VQB60" s="479"/>
      <c r="VQC60" s="479"/>
      <c r="VQD60" s="479"/>
      <c r="VQE60" s="479"/>
      <c r="VQF60" s="479"/>
      <c r="VQG60" s="479"/>
      <c r="VQH60" s="479"/>
      <c r="VQI60" s="479"/>
      <c r="VQJ60" s="479"/>
      <c r="VQK60" s="479"/>
      <c r="VQL60" s="479"/>
      <c r="VQM60" s="479"/>
      <c r="VQN60" s="479"/>
      <c r="VQO60" s="479"/>
      <c r="VQP60" s="479"/>
      <c r="VQQ60" s="479"/>
      <c r="VQR60" s="479"/>
      <c r="VQS60" s="479"/>
      <c r="VQT60" s="479"/>
      <c r="VQU60" s="479"/>
      <c r="VQV60" s="479"/>
      <c r="VQW60" s="479"/>
      <c r="VQX60" s="479"/>
      <c r="VQY60" s="479"/>
      <c r="VQZ60" s="479"/>
      <c r="VRA60" s="479"/>
      <c r="VRB60" s="479"/>
      <c r="VRC60" s="479"/>
      <c r="VRD60" s="479"/>
      <c r="VRE60" s="479"/>
      <c r="VRF60" s="479"/>
      <c r="VRG60" s="479"/>
      <c r="VRH60" s="479"/>
      <c r="VRI60" s="479"/>
      <c r="VRJ60" s="479"/>
      <c r="VRK60" s="479"/>
      <c r="VRL60" s="479"/>
      <c r="VRM60" s="479"/>
      <c r="VRN60" s="479"/>
      <c r="VRO60" s="479"/>
      <c r="VRP60" s="479"/>
      <c r="VRQ60" s="479"/>
      <c r="VRR60" s="479"/>
      <c r="VRS60" s="479"/>
      <c r="VRT60" s="479"/>
      <c r="VRU60" s="479"/>
      <c r="VRV60" s="479"/>
      <c r="VRW60" s="479"/>
      <c r="VRX60" s="479"/>
      <c r="VRY60" s="479"/>
      <c r="VRZ60" s="479"/>
      <c r="VSA60" s="479"/>
      <c r="VSB60" s="479"/>
      <c r="VSC60" s="479"/>
      <c r="VSD60" s="479"/>
      <c r="VSE60" s="479"/>
      <c r="VSF60" s="479"/>
      <c r="VSG60" s="479"/>
      <c r="VSH60" s="479"/>
      <c r="VSI60" s="479"/>
      <c r="VSJ60" s="479"/>
      <c r="VSK60" s="479"/>
      <c r="VSL60" s="479"/>
      <c r="VSM60" s="479"/>
      <c r="VSN60" s="479"/>
      <c r="VSO60" s="479"/>
      <c r="VSP60" s="479"/>
      <c r="VSQ60" s="479"/>
      <c r="VSR60" s="479"/>
      <c r="VSS60" s="479"/>
      <c r="VST60" s="479"/>
      <c r="VSU60" s="479"/>
      <c r="VSV60" s="479"/>
      <c r="VSW60" s="479"/>
      <c r="VSX60" s="479"/>
      <c r="VSY60" s="479"/>
      <c r="VSZ60" s="479"/>
      <c r="VTA60" s="479"/>
      <c r="VTB60" s="479"/>
      <c r="VTC60" s="479"/>
      <c r="VTD60" s="479"/>
      <c r="VTE60" s="479"/>
      <c r="VTF60" s="479"/>
      <c r="VTG60" s="479"/>
      <c r="VTH60" s="479"/>
      <c r="VTI60" s="479"/>
      <c r="VTJ60" s="479"/>
      <c r="VTK60" s="479"/>
      <c r="VTL60" s="479"/>
      <c r="VTM60" s="479"/>
      <c r="VTN60" s="479"/>
      <c r="VTO60" s="479"/>
      <c r="VTP60" s="479"/>
      <c r="VTQ60" s="479"/>
      <c r="VTR60" s="479"/>
      <c r="VTS60" s="479"/>
      <c r="VTT60" s="479"/>
      <c r="VTU60" s="479"/>
      <c r="VTV60" s="479"/>
      <c r="VTW60" s="479"/>
      <c r="VTX60" s="479"/>
      <c r="VTY60" s="479"/>
      <c r="VTZ60" s="479"/>
      <c r="VUA60" s="479"/>
      <c r="VUB60" s="479"/>
      <c r="VUC60" s="479"/>
      <c r="VUD60" s="479"/>
      <c r="VUE60" s="479"/>
      <c r="VUF60" s="479"/>
      <c r="VUG60" s="479"/>
      <c r="VUH60" s="479"/>
      <c r="VUI60" s="479"/>
      <c r="VUJ60" s="479"/>
      <c r="VUK60" s="479"/>
      <c r="VUL60" s="479"/>
      <c r="VUM60" s="479"/>
      <c r="VUN60" s="479"/>
      <c r="VUO60" s="479"/>
      <c r="VUP60" s="479"/>
      <c r="VUQ60" s="479"/>
      <c r="VUR60" s="479"/>
      <c r="VUS60" s="479"/>
      <c r="VUT60" s="479"/>
      <c r="VUU60" s="479"/>
      <c r="VUV60" s="479"/>
      <c r="VUW60" s="479"/>
      <c r="VUX60" s="479"/>
      <c r="VUY60" s="479"/>
      <c r="VUZ60" s="479"/>
      <c r="VVA60" s="479"/>
      <c r="VVB60" s="479"/>
      <c r="VVC60" s="479"/>
      <c r="VVD60" s="479"/>
      <c r="VVE60" s="479"/>
      <c r="VVF60" s="479"/>
      <c r="VVG60" s="479"/>
      <c r="VVH60" s="479"/>
      <c r="VVI60" s="479"/>
      <c r="VVJ60" s="479"/>
      <c r="VVK60" s="479"/>
      <c r="VVL60" s="479"/>
      <c r="VVM60" s="479"/>
      <c r="VVN60" s="479"/>
      <c r="VVO60" s="479"/>
      <c r="VVP60" s="479"/>
      <c r="VVQ60" s="479"/>
      <c r="VVR60" s="479"/>
      <c r="VVS60" s="479"/>
      <c r="VVT60" s="479"/>
      <c r="VVU60" s="479"/>
      <c r="VVV60" s="479"/>
      <c r="VVW60" s="479"/>
      <c r="VVX60" s="479"/>
      <c r="VVY60" s="479"/>
      <c r="VVZ60" s="479"/>
      <c r="VWA60" s="479"/>
      <c r="VWB60" s="479"/>
      <c r="VWC60" s="479"/>
      <c r="VWD60" s="479"/>
      <c r="VWE60" s="479"/>
      <c r="VWF60" s="479"/>
      <c r="VWG60" s="479"/>
      <c r="VWH60" s="479"/>
      <c r="VWI60" s="479"/>
      <c r="VWJ60" s="479"/>
      <c r="VWK60" s="479"/>
      <c r="VWL60" s="479"/>
      <c r="VWM60" s="479"/>
      <c r="VWN60" s="479"/>
      <c r="VWO60" s="479"/>
      <c r="VWP60" s="479"/>
      <c r="VWQ60" s="479"/>
      <c r="VWR60" s="479"/>
      <c r="VWS60" s="479"/>
      <c r="VWT60" s="479"/>
      <c r="VWU60" s="479"/>
      <c r="VWV60" s="479"/>
      <c r="VWW60" s="479"/>
      <c r="VWX60" s="479"/>
      <c r="VWY60" s="479"/>
      <c r="VWZ60" s="479"/>
      <c r="VXA60" s="479"/>
      <c r="VXB60" s="479"/>
      <c r="VXC60" s="479"/>
      <c r="VXD60" s="479"/>
      <c r="VXE60" s="479"/>
      <c r="VXF60" s="479"/>
      <c r="VXG60" s="479"/>
      <c r="VXH60" s="479"/>
      <c r="VXI60" s="479"/>
      <c r="VXJ60" s="479"/>
      <c r="VXK60" s="479"/>
      <c r="VXL60" s="479"/>
      <c r="VXM60" s="479"/>
      <c r="VXN60" s="479"/>
      <c r="VXO60" s="479"/>
      <c r="VXP60" s="479"/>
      <c r="VXQ60" s="479"/>
      <c r="VXR60" s="479"/>
      <c r="VXS60" s="479"/>
      <c r="VXT60" s="479"/>
      <c r="VXU60" s="479"/>
      <c r="VXV60" s="479"/>
      <c r="VXW60" s="479"/>
      <c r="VXX60" s="479"/>
      <c r="VXY60" s="479"/>
      <c r="VXZ60" s="479"/>
      <c r="VYA60" s="479"/>
      <c r="VYB60" s="479"/>
      <c r="VYC60" s="479"/>
      <c r="VYD60" s="479"/>
      <c r="VYE60" s="479"/>
      <c r="VYF60" s="479"/>
      <c r="VYG60" s="479"/>
      <c r="VYH60" s="479"/>
      <c r="VYI60" s="479"/>
      <c r="VYJ60" s="479"/>
      <c r="VYK60" s="479"/>
      <c r="VYL60" s="479"/>
      <c r="VYM60" s="479"/>
      <c r="VYN60" s="479"/>
      <c r="VYO60" s="479"/>
      <c r="VYP60" s="479"/>
      <c r="VYQ60" s="479"/>
      <c r="VYR60" s="479"/>
      <c r="VYS60" s="479"/>
      <c r="VYT60" s="479"/>
      <c r="VYU60" s="479"/>
      <c r="VYV60" s="479"/>
      <c r="VYW60" s="479"/>
      <c r="VYX60" s="479"/>
      <c r="VYY60" s="479"/>
      <c r="VYZ60" s="479"/>
      <c r="VZA60" s="479"/>
      <c r="VZB60" s="479"/>
      <c r="VZC60" s="479"/>
      <c r="VZD60" s="479"/>
      <c r="VZE60" s="479"/>
      <c r="VZF60" s="479"/>
      <c r="VZG60" s="479"/>
      <c r="VZH60" s="479"/>
      <c r="VZI60" s="479"/>
      <c r="VZJ60" s="479"/>
      <c r="VZK60" s="479"/>
      <c r="VZL60" s="479"/>
      <c r="VZM60" s="479"/>
      <c r="VZN60" s="479"/>
      <c r="VZO60" s="479"/>
      <c r="VZP60" s="479"/>
      <c r="VZQ60" s="479"/>
      <c r="VZR60" s="479"/>
      <c r="VZS60" s="479"/>
      <c r="VZT60" s="479"/>
      <c r="VZU60" s="479"/>
      <c r="VZV60" s="479"/>
      <c r="VZW60" s="479"/>
      <c r="VZX60" s="479"/>
      <c r="VZY60" s="479"/>
      <c r="VZZ60" s="479"/>
      <c r="WAA60" s="479"/>
      <c r="WAB60" s="479"/>
      <c r="WAC60" s="479"/>
      <c r="WAD60" s="479"/>
      <c r="WAE60" s="479"/>
      <c r="WAF60" s="479"/>
      <c r="WAG60" s="479"/>
      <c r="WAH60" s="479"/>
      <c r="WAI60" s="479"/>
      <c r="WAJ60" s="479"/>
      <c r="WAK60" s="479"/>
      <c r="WAL60" s="479"/>
      <c r="WAM60" s="479"/>
      <c r="WAN60" s="479"/>
      <c r="WAO60" s="479"/>
      <c r="WAP60" s="479"/>
      <c r="WAQ60" s="479"/>
      <c r="WAR60" s="479"/>
      <c r="WAS60" s="479"/>
      <c r="WAT60" s="479"/>
      <c r="WAU60" s="479"/>
      <c r="WAV60" s="479"/>
      <c r="WAW60" s="479"/>
      <c r="WAX60" s="479"/>
      <c r="WAY60" s="479"/>
      <c r="WAZ60" s="479"/>
      <c r="WBA60" s="479"/>
      <c r="WBB60" s="479"/>
      <c r="WBC60" s="479"/>
      <c r="WBD60" s="479"/>
      <c r="WBE60" s="479"/>
      <c r="WBF60" s="479"/>
      <c r="WBG60" s="479"/>
      <c r="WBH60" s="479"/>
      <c r="WBI60" s="479"/>
      <c r="WBJ60" s="479"/>
      <c r="WBK60" s="479"/>
      <c r="WBL60" s="479"/>
      <c r="WBM60" s="479"/>
      <c r="WBN60" s="479"/>
      <c r="WBO60" s="479"/>
      <c r="WBP60" s="479"/>
      <c r="WBQ60" s="479"/>
      <c r="WBR60" s="479"/>
      <c r="WBS60" s="479"/>
      <c r="WBT60" s="479"/>
      <c r="WBU60" s="479"/>
      <c r="WBV60" s="479"/>
      <c r="WBW60" s="479"/>
      <c r="WBX60" s="479"/>
      <c r="WBY60" s="479"/>
      <c r="WBZ60" s="479"/>
      <c r="WCA60" s="479"/>
      <c r="WCB60" s="479"/>
      <c r="WCC60" s="479"/>
      <c r="WCD60" s="479"/>
      <c r="WCE60" s="479"/>
      <c r="WCF60" s="479"/>
      <c r="WCG60" s="479"/>
      <c r="WCH60" s="479"/>
      <c r="WCI60" s="479"/>
      <c r="WCJ60" s="479"/>
      <c r="WCK60" s="479"/>
      <c r="WCL60" s="479"/>
      <c r="WCM60" s="479"/>
      <c r="WCN60" s="479"/>
      <c r="WCO60" s="479"/>
      <c r="WCP60" s="479"/>
      <c r="WCQ60" s="479"/>
      <c r="WCR60" s="479"/>
      <c r="WCS60" s="479"/>
      <c r="WCT60" s="479"/>
      <c r="WCU60" s="479"/>
      <c r="WCV60" s="479"/>
      <c r="WCW60" s="479"/>
      <c r="WCX60" s="479"/>
      <c r="WCY60" s="479"/>
      <c r="WCZ60" s="479"/>
      <c r="WDA60" s="479"/>
      <c r="WDB60" s="479"/>
      <c r="WDC60" s="479"/>
      <c r="WDD60" s="479"/>
      <c r="WDE60" s="479"/>
      <c r="WDF60" s="479"/>
      <c r="WDG60" s="479"/>
      <c r="WDH60" s="479"/>
      <c r="WDI60" s="479"/>
      <c r="WDJ60" s="479"/>
      <c r="WDK60" s="479"/>
      <c r="WDL60" s="479"/>
      <c r="WDM60" s="479"/>
      <c r="WDN60" s="479"/>
      <c r="WDO60" s="479"/>
      <c r="WDP60" s="479"/>
      <c r="WDQ60" s="479"/>
      <c r="WDR60" s="479"/>
      <c r="WDS60" s="479"/>
      <c r="WDT60" s="479"/>
      <c r="WDU60" s="479"/>
      <c r="WDV60" s="479"/>
      <c r="WDW60" s="479"/>
      <c r="WDX60" s="479"/>
      <c r="WDY60" s="479"/>
      <c r="WDZ60" s="479"/>
      <c r="WEA60" s="479"/>
      <c r="WEB60" s="479"/>
      <c r="WEC60" s="479"/>
      <c r="WED60" s="479"/>
      <c r="WEE60" s="479"/>
      <c r="WEF60" s="479"/>
      <c r="WEG60" s="479"/>
      <c r="WEH60" s="479"/>
      <c r="WEI60" s="479"/>
      <c r="WEJ60" s="479"/>
      <c r="WEK60" s="479"/>
      <c r="WEL60" s="479"/>
      <c r="WEM60" s="479"/>
      <c r="WEN60" s="479"/>
      <c r="WEO60" s="479"/>
      <c r="WEP60" s="479"/>
      <c r="WEQ60" s="479"/>
      <c r="WER60" s="479"/>
      <c r="WES60" s="479"/>
      <c r="WET60" s="479"/>
      <c r="WEU60" s="479"/>
      <c r="WEV60" s="479"/>
      <c r="WEW60" s="479"/>
      <c r="WEX60" s="479"/>
      <c r="WEY60" s="479"/>
      <c r="WEZ60" s="479"/>
      <c r="WFA60" s="479"/>
      <c r="WFB60" s="479"/>
      <c r="WFC60" s="479"/>
      <c r="WFD60" s="479"/>
      <c r="WFE60" s="479"/>
      <c r="WFF60" s="479"/>
      <c r="WFG60" s="479"/>
      <c r="WFH60" s="479"/>
      <c r="WFI60" s="479"/>
      <c r="WFJ60" s="479"/>
      <c r="WFK60" s="479"/>
      <c r="WFL60" s="479"/>
      <c r="WFM60" s="479"/>
      <c r="WFN60" s="479"/>
      <c r="WFO60" s="479"/>
      <c r="WFP60" s="479"/>
      <c r="WFQ60" s="479"/>
      <c r="WFR60" s="479"/>
      <c r="WFS60" s="479"/>
      <c r="WFT60" s="479"/>
      <c r="WFU60" s="479"/>
      <c r="WFV60" s="479"/>
      <c r="WFW60" s="479"/>
      <c r="WFX60" s="479"/>
      <c r="WFY60" s="479"/>
      <c r="WFZ60" s="479"/>
      <c r="WGA60" s="479"/>
      <c r="WGB60" s="479"/>
      <c r="WGC60" s="479"/>
      <c r="WGD60" s="479"/>
      <c r="WGE60" s="479"/>
      <c r="WGF60" s="479"/>
      <c r="WGG60" s="479"/>
      <c r="WGH60" s="479"/>
      <c r="WGI60" s="479"/>
      <c r="WGJ60" s="479"/>
      <c r="WGK60" s="479"/>
      <c r="WGL60" s="479"/>
      <c r="WGM60" s="479"/>
      <c r="WGN60" s="479"/>
      <c r="WGO60" s="479"/>
      <c r="WGP60" s="479"/>
      <c r="WGQ60" s="479"/>
      <c r="WGR60" s="479"/>
      <c r="WGS60" s="479"/>
      <c r="WGT60" s="479"/>
      <c r="WGU60" s="479"/>
      <c r="WGV60" s="479"/>
      <c r="WGW60" s="479"/>
      <c r="WGX60" s="479"/>
      <c r="WGY60" s="479"/>
      <c r="WGZ60" s="479"/>
      <c r="WHA60" s="479"/>
      <c r="WHB60" s="479"/>
      <c r="WHC60" s="479"/>
      <c r="WHD60" s="479"/>
      <c r="WHE60" s="479"/>
      <c r="WHF60" s="479"/>
      <c r="WHG60" s="479"/>
      <c r="WHH60" s="479"/>
      <c r="WHI60" s="479"/>
      <c r="WHJ60" s="479"/>
      <c r="WHK60" s="479"/>
      <c r="WHL60" s="479"/>
      <c r="WHM60" s="479"/>
      <c r="WHN60" s="479"/>
      <c r="WHO60" s="479"/>
      <c r="WHP60" s="479"/>
      <c r="WHQ60" s="479"/>
      <c r="WHR60" s="479"/>
      <c r="WHS60" s="479"/>
      <c r="WHT60" s="479"/>
      <c r="WHU60" s="479"/>
      <c r="WHV60" s="479"/>
      <c r="WHW60" s="479"/>
      <c r="WHX60" s="479"/>
      <c r="WHY60" s="479"/>
      <c r="WHZ60" s="479"/>
      <c r="WIA60" s="479"/>
      <c r="WIB60" s="479"/>
      <c r="WIC60" s="479"/>
      <c r="WID60" s="479"/>
      <c r="WIE60" s="479"/>
      <c r="WIF60" s="479"/>
      <c r="WIG60" s="479"/>
      <c r="WIH60" s="479"/>
      <c r="WII60" s="479"/>
      <c r="WIJ60" s="479"/>
      <c r="WIK60" s="479"/>
      <c r="WIL60" s="479"/>
      <c r="WIM60" s="479"/>
      <c r="WIN60" s="479"/>
      <c r="WIO60" s="479"/>
      <c r="WIP60" s="479"/>
      <c r="WIQ60" s="479"/>
      <c r="WIR60" s="479"/>
      <c r="WIS60" s="479"/>
      <c r="WIT60" s="479"/>
      <c r="WIU60" s="479"/>
      <c r="WIV60" s="479"/>
      <c r="WIW60" s="479"/>
      <c r="WIX60" s="479"/>
      <c r="WIY60" s="479"/>
      <c r="WIZ60" s="479"/>
      <c r="WJA60" s="479"/>
      <c r="WJB60" s="479"/>
      <c r="WJC60" s="479"/>
      <c r="WJD60" s="479"/>
      <c r="WJE60" s="479"/>
      <c r="WJF60" s="479"/>
      <c r="WJG60" s="479"/>
      <c r="WJH60" s="479"/>
      <c r="WJI60" s="479"/>
      <c r="WJJ60" s="479"/>
      <c r="WJK60" s="479"/>
      <c r="WJL60" s="479"/>
      <c r="WJM60" s="479"/>
      <c r="WJN60" s="479"/>
      <c r="WJO60" s="479"/>
      <c r="WJP60" s="479"/>
      <c r="WJQ60" s="479"/>
      <c r="WJR60" s="479"/>
      <c r="WJS60" s="479"/>
      <c r="WJT60" s="479"/>
      <c r="WJU60" s="479"/>
      <c r="WJV60" s="479"/>
      <c r="WJW60" s="479"/>
      <c r="WJX60" s="479"/>
      <c r="WJY60" s="479"/>
      <c r="WJZ60" s="479"/>
      <c r="WKA60" s="479"/>
      <c r="WKB60" s="479"/>
      <c r="WKC60" s="479"/>
      <c r="WKD60" s="479"/>
      <c r="WKE60" s="479"/>
      <c r="WKF60" s="479"/>
      <c r="WKG60" s="479"/>
      <c r="WKH60" s="479"/>
      <c r="WKI60" s="479"/>
      <c r="WKJ60" s="479"/>
      <c r="WKK60" s="479"/>
      <c r="WKL60" s="479"/>
      <c r="WKM60" s="479"/>
      <c r="WKN60" s="479"/>
      <c r="WKO60" s="479"/>
      <c r="WKP60" s="479"/>
      <c r="WKQ60" s="479"/>
      <c r="WKR60" s="479"/>
      <c r="WKS60" s="479"/>
      <c r="WKT60" s="479"/>
      <c r="WKU60" s="479"/>
      <c r="WKV60" s="479"/>
      <c r="WKW60" s="479"/>
      <c r="WKX60" s="479"/>
      <c r="WKY60" s="479"/>
      <c r="WKZ60" s="479"/>
      <c r="WLA60" s="479"/>
      <c r="WLB60" s="479"/>
      <c r="WLC60" s="479"/>
      <c r="WLD60" s="479"/>
      <c r="WLE60" s="479"/>
      <c r="WLF60" s="479"/>
      <c r="WLG60" s="479"/>
      <c r="WLH60" s="479"/>
      <c r="WLI60" s="479"/>
      <c r="WLJ60" s="479"/>
      <c r="WLK60" s="479"/>
      <c r="WLL60" s="479"/>
      <c r="WLM60" s="479"/>
      <c r="WLN60" s="479"/>
      <c r="WLO60" s="479"/>
      <c r="WLP60" s="479"/>
      <c r="WLQ60" s="479"/>
      <c r="WLR60" s="479"/>
      <c r="WLS60" s="479"/>
      <c r="WLT60" s="479"/>
      <c r="WLU60" s="479"/>
      <c r="WLV60" s="479"/>
      <c r="WLW60" s="479"/>
      <c r="WLX60" s="479"/>
      <c r="WLY60" s="479"/>
      <c r="WLZ60" s="479"/>
      <c r="WMA60" s="479"/>
      <c r="WMB60" s="479"/>
      <c r="WMC60" s="479"/>
      <c r="WMD60" s="479"/>
      <c r="WME60" s="479"/>
      <c r="WMF60" s="479"/>
      <c r="WMG60" s="479"/>
      <c r="WMH60" s="479"/>
      <c r="WMI60" s="479"/>
      <c r="WMJ60" s="479"/>
      <c r="WMK60" s="479"/>
      <c r="WML60" s="479"/>
      <c r="WMM60" s="479"/>
      <c r="WMN60" s="479"/>
      <c r="WMO60" s="479"/>
      <c r="WMP60" s="479"/>
      <c r="WMQ60" s="479"/>
      <c r="WMR60" s="479"/>
      <c r="WMS60" s="479"/>
      <c r="WMT60" s="479"/>
      <c r="WMU60" s="479"/>
      <c r="WMV60" s="479"/>
      <c r="WMW60" s="479"/>
      <c r="WMX60" s="479"/>
      <c r="WMY60" s="479"/>
      <c r="WMZ60" s="479"/>
      <c r="WNA60" s="479"/>
      <c r="WNB60" s="479"/>
      <c r="WNC60" s="479"/>
      <c r="WND60" s="479"/>
      <c r="WNE60" s="479"/>
      <c r="WNF60" s="479"/>
      <c r="WNG60" s="479"/>
      <c r="WNH60" s="479"/>
      <c r="WNI60" s="479"/>
      <c r="WNJ60" s="479"/>
      <c r="WNK60" s="479"/>
      <c r="WNL60" s="479"/>
      <c r="WNM60" s="479"/>
      <c r="WNN60" s="479"/>
      <c r="WNO60" s="479"/>
      <c r="WNP60" s="479"/>
      <c r="WNQ60" s="479"/>
      <c r="WNR60" s="479"/>
      <c r="WNS60" s="479"/>
      <c r="WNT60" s="479"/>
      <c r="WNU60" s="479"/>
      <c r="WNV60" s="479"/>
      <c r="WNW60" s="479"/>
      <c r="WNX60" s="479"/>
      <c r="WNY60" s="479"/>
      <c r="WNZ60" s="479"/>
      <c r="WOA60" s="479"/>
      <c r="WOB60" s="479"/>
      <c r="WOC60" s="479"/>
      <c r="WOD60" s="479"/>
      <c r="WOE60" s="479"/>
      <c r="WOF60" s="479"/>
      <c r="WOG60" s="479"/>
      <c r="WOH60" s="479"/>
      <c r="WOI60" s="479"/>
      <c r="WOJ60" s="479"/>
      <c r="WOK60" s="479"/>
      <c r="WOL60" s="479"/>
      <c r="WOM60" s="479"/>
      <c r="WON60" s="479"/>
      <c r="WOO60" s="479"/>
      <c r="WOP60" s="479"/>
      <c r="WOQ60" s="479"/>
      <c r="WOR60" s="479"/>
      <c r="WOS60" s="479"/>
      <c r="WOT60" s="479"/>
      <c r="WOU60" s="479"/>
      <c r="WOV60" s="479"/>
      <c r="WOW60" s="479"/>
      <c r="WOX60" s="479"/>
      <c r="WOY60" s="479"/>
      <c r="WOZ60" s="479"/>
      <c r="WPA60" s="479"/>
      <c r="WPB60" s="479"/>
      <c r="WPC60" s="479"/>
      <c r="WPD60" s="479"/>
      <c r="WPE60" s="479"/>
      <c r="WPF60" s="479"/>
      <c r="WPG60" s="479"/>
      <c r="WPH60" s="479"/>
      <c r="WPI60" s="479"/>
      <c r="WPJ60" s="479"/>
      <c r="WPK60" s="479"/>
      <c r="WPL60" s="479"/>
      <c r="WPM60" s="479"/>
      <c r="WPN60" s="479"/>
      <c r="WPO60" s="479"/>
      <c r="WPP60" s="479"/>
      <c r="WPQ60" s="479"/>
      <c r="WPR60" s="479"/>
      <c r="WPS60" s="479"/>
      <c r="WPT60" s="479"/>
      <c r="WPU60" s="479"/>
      <c r="WPV60" s="479"/>
      <c r="WPW60" s="479"/>
      <c r="WPX60" s="479"/>
      <c r="WPY60" s="479"/>
      <c r="WPZ60" s="479"/>
      <c r="WQA60" s="479"/>
      <c r="WQB60" s="479"/>
      <c r="WQC60" s="479"/>
      <c r="WQD60" s="479"/>
      <c r="WQE60" s="479"/>
      <c r="WQF60" s="479"/>
      <c r="WQG60" s="479"/>
      <c r="WQH60" s="479"/>
      <c r="WQI60" s="479"/>
      <c r="WQJ60" s="479"/>
      <c r="WQK60" s="479"/>
      <c r="WQL60" s="479"/>
      <c r="WQM60" s="479"/>
      <c r="WQN60" s="479"/>
      <c r="WQO60" s="479"/>
      <c r="WQP60" s="479"/>
      <c r="WQQ60" s="479"/>
      <c r="WQR60" s="479"/>
      <c r="WQS60" s="479"/>
      <c r="WQT60" s="479"/>
      <c r="WQU60" s="479"/>
      <c r="WQV60" s="479"/>
      <c r="WQW60" s="479"/>
      <c r="WQX60" s="479"/>
      <c r="WQY60" s="479"/>
      <c r="WQZ60" s="479"/>
      <c r="WRA60" s="479"/>
      <c r="WRB60" s="479"/>
      <c r="WRC60" s="479"/>
      <c r="WRD60" s="479"/>
      <c r="WRE60" s="479"/>
      <c r="WRF60" s="479"/>
      <c r="WRG60" s="479"/>
      <c r="WRH60" s="479"/>
      <c r="WRI60" s="479"/>
      <c r="WRJ60" s="479"/>
      <c r="WRK60" s="479"/>
      <c r="WRL60" s="479"/>
      <c r="WRM60" s="479"/>
      <c r="WRN60" s="479"/>
      <c r="WRO60" s="479"/>
      <c r="WRP60" s="479"/>
      <c r="WRQ60" s="479"/>
      <c r="WRR60" s="479"/>
      <c r="WRS60" s="479"/>
      <c r="WRT60" s="479"/>
      <c r="WRU60" s="479"/>
      <c r="WRV60" s="479"/>
      <c r="WRW60" s="479"/>
      <c r="WRX60" s="479"/>
      <c r="WRY60" s="479"/>
      <c r="WRZ60" s="479"/>
      <c r="WSA60" s="479"/>
      <c r="WSB60" s="479"/>
      <c r="WSC60" s="479"/>
      <c r="WSD60" s="479"/>
      <c r="WSE60" s="479"/>
      <c r="WSF60" s="479"/>
      <c r="WSG60" s="479"/>
      <c r="WSH60" s="479"/>
      <c r="WSI60" s="479"/>
      <c r="WSJ60" s="479"/>
      <c r="WSK60" s="479"/>
      <c r="WSL60" s="479"/>
      <c r="WSM60" s="479"/>
      <c r="WSN60" s="479"/>
      <c r="WSO60" s="479"/>
      <c r="WSP60" s="479"/>
      <c r="WSQ60" s="479"/>
      <c r="WSR60" s="479"/>
      <c r="WSS60" s="479"/>
      <c r="WST60" s="479"/>
      <c r="WSU60" s="479"/>
      <c r="WSV60" s="479"/>
      <c r="WSW60" s="479"/>
      <c r="WSX60" s="479"/>
      <c r="WSY60" s="479"/>
      <c r="WSZ60" s="479"/>
      <c r="WTA60" s="479"/>
      <c r="WTB60" s="479"/>
      <c r="WTC60" s="479"/>
      <c r="WTD60" s="479"/>
      <c r="WTE60" s="479"/>
      <c r="WTF60" s="479"/>
      <c r="WTG60" s="479"/>
      <c r="WTH60" s="479"/>
      <c r="WTI60" s="479"/>
      <c r="WTJ60" s="479"/>
      <c r="WTK60" s="479"/>
      <c r="WTL60" s="479"/>
      <c r="WTM60" s="479"/>
      <c r="WTN60" s="479"/>
      <c r="WTO60" s="479"/>
      <c r="WTP60" s="479"/>
      <c r="WTQ60" s="479"/>
      <c r="WTR60" s="479"/>
      <c r="WTS60" s="479"/>
      <c r="WTT60" s="479"/>
      <c r="WTU60" s="479"/>
      <c r="WTV60" s="479"/>
      <c r="WTW60" s="479"/>
      <c r="WTX60" s="479"/>
      <c r="WTY60" s="479"/>
      <c r="WTZ60" s="479"/>
      <c r="WUA60" s="479"/>
      <c r="WUB60" s="479"/>
      <c r="WUC60" s="479"/>
      <c r="WUD60" s="479"/>
      <c r="WUE60" s="479"/>
      <c r="WUF60" s="479"/>
      <c r="WUG60" s="479"/>
      <c r="WUH60" s="479"/>
      <c r="WUI60" s="479"/>
      <c r="WUJ60" s="479"/>
      <c r="WUK60" s="479"/>
      <c r="WUL60" s="479"/>
      <c r="WUM60" s="479"/>
      <c r="WUN60" s="479"/>
      <c r="WUO60" s="479"/>
      <c r="WUP60" s="479"/>
      <c r="WUQ60" s="479"/>
      <c r="WUR60" s="479"/>
      <c r="WUS60" s="479"/>
      <c r="WUT60" s="479"/>
      <c r="WUU60" s="479"/>
      <c r="WUV60" s="479"/>
      <c r="WUW60" s="479"/>
      <c r="WUX60" s="479"/>
      <c r="WUY60" s="479"/>
      <c r="WUZ60" s="479"/>
      <c r="WVA60" s="479"/>
      <c r="WVB60" s="479"/>
      <c r="WVC60" s="479"/>
      <c r="WVD60" s="479"/>
      <c r="WVE60" s="479"/>
      <c r="WVF60" s="479"/>
      <c r="WVG60" s="479"/>
      <c r="WVH60" s="479"/>
      <c r="WVI60" s="479"/>
      <c r="WVJ60" s="479"/>
      <c r="WVK60" s="479"/>
      <c r="WVL60" s="479"/>
      <c r="WVM60" s="479"/>
      <c r="WVN60" s="479"/>
      <c r="WVO60" s="479"/>
      <c r="WVP60" s="479"/>
      <c r="WVQ60" s="479"/>
      <c r="WVR60" s="479"/>
      <c r="WVS60" s="479"/>
      <c r="WVT60" s="479"/>
      <c r="WVU60" s="479"/>
      <c r="WVV60" s="479"/>
      <c r="WVW60" s="479"/>
      <c r="WVX60" s="479"/>
      <c r="WVY60" s="479"/>
      <c r="WVZ60" s="479"/>
      <c r="WWA60" s="479"/>
      <c r="WWB60" s="479"/>
      <c r="WWC60" s="479"/>
      <c r="WWD60" s="479"/>
      <c r="WWE60" s="479"/>
      <c r="WWF60" s="479"/>
      <c r="WWG60" s="479"/>
      <c r="WWH60" s="479"/>
      <c r="WWI60" s="479"/>
      <c r="WWJ60" s="479"/>
      <c r="WWK60" s="479"/>
      <c r="WWL60" s="479"/>
      <c r="WWM60" s="479"/>
      <c r="WWN60" s="479"/>
      <c r="WWO60" s="479"/>
      <c r="WWP60" s="479"/>
      <c r="WWQ60" s="479"/>
      <c r="WWR60" s="479"/>
      <c r="WWS60" s="479"/>
      <c r="WWT60" s="479"/>
      <c r="WWU60" s="479"/>
      <c r="WWV60" s="479"/>
      <c r="WWW60" s="479"/>
      <c r="WWX60" s="479"/>
      <c r="WWY60" s="479"/>
      <c r="WWZ60" s="479"/>
      <c r="WXA60" s="479"/>
      <c r="WXB60" s="479"/>
      <c r="WXC60" s="479"/>
      <c r="WXD60" s="479"/>
      <c r="WXE60" s="479"/>
      <c r="WXF60" s="479"/>
      <c r="WXG60" s="479"/>
      <c r="WXH60" s="479"/>
      <c r="WXI60" s="479"/>
      <c r="WXJ60" s="479"/>
      <c r="WXK60" s="479"/>
      <c r="WXL60" s="479"/>
      <c r="WXM60" s="479"/>
      <c r="WXN60" s="479"/>
      <c r="WXO60" s="479"/>
      <c r="WXP60" s="479"/>
      <c r="WXQ60" s="479"/>
      <c r="WXR60" s="479"/>
      <c r="WXS60" s="479"/>
      <c r="WXT60" s="479"/>
      <c r="WXU60" s="479"/>
      <c r="WXV60" s="479"/>
      <c r="WXW60" s="479"/>
      <c r="WXX60" s="479"/>
      <c r="WXY60" s="479"/>
      <c r="WXZ60" s="479"/>
      <c r="WYA60" s="479"/>
      <c r="WYB60" s="479"/>
      <c r="WYC60" s="479"/>
      <c r="WYD60" s="479"/>
      <c r="WYE60" s="479"/>
      <c r="WYF60" s="479"/>
      <c r="WYG60" s="479"/>
      <c r="WYH60" s="479"/>
      <c r="WYI60" s="479"/>
      <c r="WYJ60" s="479"/>
      <c r="WYK60" s="479"/>
      <c r="WYL60" s="479"/>
      <c r="WYM60" s="479"/>
      <c r="WYN60" s="479"/>
      <c r="WYO60" s="479"/>
      <c r="WYP60" s="479"/>
      <c r="WYQ60" s="479"/>
      <c r="WYR60" s="479"/>
      <c r="WYS60" s="479"/>
      <c r="WYT60" s="479"/>
      <c r="WYU60" s="479"/>
      <c r="WYV60" s="479"/>
      <c r="WYW60" s="479"/>
      <c r="WYX60" s="479"/>
      <c r="WYY60" s="479"/>
      <c r="WYZ60" s="479"/>
      <c r="WZA60" s="479"/>
      <c r="WZB60" s="479"/>
      <c r="WZC60" s="479"/>
      <c r="WZD60" s="479"/>
      <c r="WZE60" s="479"/>
      <c r="WZF60" s="479"/>
      <c r="WZG60" s="479"/>
      <c r="WZH60" s="479"/>
      <c r="WZI60" s="479"/>
      <c r="WZJ60" s="479"/>
      <c r="WZK60" s="479"/>
      <c r="WZL60" s="479"/>
      <c r="WZM60" s="479"/>
      <c r="WZN60" s="479"/>
      <c r="WZO60" s="479"/>
      <c r="WZP60" s="479"/>
      <c r="WZQ60" s="479"/>
      <c r="WZR60" s="479"/>
      <c r="WZS60" s="479"/>
      <c r="WZT60" s="479"/>
      <c r="WZU60" s="479"/>
      <c r="WZV60" s="479"/>
      <c r="WZW60" s="479"/>
      <c r="WZX60" s="479"/>
      <c r="WZY60" s="479"/>
      <c r="WZZ60" s="479"/>
      <c r="XAA60" s="479"/>
      <c r="XAB60" s="479"/>
      <c r="XAC60" s="479"/>
      <c r="XAD60" s="479"/>
      <c r="XAE60" s="479"/>
      <c r="XAF60" s="479"/>
      <c r="XAG60" s="479"/>
      <c r="XAH60" s="479"/>
      <c r="XAI60" s="479"/>
      <c r="XAJ60" s="479"/>
      <c r="XAK60" s="479"/>
      <c r="XAL60" s="479"/>
      <c r="XAM60" s="479"/>
      <c r="XAN60" s="479"/>
      <c r="XAO60" s="479"/>
      <c r="XAP60" s="479"/>
      <c r="XAQ60" s="479"/>
      <c r="XAR60" s="479"/>
      <c r="XAS60" s="479"/>
      <c r="XAT60" s="479"/>
      <c r="XAU60" s="479"/>
      <c r="XAV60" s="479"/>
      <c r="XAW60" s="479"/>
      <c r="XAX60" s="479"/>
      <c r="XAY60" s="479"/>
      <c r="XAZ60" s="479"/>
      <c r="XBA60" s="479"/>
      <c r="XBB60" s="479"/>
      <c r="XBC60" s="479"/>
      <c r="XBD60" s="479"/>
      <c r="XBE60" s="479"/>
      <c r="XBF60" s="479"/>
      <c r="XBG60" s="479"/>
      <c r="XBH60" s="479"/>
      <c r="XBI60" s="479"/>
      <c r="XBJ60" s="479"/>
      <c r="XBK60" s="479"/>
      <c r="XBL60" s="479"/>
      <c r="XBM60" s="479"/>
      <c r="XBN60" s="479"/>
      <c r="XBO60" s="479"/>
      <c r="XBP60" s="479"/>
      <c r="XBQ60" s="479"/>
      <c r="XBR60" s="479"/>
      <c r="XBS60" s="479"/>
      <c r="XBT60" s="479"/>
      <c r="XBU60" s="479"/>
      <c r="XBV60" s="479"/>
      <c r="XBW60" s="479"/>
      <c r="XBX60" s="479"/>
      <c r="XBY60" s="479"/>
      <c r="XBZ60" s="479"/>
      <c r="XCA60" s="479"/>
      <c r="XCB60" s="479"/>
      <c r="XCC60" s="479"/>
      <c r="XCD60" s="479"/>
      <c r="XCE60" s="479"/>
      <c r="XCF60" s="479"/>
      <c r="XCG60" s="479"/>
      <c r="XCH60" s="479"/>
      <c r="XCI60" s="479"/>
      <c r="XCJ60" s="479"/>
      <c r="XCK60" s="479"/>
      <c r="XCL60" s="479"/>
      <c r="XCM60" s="479"/>
      <c r="XCN60" s="479"/>
      <c r="XCO60" s="479"/>
      <c r="XCP60" s="479"/>
      <c r="XCQ60" s="479"/>
      <c r="XCR60" s="479"/>
      <c r="XCS60" s="479"/>
      <c r="XCT60" s="479"/>
      <c r="XCU60" s="479"/>
      <c r="XCV60" s="479"/>
      <c r="XCW60" s="479"/>
      <c r="XCX60" s="479"/>
      <c r="XCY60" s="479"/>
      <c r="XCZ60" s="479"/>
      <c r="XDA60" s="479"/>
      <c r="XDB60" s="479"/>
      <c r="XDC60" s="479"/>
      <c r="XDD60" s="479"/>
      <c r="XDE60" s="479"/>
      <c r="XDF60" s="479"/>
      <c r="XDG60" s="479"/>
      <c r="XDH60" s="479"/>
      <c r="XDI60" s="479"/>
      <c r="XDJ60" s="479"/>
      <c r="XDK60" s="479"/>
      <c r="XDL60" s="479"/>
      <c r="XDM60" s="479"/>
      <c r="XDN60" s="479"/>
      <c r="XDO60" s="479"/>
      <c r="XDP60" s="479"/>
      <c r="XDQ60" s="479"/>
      <c r="XDR60" s="479"/>
      <c r="XDS60" s="479"/>
      <c r="XDT60" s="479"/>
      <c r="XDU60" s="479"/>
      <c r="XDV60" s="479"/>
      <c r="XDW60" s="479"/>
      <c r="XDX60" s="479"/>
      <c r="XDY60" s="479"/>
      <c r="XDZ60" s="479"/>
      <c r="XEA60" s="479"/>
      <c r="XEB60" s="479"/>
      <c r="XEC60" s="479"/>
      <c r="XED60" s="479"/>
      <c r="XEE60" s="479"/>
      <c r="XEF60" s="479"/>
      <c r="XEG60" s="479"/>
      <c r="XEH60" s="479"/>
      <c r="XEI60" s="479"/>
      <c r="XEJ60" s="479"/>
      <c r="XEK60" s="479"/>
      <c r="XEL60" s="479"/>
      <c r="XEM60" s="479"/>
      <c r="XEN60" s="479"/>
      <c r="XEO60" s="479"/>
      <c r="XEP60" s="479"/>
      <c r="XEQ60" s="479"/>
      <c r="XER60" s="479"/>
      <c r="XES60" s="479"/>
      <c r="XET60" s="479"/>
      <c r="XEU60" s="479"/>
      <c r="XEV60" s="479"/>
      <c r="XEW60" s="479"/>
      <c r="XEX60" s="479"/>
      <c r="XEY60" s="479"/>
      <c r="XEZ60" s="479"/>
      <c r="XFA60" s="479"/>
      <c r="XFB60" s="479"/>
      <c r="XFC60" s="479"/>
      <c r="XFD60" s="479"/>
    </row>
    <row r="61" spans="1:16384" x14ac:dyDescent="0.45">
      <c r="A61" s="695"/>
      <c r="B61" s="863"/>
      <c r="C61" s="864"/>
      <c r="D61" s="864"/>
      <c r="E61" s="864"/>
      <c r="F61" s="864"/>
      <c r="G61" s="864"/>
      <c r="H61" s="864"/>
      <c r="I61" s="864"/>
      <c r="J61" s="864"/>
      <c r="K61" s="864"/>
      <c r="L61" s="864"/>
      <c r="M61" s="864"/>
      <c r="N61" s="864"/>
      <c r="O61" s="864"/>
      <c r="P61" s="864"/>
      <c r="Q61" s="864"/>
      <c r="R61" s="864"/>
      <c r="S61" s="864"/>
      <c r="T61" s="864"/>
      <c r="U61" s="864"/>
      <c r="V61" s="864"/>
      <c r="W61" s="864"/>
      <c r="X61" s="864"/>
      <c r="Y61" s="864"/>
      <c r="Z61" s="864"/>
      <c r="AA61" s="864"/>
      <c r="AB61" s="864"/>
      <c r="AC61" s="864"/>
      <c r="AD61" s="864"/>
      <c r="AE61" s="864"/>
      <c r="AF61" s="864"/>
      <c r="AG61" s="864"/>
      <c r="AH61" s="864"/>
      <c r="AI61" s="864"/>
      <c r="AJ61" s="864"/>
      <c r="AK61" s="864"/>
      <c r="AL61" s="864"/>
      <c r="AM61" s="864"/>
      <c r="AN61" s="864"/>
      <c r="AO61" s="864"/>
      <c r="AP61" s="864"/>
      <c r="AQ61" s="864"/>
      <c r="AR61" s="864"/>
      <c r="AS61" s="864"/>
      <c r="AT61" s="864"/>
      <c r="AU61" s="864"/>
      <c r="AV61" s="864"/>
      <c r="AW61" s="864"/>
      <c r="AX61" s="864"/>
      <c r="AY61" s="864"/>
      <c r="AZ61" s="864"/>
      <c r="BA61" s="864"/>
      <c r="BB61" s="864"/>
      <c r="BC61" s="864"/>
      <c r="BD61" s="864"/>
      <c r="BE61" s="865"/>
      <c r="BF61" s="695"/>
    </row>
    <row r="62" spans="1:16384" x14ac:dyDescent="0.45">
      <c r="A62" s="695"/>
      <c r="B62" s="863" t="s">
        <v>122</v>
      </c>
      <c r="C62" s="864"/>
      <c r="D62" s="864"/>
      <c r="E62" s="864"/>
      <c r="F62" s="864"/>
      <c r="G62" s="864"/>
      <c r="H62" s="866">
        <f>IF(H$13&gt;'II. Inputs, Baseline Energy Mix'!$O$22,0,1)</f>
        <v>0</v>
      </c>
      <c r="I62" s="864">
        <f>IF(I$13&gt;'II. Inputs, Baseline Energy Mix'!$O$22,0,1)</f>
        <v>0</v>
      </c>
      <c r="J62" s="864">
        <f>IF(J$13&gt;'II. Inputs, Baseline Energy Mix'!$O$22,0,1)</f>
        <v>0</v>
      </c>
      <c r="K62" s="864">
        <f>IF(K$13&gt;'II. Inputs, Baseline Energy Mix'!$O$22,0,1)</f>
        <v>0</v>
      </c>
      <c r="L62" s="864">
        <f>IF(L$13&gt;'II. Inputs, Baseline Energy Mix'!$O$22,0,1)</f>
        <v>0</v>
      </c>
      <c r="M62" s="864">
        <f>IF(M$13&gt;'II. Inputs, Baseline Energy Mix'!$O$22,0,1)</f>
        <v>0</v>
      </c>
      <c r="N62" s="864">
        <f>IF(N$13&gt;'II. Inputs, Baseline Energy Mix'!$O$22,0,1)</f>
        <v>0</v>
      </c>
      <c r="O62" s="864">
        <f>IF(O$13&gt;'II. Inputs, Baseline Energy Mix'!$O$22,0,1)</f>
        <v>0</v>
      </c>
      <c r="P62" s="864">
        <f>IF(P$13&gt;'II. Inputs, Baseline Energy Mix'!$O$22,0,1)</f>
        <v>0</v>
      </c>
      <c r="Q62" s="864">
        <f>IF(Q$13&gt;'II. Inputs, Baseline Energy Mix'!$O$22,0,1)</f>
        <v>0</v>
      </c>
      <c r="R62" s="864">
        <f>IF(R$13&gt;'II. Inputs, Baseline Energy Mix'!$O$22,0,1)</f>
        <v>0</v>
      </c>
      <c r="S62" s="864">
        <f>IF(S$13&gt;'II. Inputs, Baseline Energy Mix'!$O$22,0,1)</f>
        <v>0</v>
      </c>
      <c r="T62" s="864">
        <f>IF(T$13&gt;'II. Inputs, Baseline Energy Mix'!$O$22,0,1)</f>
        <v>0</v>
      </c>
      <c r="U62" s="864">
        <f>IF(U$13&gt;'II. Inputs, Baseline Energy Mix'!$O$22,0,1)</f>
        <v>0</v>
      </c>
      <c r="V62" s="864">
        <f>IF(V$13&gt;'II. Inputs, Baseline Energy Mix'!$O$22,0,1)</f>
        <v>0</v>
      </c>
      <c r="W62" s="864">
        <f>IF(W$13&gt;'II. Inputs, Baseline Energy Mix'!$O$22,0,1)</f>
        <v>0</v>
      </c>
      <c r="X62" s="864">
        <f>IF(X$13&gt;'II. Inputs, Baseline Energy Mix'!$O$22,0,1)</f>
        <v>0</v>
      </c>
      <c r="Y62" s="864">
        <f>IF(Y$13&gt;'II. Inputs, Baseline Energy Mix'!$O$22,0,1)</f>
        <v>0</v>
      </c>
      <c r="Z62" s="864">
        <f>IF(Z$13&gt;'II. Inputs, Baseline Energy Mix'!$O$22,0,1)</f>
        <v>0</v>
      </c>
      <c r="AA62" s="864">
        <f>IF(AA$13&gt;'II. Inputs, Baseline Energy Mix'!$O$22,0,1)</f>
        <v>0</v>
      </c>
      <c r="AB62" s="864">
        <f>IF(AB$13&gt;'II. Inputs, Baseline Energy Mix'!$O$22,0,1)</f>
        <v>0</v>
      </c>
      <c r="AC62" s="864">
        <f>IF(AC$13&gt;'II. Inputs, Baseline Energy Mix'!$O$22,0,1)</f>
        <v>0</v>
      </c>
      <c r="AD62" s="864">
        <f>IF(AD$13&gt;'II. Inputs, Baseline Energy Mix'!$O$22,0,1)</f>
        <v>0</v>
      </c>
      <c r="AE62" s="864">
        <f>IF(AE$13&gt;'II. Inputs, Baseline Energy Mix'!$O$22,0,1)</f>
        <v>0</v>
      </c>
      <c r="AF62" s="864">
        <f>IF(AF$13&gt;'II. Inputs, Baseline Energy Mix'!$O$22,0,1)</f>
        <v>0</v>
      </c>
      <c r="AG62" s="864">
        <f>IF(AG$13&gt;'II. Inputs, Baseline Energy Mix'!$O$22,0,1)</f>
        <v>0</v>
      </c>
      <c r="AH62" s="864">
        <f>IF(AH$13&gt;'II. Inputs, Baseline Energy Mix'!$O$22,0,1)</f>
        <v>0</v>
      </c>
      <c r="AI62" s="864">
        <f>IF(AI$13&gt;'II. Inputs, Baseline Energy Mix'!$O$22,0,1)</f>
        <v>0</v>
      </c>
      <c r="AJ62" s="864">
        <f>IF(AJ$13&gt;'II. Inputs, Baseline Energy Mix'!$O$22,0,1)</f>
        <v>0</v>
      </c>
      <c r="AK62" s="864">
        <f>IF(AK$13&gt;'II. Inputs, Baseline Energy Mix'!$O$22,0,1)</f>
        <v>0</v>
      </c>
      <c r="AL62" s="864">
        <f>IF(AL$13&gt;'II. Inputs, Baseline Energy Mix'!$O$22,0,1)</f>
        <v>0</v>
      </c>
      <c r="AM62" s="864">
        <f>IF(AM$13&gt;'II. Inputs, Baseline Energy Mix'!$O$22,0,1)</f>
        <v>0</v>
      </c>
      <c r="AN62" s="864">
        <f>IF(AN$13&gt;'II. Inputs, Baseline Energy Mix'!$O$22,0,1)</f>
        <v>0</v>
      </c>
      <c r="AO62" s="864">
        <f>IF(AO$13&gt;'II. Inputs, Baseline Energy Mix'!$O$22,0,1)</f>
        <v>0</v>
      </c>
      <c r="AP62" s="864">
        <f>IF(AP$13&gt;'II. Inputs, Baseline Energy Mix'!$O$22,0,1)</f>
        <v>0</v>
      </c>
      <c r="AQ62" s="864">
        <f>IF(AQ$13&gt;'II. Inputs, Baseline Energy Mix'!$O$22,0,1)</f>
        <v>0</v>
      </c>
      <c r="AR62" s="864">
        <f>IF(AR$13&gt;'II. Inputs, Baseline Energy Mix'!$O$22,0,1)</f>
        <v>0</v>
      </c>
      <c r="AS62" s="864">
        <f>IF(AS$13&gt;'II. Inputs, Baseline Energy Mix'!$O$22,0,1)</f>
        <v>0</v>
      </c>
      <c r="AT62" s="864">
        <f>IF(AT$13&gt;'II. Inputs, Baseline Energy Mix'!$O$22,0,1)</f>
        <v>0</v>
      </c>
      <c r="AU62" s="864">
        <f>IF(AU$13&gt;'II. Inputs, Baseline Energy Mix'!$O$22,0,1)</f>
        <v>0</v>
      </c>
      <c r="AV62" s="864">
        <f>IF(AV$13&gt;'II. Inputs, Baseline Energy Mix'!$O$22,0,1)</f>
        <v>0</v>
      </c>
      <c r="AW62" s="864">
        <f>IF(AW$13&gt;'II. Inputs, Baseline Energy Mix'!$O$22,0,1)</f>
        <v>0</v>
      </c>
      <c r="AX62" s="864">
        <f>IF(AX$13&gt;'II. Inputs, Baseline Energy Mix'!$O$22,0,1)</f>
        <v>0</v>
      </c>
      <c r="AY62" s="864">
        <f>IF(AY$13&gt;'II. Inputs, Baseline Energy Mix'!$O$22,0,1)</f>
        <v>0</v>
      </c>
      <c r="AZ62" s="864">
        <f>IF(AZ$13&gt;'II. Inputs, Baseline Energy Mix'!$O$22,0,1)</f>
        <v>0</v>
      </c>
      <c r="BA62" s="864">
        <f>IF(BA$13&gt;'II. Inputs, Baseline Energy Mix'!$O$22,0,1)</f>
        <v>0</v>
      </c>
      <c r="BB62" s="864">
        <f>IF(BB$13&gt;'II. Inputs, Baseline Energy Mix'!$O$22,0,1)</f>
        <v>0</v>
      </c>
      <c r="BC62" s="864">
        <f>IF(BC$13&gt;'II. Inputs, Baseline Energy Mix'!$O$22,0,1)</f>
        <v>0</v>
      </c>
      <c r="BD62" s="864">
        <f>IF(BD$13&gt;'II. Inputs, Baseline Energy Mix'!$O$22,0,1)</f>
        <v>0</v>
      </c>
      <c r="BE62" s="865">
        <f>IF(BE$13&gt;'II. Inputs, Baseline Energy Mix'!$O$22,0,1)</f>
        <v>0</v>
      </c>
      <c r="BF62" s="695"/>
    </row>
    <row r="63" spans="1:16384" x14ac:dyDescent="0.45">
      <c r="A63" s="695"/>
      <c r="B63" s="863"/>
      <c r="C63" s="864"/>
      <c r="D63" s="864"/>
      <c r="E63" s="864"/>
      <c r="F63" s="864"/>
      <c r="G63" s="864"/>
      <c r="H63" s="866"/>
      <c r="I63" s="864"/>
      <c r="J63" s="864"/>
      <c r="K63" s="864"/>
      <c r="L63" s="864"/>
      <c r="M63" s="864"/>
      <c r="N63" s="864"/>
      <c r="O63" s="864"/>
      <c r="P63" s="864"/>
      <c r="Q63" s="864"/>
      <c r="R63" s="864"/>
      <c r="S63" s="864"/>
      <c r="T63" s="864"/>
      <c r="U63" s="864"/>
      <c r="V63" s="864"/>
      <c r="W63" s="864"/>
      <c r="X63" s="864"/>
      <c r="Y63" s="864"/>
      <c r="Z63" s="864"/>
      <c r="AA63" s="864"/>
      <c r="AB63" s="864"/>
      <c r="AC63" s="864"/>
      <c r="AD63" s="864"/>
      <c r="AE63" s="864"/>
      <c r="AF63" s="864"/>
      <c r="AG63" s="864"/>
      <c r="AH63" s="864"/>
      <c r="AI63" s="864"/>
      <c r="AJ63" s="864"/>
      <c r="AK63" s="864"/>
      <c r="AL63" s="864"/>
      <c r="AM63" s="864"/>
      <c r="AN63" s="864"/>
      <c r="AO63" s="864"/>
      <c r="AP63" s="864"/>
      <c r="AQ63" s="864"/>
      <c r="AR63" s="864"/>
      <c r="AS63" s="864"/>
      <c r="AT63" s="864"/>
      <c r="AU63" s="864"/>
      <c r="AV63" s="864"/>
      <c r="AW63" s="864"/>
      <c r="AX63" s="864"/>
      <c r="AY63" s="864"/>
      <c r="AZ63" s="864"/>
      <c r="BA63" s="864"/>
      <c r="BB63" s="864"/>
      <c r="BC63" s="864"/>
      <c r="BD63" s="864"/>
      <c r="BE63" s="865"/>
      <c r="BF63" s="695"/>
    </row>
    <row r="64" spans="1:16384" x14ac:dyDescent="0.45">
      <c r="A64" s="695"/>
      <c r="B64" s="863" t="s">
        <v>85</v>
      </c>
      <c r="C64" s="864"/>
      <c r="D64" s="864"/>
      <c r="E64" s="864"/>
      <c r="F64" s="867" t="s">
        <v>86</v>
      </c>
      <c r="G64" s="864"/>
      <c r="H64" s="868">
        <f>IF('II. Inputs, Baseline Energy Mix'!$O$19=0,0,'II. Inputs, Baseline Energy Mix'!$O$105*'II. Inputs, Baseline Energy Mix'!$O$20*H62)</f>
        <v>0</v>
      </c>
      <c r="I64" s="868">
        <f>IF('II. Inputs, Baseline Energy Mix'!$O$19=0,0,'II. Inputs, Baseline Energy Mix'!$O$105*'II. Inputs, Baseline Energy Mix'!$O$20*I62)</f>
        <v>0</v>
      </c>
      <c r="J64" s="868">
        <f>IF('II. Inputs, Baseline Energy Mix'!$O$19=0,0,'II. Inputs, Baseline Energy Mix'!$O$105*'II. Inputs, Baseline Energy Mix'!$O$20*J62)</f>
        <v>0</v>
      </c>
      <c r="K64" s="868">
        <f>IF('II. Inputs, Baseline Energy Mix'!$O$19=0,0,'II. Inputs, Baseline Energy Mix'!$O$105*'II. Inputs, Baseline Energy Mix'!$O$20*K62)</f>
        <v>0</v>
      </c>
      <c r="L64" s="868">
        <f>IF('II. Inputs, Baseline Energy Mix'!$O$19=0,0,'II. Inputs, Baseline Energy Mix'!$O$105*'II. Inputs, Baseline Energy Mix'!$O$20*L62)</f>
        <v>0</v>
      </c>
      <c r="M64" s="868">
        <f>IF('II. Inputs, Baseline Energy Mix'!$O$19=0,0,'II. Inputs, Baseline Energy Mix'!$O$105*'II. Inputs, Baseline Energy Mix'!$O$20*M62)</f>
        <v>0</v>
      </c>
      <c r="N64" s="868">
        <f>IF('II. Inputs, Baseline Energy Mix'!$O$19=0,0,'II. Inputs, Baseline Energy Mix'!$O$105*'II. Inputs, Baseline Energy Mix'!$O$20*N62)</f>
        <v>0</v>
      </c>
      <c r="O64" s="868">
        <f>IF('II. Inputs, Baseline Energy Mix'!$O$19=0,0,'II. Inputs, Baseline Energy Mix'!$O$105*'II. Inputs, Baseline Energy Mix'!$O$20*O62)</f>
        <v>0</v>
      </c>
      <c r="P64" s="868">
        <f>IF('II. Inputs, Baseline Energy Mix'!$O$19=0,0,'II. Inputs, Baseline Energy Mix'!$O$105*'II. Inputs, Baseline Energy Mix'!$O$20*P62)</f>
        <v>0</v>
      </c>
      <c r="Q64" s="868">
        <f>IF('II. Inputs, Baseline Energy Mix'!$O$19=0,0,'II. Inputs, Baseline Energy Mix'!$O$105*'II. Inputs, Baseline Energy Mix'!$O$20*Q62)</f>
        <v>0</v>
      </c>
      <c r="R64" s="868">
        <f>IF('II. Inputs, Baseline Energy Mix'!$O$19=0,0,'II. Inputs, Baseline Energy Mix'!$O$105*'II. Inputs, Baseline Energy Mix'!$O$20*R62)</f>
        <v>0</v>
      </c>
      <c r="S64" s="868">
        <f>IF('II. Inputs, Baseline Energy Mix'!$O$19=0,0,'II. Inputs, Baseline Energy Mix'!$O$105*'II. Inputs, Baseline Energy Mix'!$O$20*S62)</f>
        <v>0</v>
      </c>
      <c r="T64" s="868">
        <f>IF('II. Inputs, Baseline Energy Mix'!$O$19=0,0,'II. Inputs, Baseline Energy Mix'!$O$105*'II. Inputs, Baseline Energy Mix'!$O$20*T62)</f>
        <v>0</v>
      </c>
      <c r="U64" s="868">
        <f>IF('II. Inputs, Baseline Energy Mix'!$O$19=0,0,'II. Inputs, Baseline Energy Mix'!$O$105*'II. Inputs, Baseline Energy Mix'!$O$20*U62)</f>
        <v>0</v>
      </c>
      <c r="V64" s="868">
        <f>IF('II. Inputs, Baseline Energy Mix'!$O$19=0,0,'II. Inputs, Baseline Energy Mix'!$O$105*'II. Inputs, Baseline Energy Mix'!$O$20*V62)</f>
        <v>0</v>
      </c>
      <c r="W64" s="868">
        <f>IF('II. Inputs, Baseline Energy Mix'!$O$19=0,0,'II. Inputs, Baseline Energy Mix'!$O$105*'II. Inputs, Baseline Energy Mix'!$O$20*W62)</f>
        <v>0</v>
      </c>
      <c r="X64" s="868">
        <f>IF('II. Inputs, Baseline Energy Mix'!$O$19=0,0,'II. Inputs, Baseline Energy Mix'!$O$105*'II. Inputs, Baseline Energy Mix'!$O$20*X62)</f>
        <v>0</v>
      </c>
      <c r="Y64" s="868">
        <f>IF('II. Inputs, Baseline Energy Mix'!$O$19=0,0,'II. Inputs, Baseline Energy Mix'!$O$105*'II. Inputs, Baseline Energy Mix'!$O$20*Y62)</f>
        <v>0</v>
      </c>
      <c r="Z64" s="868">
        <f>IF('II. Inputs, Baseline Energy Mix'!$O$19=0,0,'II. Inputs, Baseline Energy Mix'!$O$105*'II. Inputs, Baseline Energy Mix'!$O$20*Z62)</f>
        <v>0</v>
      </c>
      <c r="AA64" s="868">
        <f>IF('II. Inputs, Baseline Energy Mix'!$O$19=0,0,'II. Inputs, Baseline Energy Mix'!$O$105*'II. Inputs, Baseline Energy Mix'!$O$20*AA62)</f>
        <v>0</v>
      </c>
      <c r="AB64" s="868">
        <f>IF('II. Inputs, Baseline Energy Mix'!$O$19=0,0,'II. Inputs, Baseline Energy Mix'!$O$105*'II. Inputs, Baseline Energy Mix'!$O$20*AB62)</f>
        <v>0</v>
      </c>
      <c r="AC64" s="868">
        <f>IF('II. Inputs, Baseline Energy Mix'!$O$19=0,0,'II. Inputs, Baseline Energy Mix'!$O$105*'II. Inputs, Baseline Energy Mix'!$O$20*AC62)</f>
        <v>0</v>
      </c>
      <c r="AD64" s="868">
        <f>IF('II. Inputs, Baseline Energy Mix'!$O$19=0,0,'II. Inputs, Baseline Energy Mix'!$O$105*'II. Inputs, Baseline Energy Mix'!$O$20*AD62)</f>
        <v>0</v>
      </c>
      <c r="AE64" s="868">
        <f>IF('II. Inputs, Baseline Energy Mix'!$O$19=0,0,'II. Inputs, Baseline Energy Mix'!$O$105*'II. Inputs, Baseline Energy Mix'!$O$20*AE62)</f>
        <v>0</v>
      </c>
      <c r="AF64" s="868">
        <f>IF('II. Inputs, Baseline Energy Mix'!$O$19=0,0,'II. Inputs, Baseline Energy Mix'!$O$105*'II. Inputs, Baseline Energy Mix'!$O$20*AF62)</f>
        <v>0</v>
      </c>
      <c r="AG64" s="868">
        <f>IF('II. Inputs, Baseline Energy Mix'!$O$19=0,0,'II. Inputs, Baseline Energy Mix'!$O$105*'II. Inputs, Baseline Energy Mix'!$O$20*AG62)</f>
        <v>0</v>
      </c>
      <c r="AH64" s="868">
        <f>IF('II. Inputs, Baseline Energy Mix'!$O$19=0,0,'II. Inputs, Baseline Energy Mix'!$O$105*'II. Inputs, Baseline Energy Mix'!$O$20*AH62)</f>
        <v>0</v>
      </c>
      <c r="AI64" s="868">
        <f>IF('II. Inputs, Baseline Energy Mix'!$O$19=0,0,'II. Inputs, Baseline Energy Mix'!$O$105*'II. Inputs, Baseline Energy Mix'!$O$20*AI62)</f>
        <v>0</v>
      </c>
      <c r="AJ64" s="868">
        <f>IF('II. Inputs, Baseline Energy Mix'!$O$19=0,0,'II. Inputs, Baseline Energy Mix'!$O$105*'II. Inputs, Baseline Energy Mix'!$O$20*AJ62)</f>
        <v>0</v>
      </c>
      <c r="AK64" s="868">
        <f>IF('II. Inputs, Baseline Energy Mix'!$O$19=0,0,'II. Inputs, Baseline Energy Mix'!$O$105*'II. Inputs, Baseline Energy Mix'!$O$20*AK62)</f>
        <v>0</v>
      </c>
      <c r="AL64" s="868">
        <f>IF('II. Inputs, Baseline Energy Mix'!$O$19=0,0,'II. Inputs, Baseline Energy Mix'!$O$105*'II. Inputs, Baseline Energy Mix'!$O$20*AL62)</f>
        <v>0</v>
      </c>
      <c r="AM64" s="868">
        <f>IF('II. Inputs, Baseline Energy Mix'!$O$19=0,0,'II. Inputs, Baseline Energy Mix'!$O$105*'II. Inputs, Baseline Energy Mix'!$O$20*AM62)</f>
        <v>0</v>
      </c>
      <c r="AN64" s="868">
        <f>IF('II. Inputs, Baseline Energy Mix'!$O$19=0,0,'II. Inputs, Baseline Energy Mix'!$O$105*'II. Inputs, Baseline Energy Mix'!$O$20*AN62)</f>
        <v>0</v>
      </c>
      <c r="AO64" s="868">
        <f>IF('II. Inputs, Baseline Energy Mix'!$O$19=0,0,'II. Inputs, Baseline Energy Mix'!$O$105*'II. Inputs, Baseline Energy Mix'!$O$20*AO62)</f>
        <v>0</v>
      </c>
      <c r="AP64" s="868">
        <f>IF('II. Inputs, Baseline Energy Mix'!$O$19=0,0,'II. Inputs, Baseline Energy Mix'!$O$105*'II. Inputs, Baseline Energy Mix'!$O$20*AP62)</f>
        <v>0</v>
      </c>
      <c r="AQ64" s="868">
        <f>IF('II. Inputs, Baseline Energy Mix'!$O$19=0,0,'II. Inputs, Baseline Energy Mix'!$O$105*'II. Inputs, Baseline Energy Mix'!$O$20*AQ62)</f>
        <v>0</v>
      </c>
      <c r="AR64" s="868">
        <f>IF('II. Inputs, Baseline Energy Mix'!$O$19=0,0,'II. Inputs, Baseline Energy Mix'!$O$105*'II. Inputs, Baseline Energy Mix'!$O$20*AR62)</f>
        <v>0</v>
      </c>
      <c r="AS64" s="868">
        <f>IF('II. Inputs, Baseline Energy Mix'!$O$19=0,0,'II. Inputs, Baseline Energy Mix'!$O$105*'II. Inputs, Baseline Energy Mix'!$O$20*AS62)</f>
        <v>0</v>
      </c>
      <c r="AT64" s="868">
        <f>IF('II. Inputs, Baseline Energy Mix'!$O$19=0,0,'II. Inputs, Baseline Energy Mix'!$O$105*'II. Inputs, Baseline Energy Mix'!$O$20*AT62)</f>
        <v>0</v>
      </c>
      <c r="AU64" s="868">
        <f>IF('II. Inputs, Baseline Energy Mix'!$O$19=0,0,'II. Inputs, Baseline Energy Mix'!$O$105*'II. Inputs, Baseline Energy Mix'!$O$20*AU62)</f>
        <v>0</v>
      </c>
      <c r="AV64" s="868">
        <f>IF('II. Inputs, Baseline Energy Mix'!$O$19=0,0,'II. Inputs, Baseline Energy Mix'!$O$105*'II. Inputs, Baseline Energy Mix'!$O$20*AV62)</f>
        <v>0</v>
      </c>
      <c r="AW64" s="868">
        <f>IF('II. Inputs, Baseline Energy Mix'!$O$19=0,0,'II. Inputs, Baseline Energy Mix'!$O$105*'II. Inputs, Baseline Energy Mix'!$O$20*AW62)</f>
        <v>0</v>
      </c>
      <c r="AX64" s="868">
        <f>IF('II. Inputs, Baseline Energy Mix'!$O$19=0,0,'II. Inputs, Baseline Energy Mix'!$O$105*'II. Inputs, Baseline Energy Mix'!$O$20*AX62)</f>
        <v>0</v>
      </c>
      <c r="AY64" s="868">
        <f>IF('II. Inputs, Baseline Energy Mix'!$O$19=0,0,'II. Inputs, Baseline Energy Mix'!$O$105*'II. Inputs, Baseline Energy Mix'!$O$20*AY62)</f>
        <v>0</v>
      </c>
      <c r="AZ64" s="868">
        <f>IF('II. Inputs, Baseline Energy Mix'!$O$19=0,0,'II. Inputs, Baseline Energy Mix'!$O$105*'II. Inputs, Baseline Energy Mix'!$O$20*AZ62)</f>
        <v>0</v>
      </c>
      <c r="BA64" s="868">
        <f>IF('II. Inputs, Baseline Energy Mix'!$O$19=0,0,'II. Inputs, Baseline Energy Mix'!$O$105*'II. Inputs, Baseline Energy Mix'!$O$20*BA62)</f>
        <v>0</v>
      </c>
      <c r="BB64" s="868">
        <f>IF('II. Inputs, Baseline Energy Mix'!$O$19=0,0,'II. Inputs, Baseline Energy Mix'!$O$105*'II. Inputs, Baseline Energy Mix'!$O$20*BB62)</f>
        <v>0</v>
      </c>
      <c r="BC64" s="868">
        <f>IF('II. Inputs, Baseline Energy Mix'!$O$19=0,0,'II. Inputs, Baseline Energy Mix'!$O$105*'II. Inputs, Baseline Energy Mix'!$O$20*BC62)</f>
        <v>0</v>
      </c>
      <c r="BD64" s="868">
        <f>IF('II. Inputs, Baseline Energy Mix'!$O$19=0,0,'II. Inputs, Baseline Energy Mix'!$O$105*'II. Inputs, Baseline Energy Mix'!$O$20*BD62)</f>
        <v>0</v>
      </c>
      <c r="BE64" s="869">
        <f>IF('II. Inputs, Baseline Energy Mix'!$O$19=0,0,'II. Inputs, Baseline Energy Mix'!$O$105*'II. Inputs, Baseline Energy Mix'!$O$20*BE62)</f>
        <v>0</v>
      </c>
      <c r="BF64" s="695"/>
    </row>
    <row r="65" spans="1:58" x14ac:dyDescent="0.45">
      <c r="A65" s="695"/>
      <c r="B65" s="863"/>
      <c r="C65" s="864"/>
      <c r="D65" s="864"/>
      <c r="E65" s="867"/>
      <c r="F65" s="864"/>
      <c r="G65" s="864"/>
      <c r="H65" s="864"/>
      <c r="I65" s="864"/>
      <c r="J65" s="864"/>
      <c r="K65" s="864"/>
      <c r="L65" s="864"/>
      <c r="M65" s="864"/>
      <c r="N65" s="864"/>
      <c r="O65" s="864"/>
      <c r="P65" s="864"/>
      <c r="Q65" s="864"/>
      <c r="R65" s="864"/>
      <c r="S65" s="864"/>
      <c r="T65" s="864"/>
      <c r="U65" s="864"/>
      <c r="V65" s="864"/>
      <c r="W65" s="864"/>
      <c r="X65" s="864"/>
      <c r="Y65" s="864"/>
      <c r="Z65" s="864"/>
      <c r="AA65" s="864"/>
      <c r="AB65" s="864"/>
      <c r="AC65" s="864"/>
      <c r="AD65" s="864"/>
      <c r="AE65" s="864"/>
      <c r="AF65" s="864"/>
      <c r="AG65" s="864"/>
      <c r="AH65" s="864"/>
      <c r="AI65" s="864"/>
      <c r="AJ65" s="864"/>
      <c r="AK65" s="864"/>
      <c r="AL65" s="864"/>
      <c r="AM65" s="864"/>
      <c r="AN65" s="864"/>
      <c r="AO65" s="864"/>
      <c r="AP65" s="864"/>
      <c r="AQ65" s="864"/>
      <c r="AR65" s="864"/>
      <c r="AS65" s="864"/>
      <c r="AT65" s="864"/>
      <c r="AU65" s="864"/>
      <c r="AV65" s="864"/>
      <c r="AW65" s="864"/>
      <c r="AX65" s="864"/>
      <c r="AY65" s="864"/>
      <c r="AZ65" s="864"/>
      <c r="BA65" s="864"/>
      <c r="BB65" s="864"/>
      <c r="BC65" s="864"/>
      <c r="BD65" s="864"/>
      <c r="BE65" s="865"/>
      <c r="BF65" s="695"/>
    </row>
    <row r="66" spans="1:58" ht="13.15" x14ac:dyDescent="0.45">
      <c r="A66" s="695"/>
      <c r="B66" s="870" t="s">
        <v>87</v>
      </c>
      <c r="C66" s="871"/>
      <c r="D66" s="871"/>
      <c r="E66" s="872"/>
      <c r="F66" s="872"/>
      <c r="G66" s="872"/>
      <c r="H66" s="872"/>
      <c r="I66" s="872"/>
      <c r="J66" s="872"/>
      <c r="K66" s="872"/>
      <c r="L66" s="872"/>
      <c r="M66" s="872"/>
      <c r="N66" s="872"/>
      <c r="O66" s="872"/>
      <c r="P66" s="872"/>
      <c r="Q66" s="872"/>
      <c r="R66" s="872"/>
      <c r="S66" s="872"/>
      <c r="T66" s="872"/>
      <c r="U66" s="872"/>
      <c r="V66" s="872"/>
      <c r="W66" s="872"/>
      <c r="X66" s="872"/>
      <c r="Y66" s="872"/>
      <c r="Z66" s="872"/>
      <c r="AA66" s="872"/>
      <c r="AB66" s="872"/>
      <c r="AC66" s="872"/>
      <c r="AD66" s="872"/>
      <c r="AE66" s="872"/>
      <c r="AF66" s="872"/>
      <c r="AG66" s="872"/>
      <c r="AH66" s="872"/>
      <c r="AI66" s="872"/>
      <c r="AJ66" s="872"/>
      <c r="AK66" s="872"/>
      <c r="AL66" s="872"/>
      <c r="AM66" s="872"/>
      <c r="AN66" s="872"/>
      <c r="AO66" s="872"/>
      <c r="AP66" s="872"/>
      <c r="AQ66" s="872"/>
      <c r="AR66" s="872"/>
      <c r="AS66" s="872"/>
      <c r="AT66" s="872"/>
      <c r="AU66" s="872"/>
      <c r="AV66" s="872"/>
      <c r="AW66" s="872"/>
      <c r="AX66" s="872"/>
      <c r="AY66" s="872"/>
      <c r="AZ66" s="872"/>
      <c r="BA66" s="872"/>
      <c r="BB66" s="872"/>
      <c r="BC66" s="872"/>
      <c r="BD66" s="872"/>
      <c r="BE66" s="873"/>
      <c r="BF66" s="695"/>
    </row>
    <row r="67" spans="1:58" x14ac:dyDescent="0.45">
      <c r="A67" s="695"/>
      <c r="B67" s="863"/>
      <c r="C67" s="864"/>
      <c r="D67" s="864"/>
      <c r="E67" s="867"/>
      <c r="F67" s="864"/>
      <c r="G67" s="864"/>
      <c r="H67" s="864"/>
      <c r="I67" s="864"/>
      <c r="J67" s="864"/>
      <c r="K67" s="864"/>
      <c r="L67" s="864"/>
      <c r="M67" s="864"/>
      <c r="N67" s="864"/>
      <c r="O67" s="864"/>
      <c r="P67" s="864"/>
      <c r="Q67" s="864"/>
      <c r="R67" s="864"/>
      <c r="S67" s="864"/>
      <c r="T67" s="864"/>
      <c r="U67" s="864"/>
      <c r="V67" s="864"/>
      <c r="W67" s="864"/>
      <c r="X67" s="864"/>
      <c r="Y67" s="864"/>
      <c r="Z67" s="864"/>
      <c r="AA67" s="864"/>
      <c r="AB67" s="864"/>
      <c r="AC67" s="864"/>
      <c r="AD67" s="864"/>
      <c r="AE67" s="864"/>
      <c r="AF67" s="864"/>
      <c r="AG67" s="864"/>
      <c r="AH67" s="864"/>
      <c r="AI67" s="864"/>
      <c r="AJ67" s="864"/>
      <c r="AK67" s="864"/>
      <c r="AL67" s="864"/>
      <c r="AM67" s="864"/>
      <c r="AN67" s="864"/>
      <c r="AO67" s="864"/>
      <c r="AP67" s="864"/>
      <c r="AQ67" s="864"/>
      <c r="AR67" s="864"/>
      <c r="AS67" s="864"/>
      <c r="AT67" s="864"/>
      <c r="AU67" s="864"/>
      <c r="AV67" s="864"/>
      <c r="AW67" s="864"/>
      <c r="AX67" s="864"/>
      <c r="AY67" s="864"/>
      <c r="AZ67" s="864"/>
      <c r="BA67" s="864"/>
      <c r="BB67" s="864"/>
      <c r="BC67" s="864"/>
      <c r="BD67" s="864"/>
      <c r="BE67" s="865"/>
      <c r="BF67" s="695"/>
    </row>
    <row r="68" spans="1:58" x14ac:dyDescent="0.45">
      <c r="A68" s="695"/>
      <c r="B68" s="863" t="s">
        <v>123</v>
      </c>
      <c r="C68" s="864"/>
      <c r="D68" s="864"/>
      <c r="E68" s="867"/>
      <c r="F68" s="867" t="s">
        <v>748</v>
      </c>
      <c r="G68" s="864"/>
      <c r="H68" s="1549">
        <f>IF('II. Inputs, Baseline Energy Mix'!$O$19=0,0,H62*'II. Inputs, Baseline Energy Mix'!$O$118*(1+'II. Inputs, Baseline Energy Mix'!$O$119)^('IV. LCOE, Baseline Energy Mix'!H$13-1))</f>
        <v>0</v>
      </c>
      <c r="I68" s="1549">
        <f>IF('II. Inputs, Baseline Energy Mix'!$O$19=0,0,I62*'II. Inputs, Baseline Energy Mix'!$O$118*(1+'II. Inputs, Baseline Energy Mix'!$O$119)^('IV. LCOE, Baseline Energy Mix'!I$13-1))</f>
        <v>0</v>
      </c>
      <c r="J68" s="1549">
        <f>IF('II. Inputs, Baseline Energy Mix'!$O$19=0,0,J62*'II. Inputs, Baseline Energy Mix'!$O$118*(1+'II. Inputs, Baseline Energy Mix'!$O$119)^('IV. LCOE, Baseline Energy Mix'!J$13-1))</f>
        <v>0</v>
      </c>
      <c r="K68" s="1549">
        <f>IF('II. Inputs, Baseline Energy Mix'!$O$19=0,0,K62*'II. Inputs, Baseline Energy Mix'!$O$118*(1+'II. Inputs, Baseline Energy Mix'!$O$119)^('IV. LCOE, Baseline Energy Mix'!K$13-1))</f>
        <v>0</v>
      </c>
      <c r="L68" s="1549">
        <f>IF('II. Inputs, Baseline Energy Mix'!$O$19=0,0,L62*'II. Inputs, Baseline Energy Mix'!$O$118*(1+'II. Inputs, Baseline Energy Mix'!$O$119)^('IV. LCOE, Baseline Energy Mix'!L$13-1))</f>
        <v>0</v>
      </c>
      <c r="M68" s="1549">
        <f>IF('II. Inputs, Baseline Energy Mix'!$O$19=0,0,M62*'II. Inputs, Baseline Energy Mix'!$O$118*(1+'II. Inputs, Baseline Energy Mix'!$O$119)^('IV. LCOE, Baseline Energy Mix'!M$13-1))</f>
        <v>0</v>
      </c>
      <c r="N68" s="1549">
        <f>IF('II. Inputs, Baseline Energy Mix'!$O$19=0,0,N62*'II. Inputs, Baseline Energy Mix'!$O$118*(1+'II. Inputs, Baseline Energy Mix'!$O$119)^('IV. LCOE, Baseline Energy Mix'!N$13-1))</f>
        <v>0</v>
      </c>
      <c r="O68" s="1549">
        <f>IF('II. Inputs, Baseline Energy Mix'!$O$19=0,0,O62*'II. Inputs, Baseline Energy Mix'!$O$118*(1+'II. Inputs, Baseline Energy Mix'!$O$119)^('IV. LCOE, Baseline Energy Mix'!O$13-1))</f>
        <v>0</v>
      </c>
      <c r="P68" s="1549">
        <f>IF('II. Inputs, Baseline Energy Mix'!$O$19=0,0,P62*'II. Inputs, Baseline Energy Mix'!$O$118*(1+'II. Inputs, Baseline Energy Mix'!$O$119)^('IV. LCOE, Baseline Energy Mix'!P$13-1))</f>
        <v>0</v>
      </c>
      <c r="Q68" s="1549">
        <f>IF('II. Inputs, Baseline Energy Mix'!$O$19=0,0,Q62*'II. Inputs, Baseline Energy Mix'!$O$118*(1+'II. Inputs, Baseline Energy Mix'!$O$119)^('IV. LCOE, Baseline Energy Mix'!Q$13-1))</f>
        <v>0</v>
      </c>
      <c r="R68" s="1549">
        <f>IF('II. Inputs, Baseline Energy Mix'!$O$19=0,0,R62*'II. Inputs, Baseline Energy Mix'!$O$118*(1+'II. Inputs, Baseline Energy Mix'!$O$119)^('IV. LCOE, Baseline Energy Mix'!R$13-1))</f>
        <v>0</v>
      </c>
      <c r="S68" s="1549">
        <f>IF('II. Inputs, Baseline Energy Mix'!$O$19=0,0,S62*'II. Inputs, Baseline Energy Mix'!$O$118*(1+'II. Inputs, Baseline Energy Mix'!$O$119)^('IV. LCOE, Baseline Energy Mix'!S$13-1))</f>
        <v>0</v>
      </c>
      <c r="T68" s="1549">
        <f>IF('II. Inputs, Baseline Energy Mix'!$O$19=0,0,T62*'II. Inputs, Baseline Energy Mix'!$O$118*(1+'II. Inputs, Baseline Energy Mix'!$O$119)^('IV. LCOE, Baseline Energy Mix'!T$13-1))</f>
        <v>0</v>
      </c>
      <c r="U68" s="1549">
        <f>IF('II. Inputs, Baseline Energy Mix'!$O$19=0,0,U62*'II. Inputs, Baseline Energy Mix'!$O$118*(1+'II. Inputs, Baseline Energy Mix'!$O$119)^('IV. LCOE, Baseline Energy Mix'!U$13-1))</f>
        <v>0</v>
      </c>
      <c r="V68" s="1549">
        <f>IF('II. Inputs, Baseline Energy Mix'!$O$19=0,0,V62*'II. Inputs, Baseline Energy Mix'!$O$118*(1+'II. Inputs, Baseline Energy Mix'!$O$119)^('IV. LCOE, Baseline Energy Mix'!V$13-1))</f>
        <v>0</v>
      </c>
      <c r="W68" s="1549">
        <f>IF('II. Inputs, Baseline Energy Mix'!$O$19=0,0,W62*'II. Inputs, Baseline Energy Mix'!$O$118*(1+'II. Inputs, Baseline Energy Mix'!$O$119)^('IV. LCOE, Baseline Energy Mix'!W$13-1))</f>
        <v>0</v>
      </c>
      <c r="X68" s="1549">
        <f>IF('II. Inputs, Baseline Energy Mix'!$O$19=0,0,X62*'II. Inputs, Baseline Energy Mix'!$O$118*(1+'II. Inputs, Baseline Energy Mix'!$O$119)^('IV. LCOE, Baseline Energy Mix'!X$13-1))</f>
        <v>0</v>
      </c>
      <c r="Y68" s="1549">
        <f>IF('II. Inputs, Baseline Energy Mix'!$O$19=0,0,Y62*'II. Inputs, Baseline Energy Mix'!$O$118*(1+'II. Inputs, Baseline Energy Mix'!$O$119)^('IV. LCOE, Baseline Energy Mix'!Y$13-1))</f>
        <v>0</v>
      </c>
      <c r="Z68" s="1549">
        <f>IF('II. Inputs, Baseline Energy Mix'!$O$19=0,0,Z62*'II. Inputs, Baseline Energy Mix'!$O$118*(1+'II. Inputs, Baseline Energy Mix'!$O$119)^('IV. LCOE, Baseline Energy Mix'!Z$13-1))</f>
        <v>0</v>
      </c>
      <c r="AA68" s="1549">
        <f>IF('II. Inputs, Baseline Energy Mix'!$O$19=0,0,AA62*'II. Inputs, Baseline Energy Mix'!$O$118*(1+'II. Inputs, Baseline Energy Mix'!$O$119)^('IV. LCOE, Baseline Energy Mix'!AA$13-1))</f>
        <v>0</v>
      </c>
      <c r="AB68" s="1549">
        <f>IF('II. Inputs, Baseline Energy Mix'!$O$19=0,0,AB62*'II. Inputs, Baseline Energy Mix'!$O$118*(1+'II. Inputs, Baseline Energy Mix'!$O$119)^('IV. LCOE, Baseline Energy Mix'!AB$13-1))</f>
        <v>0</v>
      </c>
      <c r="AC68" s="1549">
        <f>IF('II. Inputs, Baseline Energy Mix'!$O$19=0,0,AC62*'II. Inputs, Baseline Energy Mix'!$O$118*(1+'II. Inputs, Baseline Energy Mix'!$O$119)^('IV. LCOE, Baseline Energy Mix'!AC$13-1))</f>
        <v>0</v>
      </c>
      <c r="AD68" s="1549">
        <f>IF('II. Inputs, Baseline Energy Mix'!$O$19=0,0,AD62*'II. Inputs, Baseline Energy Mix'!$O$118*(1+'II. Inputs, Baseline Energy Mix'!$O$119)^('IV. LCOE, Baseline Energy Mix'!AD$13-1))</f>
        <v>0</v>
      </c>
      <c r="AE68" s="1549">
        <f>IF('II. Inputs, Baseline Energy Mix'!$O$19=0,0,AE62*'II. Inputs, Baseline Energy Mix'!$O$118*(1+'II. Inputs, Baseline Energy Mix'!$O$119)^('IV. LCOE, Baseline Energy Mix'!AE$13-1))</f>
        <v>0</v>
      </c>
      <c r="AF68" s="1549">
        <f>IF('II. Inputs, Baseline Energy Mix'!$O$19=0,0,AF62*'II. Inputs, Baseline Energy Mix'!$O$118*(1+'II. Inputs, Baseline Energy Mix'!$O$119)^('IV. LCOE, Baseline Energy Mix'!AF$13-1))</f>
        <v>0</v>
      </c>
      <c r="AG68" s="1549">
        <f>IF('II. Inputs, Baseline Energy Mix'!$O$19=0,0,AG62*'II. Inputs, Baseline Energy Mix'!$O$118*(1+'II. Inputs, Baseline Energy Mix'!$O$119)^('IV. LCOE, Baseline Energy Mix'!AG$13-1))</f>
        <v>0</v>
      </c>
      <c r="AH68" s="1549">
        <f>IF('II. Inputs, Baseline Energy Mix'!$O$19=0,0,AH62*'II. Inputs, Baseline Energy Mix'!$O$118*(1+'II. Inputs, Baseline Energy Mix'!$O$119)^('IV. LCOE, Baseline Energy Mix'!AH$13-1))</f>
        <v>0</v>
      </c>
      <c r="AI68" s="1549">
        <f>IF('II. Inputs, Baseline Energy Mix'!$O$19=0,0,AI62*'II. Inputs, Baseline Energy Mix'!$O$118*(1+'II. Inputs, Baseline Energy Mix'!$O$119)^('IV. LCOE, Baseline Energy Mix'!AI$13-1))</f>
        <v>0</v>
      </c>
      <c r="AJ68" s="1549">
        <f>IF('II. Inputs, Baseline Energy Mix'!$O$19=0,0,AJ62*'II. Inputs, Baseline Energy Mix'!$O$118*(1+'II. Inputs, Baseline Energy Mix'!$O$119)^('IV. LCOE, Baseline Energy Mix'!AJ$13-1))</f>
        <v>0</v>
      </c>
      <c r="AK68" s="1549">
        <f>IF('II. Inputs, Baseline Energy Mix'!$O$19=0,0,AK62*'II. Inputs, Baseline Energy Mix'!$O$118*(1+'II. Inputs, Baseline Energy Mix'!$O$119)^('IV. LCOE, Baseline Energy Mix'!AK$13-1))</f>
        <v>0</v>
      </c>
      <c r="AL68" s="1549">
        <f>IF('II. Inputs, Baseline Energy Mix'!$O$19=0,0,AL62*'II. Inputs, Baseline Energy Mix'!$O$118*(1+'II. Inputs, Baseline Energy Mix'!$O$119)^('IV. LCOE, Baseline Energy Mix'!AL$13-1))</f>
        <v>0</v>
      </c>
      <c r="AM68" s="1549">
        <f>IF('II. Inputs, Baseline Energy Mix'!$O$19=0,0,AM62*'II. Inputs, Baseline Energy Mix'!$O$118*(1+'II. Inputs, Baseline Energy Mix'!$O$119)^('IV. LCOE, Baseline Energy Mix'!AM$13-1))</f>
        <v>0</v>
      </c>
      <c r="AN68" s="1549">
        <f>IF('II. Inputs, Baseline Energy Mix'!$O$19=0,0,AN62*'II. Inputs, Baseline Energy Mix'!$O$118*(1+'II. Inputs, Baseline Energy Mix'!$O$119)^('IV. LCOE, Baseline Energy Mix'!AN$13-1))</f>
        <v>0</v>
      </c>
      <c r="AO68" s="1549">
        <f>IF('II. Inputs, Baseline Energy Mix'!$O$19=0,0,AO62*'II. Inputs, Baseline Energy Mix'!$O$118*(1+'II. Inputs, Baseline Energy Mix'!$O$119)^('IV. LCOE, Baseline Energy Mix'!AO$13-1))</f>
        <v>0</v>
      </c>
      <c r="AP68" s="1549">
        <f>IF('II. Inputs, Baseline Energy Mix'!$O$19=0,0,AP62*'II. Inputs, Baseline Energy Mix'!$O$118*(1+'II. Inputs, Baseline Energy Mix'!$O$119)^('IV. LCOE, Baseline Energy Mix'!AP$13-1))</f>
        <v>0</v>
      </c>
      <c r="AQ68" s="1549">
        <f>IF('II. Inputs, Baseline Energy Mix'!$O$19=0,0,AQ62*'II. Inputs, Baseline Energy Mix'!$O$118*(1+'II. Inputs, Baseline Energy Mix'!$O$119)^('IV. LCOE, Baseline Energy Mix'!AQ$13-1))</f>
        <v>0</v>
      </c>
      <c r="AR68" s="1549">
        <f>IF('II. Inputs, Baseline Energy Mix'!$O$19=0,0,AR62*'II. Inputs, Baseline Energy Mix'!$O$118*(1+'II. Inputs, Baseline Energy Mix'!$O$119)^('IV. LCOE, Baseline Energy Mix'!AR$13-1))</f>
        <v>0</v>
      </c>
      <c r="AS68" s="1549">
        <f>IF('II. Inputs, Baseline Energy Mix'!$O$19=0,0,AS62*'II. Inputs, Baseline Energy Mix'!$O$118*(1+'II. Inputs, Baseline Energy Mix'!$O$119)^('IV. LCOE, Baseline Energy Mix'!AS$13-1))</f>
        <v>0</v>
      </c>
      <c r="AT68" s="1549">
        <f>IF('II. Inputs, Baseline Energy Mix'!$O$19=0,0,AT62*'II. Inputs, Baseline Energy Mix'!$O$118*(1+'II. Inputs, Baseline Energy Mix'!$O$119)^('IV. LCOE, Baseline Energy Mix'!AT$13-1))</f>
        <v>0</v>
      </c>
      <c r="AU68" s="1549">
        <f>IF('II. Inputs, Baseline Energy Mix'!$O$19=0,0,AU62*'II. Inputs, Baseline Energy Mix'!$O$118*(1+'II. Inputs, Baseline Energy Mix'!$O$119)^('IV. LCOE, Baseline Energy Mix'!AU$13-1))</f>
        <v>0</v>
      </c>
      <c r="AV68" s="1549">
        <f>IF('II. Inputs, Baseline Energy Mix'!$O$19=0,0,AV62*'II. Inputs, Baseline Energy Mix'!$O$118*(1+'II. Inputs, Baseline Energy Mix'!$O$119)^('IV. LCOE, Baseline Energy Mix'!AV$13-1))</f>
        <v>0</v>
      </c>
      <c r="AW68" s="1549">
        <f>IF('II. Inputs, Baseline Energy Mix'!$O$19=0,0,AW62*'II. Inputs, Baseline Energy Mix'!$O$118*(1+'II. Inputs, Baseline Energy Mix'!$O$119)^('IV. LCOE, Baseline Energy Mix'!AW$13-1))</f>
        <v>0</v>
      </c>
      <c r="AX68" s="1549">
        <f>IF('II. Inputs, Baseline Energy Mix'!$O$19=0,0,AX62*'II. Inputs, Baseline Energy Mix'!$O$118*(1+'II. Inputs, Baseline Energy Mix'!$O$119)^('IV. LCOE, Baseline Energy Mix'!AX$13-1))</f>
        <v>0</v>
      </c>
      <c r="AY68" s="1549">
        <f>IF('II. Inputs, Baseline Energy Mix'!$O$19=0,0,AY62*'II. Inputs, Baseline Energy Mix'!$O$118*(1+'II. Inputs, Baseline Energy Mix'!$O$119)^('IV. LCOE, Baseline Energy Mix'!AY$13-1))</f>
        <v>0</v>
      </c>
      <c r="AZ68" s="1549">
        <f>IF('II. Inputs, Baseline Energy Mix'!$O$19=0,0,AZ62*'II. Inputs, Baseline Energy Mix'!$O$118*(1+'II. Inputs, Baseline Energy Mix'!$O$119)^('IV. LCOE, Baseline Energy Mix'!AZ$13-1))</f>
        <v>0</v>
      </c>
      <c r="BA68" s="1549">
        <f>IF('II. Inputs, Baseline Energy Mix'!$O$19=0,0,BA62*'II. Inputs, Baseline Energy Mix'!$O$118*(1+'II. Inputs, Baseline Energy Mix'!$O$119)^('IV. LCOE, Baseline Energy Mix'!BA$13-1))</f>
        <v>0</v>
      </c>
      <c r="BB68" s="1549">
        <f>IF('II. Inputs, Baseline Energy Mix'!$O$19=0,0,BB62*'II. Inputs, Baseline Energy Mix'!$O$118*(1+'II. Inputs, Baseline Energy Mix'!$O$119)^('IV. LCOE, Baseline Energy Mix'!BB$13-1))</f>
        <v>0</v>
      </c>
      <c r="BC68" s="1549">
        <f>IF('II. Inputs, Baseline Energy Mix'!$O$19=0,0,BC62*'II. Inputs, Baseline Energy Mix'!$O$118*(1+'II. Inputs, Baseline Energy Mix'!$O$119)^('IV. LCOE, Baseline Energy Mix'!BC$13-1))</f>
        <v>0</v>
      </c>
      <c r="BD68" s="1549">
        <f>IF('II. Inputs, Baseline Energy Mix'!$O$19=0,0,BD62*'II. Inputs, Baseline Energy Mix'!$O$118*(1+'II. Inputs, Baseline Energy Mix'!$O$119)^('IV. LCOE, Baseline Energy Mix'!BD$13-1))</f>
        <v>0</v>
      </c>
      <c r="BE68" s="1550">
        <f>IF('II. Inputs, Baseline Energy Mix'!$O$19=0,0,BE62*'II. Inputs, Baseline Energy Mix'!$O$118*(1+'II. Inputs, Baseline Energy Mix'!$O$119)^('IV. LCOE, Baseline Energy Mix'!BE$13-1))</f>
        <v>0</v>
      </c>
      <c r="BF68" s="695"/>
    </row>
    <row r="69" spans="1:58" x14ac:dyDescent="0.45">
      <c r="A69" s="695"/>
      <c r="B69" s="863"/>
      <c r="C69" s="864"/>
      <c r="D69" s="864"/>
      <c r="E69" s="867"/>
      <c r="F69" s="867"/>
      <c r="G69" s="864"/>
      <c r="H69" s="874"/>
      <c r="I69" s="874"/>
      <c r="J69" s="874"/>
      <c r="K69" s="874"/>
      <c r="L69" s="874"/>
      <c r="M69" s="874"/>
      <c r="N69" s="874"/>
      <c r="O69" s="874"/>
      <c r="P69" s="874"/>
      <c r="Q69" s="874"/>
      <c r="R69" s="874"/>
      <c r="S69" s="874"/>
      <c r="T69" s="874"/>
      <c r="U69" s="874"/>
      <c r="V69" s="874"/>
      <c r="W69" s="874"/>
      <c r="X69" s="874"/>
      <c r="Y69" s="874"/>
      <c r="Z69" s="874"/>
      <c r="AA69" s="874"/>
      <c r="AB69" s="874"/>
      <c r="AC69" s="874"/>
      <c r="AD69" s="874"/>
      <c r="AE69" s="874"/>
      <c r="AF69" s="874"/>
      <c r="AG69" s="874"/>
      <c r="AH69" s="874"/>
      <c r="AI69" s="874"/>
      <c r="AJ69" s="874"/>
      <c r="AK69" s="874"/>
      <c r="AL69" s="874"/>
      <c r="AM69" s="874"/>
      <c r="AN69" s="874"/>
      <c r="AO69" s="874"/>
      <c r="AP69" s="874"/>
      <c r="AQ69" s="874"/>
      <c r="AR69" s="874"/>
      <c r="AS69" s="874"/>
      <c r="AT69" s="874"/>
      <c r="AU69" s="874"/>
      <c r="AV69" s="874"/>
      <c r="AW69" s="874"/>
      <c r="AX69" s="874"/>
      <c r="AY69" s="874"/>
      <c r="AZ69" s="874"/>
      <c r="BA69" s="874"/>
      <c r="BB69" s="874"/>
      <c r="BC69" s="874"/>
      <c r="BD69" s="874"/>
      <c r="BE69" s="875"/>
      <c r="BF69" s="695"/>
    </row>
    <row r="70" spans="1:58" x14ac:dyDescent="0.45">
      <c r="A70" s="695"/>
      <c r="B70" s="863" t="s">
        <v>33</v>
      </c>
      <c r="C70" s="864"/>
      <c r="D70" s="864"/>
      <c r="E70" s="867"/>
      <c r="F70" s="867" t="s">
        <v>749</v>
      </c>
      <c r="G70" s="864"/>
      <c r="H70" s="1774">
        <f>IF('II. Inputs, Baseline Energy Mix'!$O$109="User-defined, annually adjusted",H71,IF('II. Inputs, Baseline Energy Mix'!$O$109="Manual Entry",H73,H72))</f>
        <v>0</v>
      </c>
      <c r="I70" s="1774">
        <f>IF('II. Inputs, Baseline Energy Mix'!$O$109="User-defined, annually adjusted",I71,IF('II. Inputs, Baseline Energy Mix'!$O$109="Manual Entry",I73,I72))</f>
        <v>0</v>
      </c>
      <c r="J70" s="1774">
        <f>IF('II. Inputs, Baseline Energy Mix'!$O$109="User-defined, annually adjusted",J71,IF('II. Inputs, Baseline Energy Mix'!$O$109="Manual Entry",J73,J72))</f>
        <v>0</v>
      </c>
      <c r="K70" s="1774">
        <f>IF('II. Inputs, Baseline Energy Mix'!$O$109="User-defined, annually adjusted",K71,IF('II. Inputs, Baseline Energy Mix'!$O$109="Manual Entry",K73,K72))</f>
        <v>0</v>
      </c>
      <c r="L70" s="1774">
        <f>IF('II. Inputs, Baseline Energy Mix'!$O$109="User-defined, annually adjusted",L71,IF('II. Inputs, Baseline Energy Mix'!$O$109="Manual Entry",L73,L72))</f>
        <v>0</v>
      </c>
      <c r="M70" s="1774">
        <f>IF('II. Inputs, Baseline Energy Mix'!$O$109="User-defined, annually adjusted",M71,IF('II. Inputs, Baseline Energy Mix'!$O$109="Manual Entry",M73,M72))</f>
        <v>0</v>
      </c>
      <c r="N70" s="1774">
        <f>IF('II. Inputs, Baseline Energy Mix'!$O$109="User-defined, annually adjusted",N71,IF('II. Inputs, Baseline Energy Mix'!$O$109="Manual Entry",N73,N72))</f>
        <v>0</v>
      </c>
      <c r="O70" s="1774">
        <f>IF('II. Inputs, Baseline Energy Mix'!$O$109="User-defined, annually adjusted",O71,IF('II. Inputs, Baseline Energy Mix'!$O$109="Manual Entry",O73,O72))</f>
        <v>0</v>
      </c>
      <c r="P70" s="1774">
        <f>IF('II. Inputs, Baseline Energy Mix'!$O$109="User-defined, annually adjusted",P71,IF('II. Inputs, Baseline Energy Mix'!$O$109="Manual Entry",P73,P72))</f>
        <v>0</v>
      </c>
      <c r="Q70" s="1774">
        <f>IF('II. Inputs, Baseline Energy Mix'!$O$109="User-defined, annually adjusted",Q71,IF('II. Inputs, Baseline Energy Mix'!$O$109="Manual Entry",Q73,Q72))</f>
        <v>0</v>
      </c>
      <c r="R70" s="1774">
        <f>IF('II. Inputs, Baseline Energy Mix'!$O$109="User-defined, annually adjusted",R71,IF('II. Inputs, Baseline Energy Mix'!$O$109="Manual Entry",R73,R72))</f>
        <v>0</v>
      </c>
      <c r="S70" s="1774">
        <f>IF('II. Inputs, Baseline Energy Mix'!$O$109="User-defined, annually adjusted",S71,IF('II. Inputs, Baseline Energy Mix'!$O$109="Manual Entry",S73,S72))</f>
        <v>0</v>
      </c>
      <c r="T70" s="1774">
        <f>IF('II. Inputs, Baseline Energy Mix'!$O$109="User-defined, annually adjusted",T71,IF('II. Inputs, Baseline Energy Mix'!$O$109="Manual Entry",T73,T72))</f>
        <v>0</v>
      </c>
      <c r="U70" s="1774">
        <f>IF('II. Inputs, Baseline Energy Mix'!$O$109="User-defined, annually adjusted",U71,IF('II. Inputs, Baseline Energy Mix'!$O$109="Manual Entry",U73,U72))</f>
        <v>0</v>
      </c>
      <c r="V70" s="1774">
        <f>IF('II. Inputs, Baseline Energy Mix'!$O$109="User-defined, annually adjusted",V71,IF('II. Inputs, Baseline Energy Mix'!$O$109="Manual Entry",V73,V72))</f>
        <v>0</v>
      </c>
      <c r="W70" s="1774">
        <f>IF('II. Inputs, Baseline Energy Mix'!$O$109="User-defined, annually adjusted",W71,IF('II. Inputs, Baseline Energy Mix'!$O$109="Manual Entry",W73,W72))</f>
        <v>0</v>
      </c>
      <c r="X70" s="1774">
        <f>IF('II. Inputs, Baseline Energy Mix'!$O$109="User-defined, annually adjusted",X71,IF('II. Inputs, Baseline Energy Mix'!$O$109="Manual Entry",X73,X72))</f>
        <v>0</v>
      </c>
      <c r="Y70" s="1774">
        <f>IF('II. Inputs, Baseline Energy Mix'!$O$109="User-defined, annually adjusted",Y71,IF('II. Inputs, Baseline Energy Mix'!$O$109="Manual Entry",Y73,Y72))</f>
        <v>0</v>
      </c>
      <c r="Z70" s="1774">
        <f>IF('II. Inputs, Baseline Energy Mix'!$O$109="User-defined, annually adjusted",Z71,IF('II. Inputs, Baseline Energy Mix'!$O$109="Manual Entry",Z73,Z72))</f>
        <v>0</v>
      </c>
      <c r="AA70" s="1774">
        <f>IF('II. Inputs, Baseline Energy Mix'!$O$109="User-defined, annually adjusted",AA71,IF('II. Inputs, Baseline Energy Mix'!$O$109="Manual Entry",AA73,AA72))</f>
        <v>0</v>
      </c>
      <c r="AB70" s="1774">
        <f>IF('II. Inputs, Baseline Energy Mix'!$O$109="User-defined, annually adjusted",AB71,IF('II. Inputs, Baseline Energy Mix'!$O$109="Manual Entry",AB73,AB72))</f>
        <v>0</v>
      </c>
      <c r="AC70" s="1774">
        <f>IF('II. Inputs, Baseline Energy Mix'!$O$109="User-defined, annually adjusted",AC71,IF('II. Inputs, Baseline Energy Mix'!$O$109="Manual Entry",AC73,AC72))</f>
        <v>0</v>
      </c>
      <c r="AD70" s="1774">
        <f>IF('II. Inputs, Baseline Energy Mix'!$O$109="User-defined, annually adjusted",AD71,IF('II. Inputs, Baseline Energy Mix'!$O$109="Manual Entry",AD73,AD72))</f>
        <v>0</v>
      </c>
      <c r="AE70" s="1774">
        <f>IF('II. Inputs, Baseline Energy Mix'!$O$109="User-defined, annually adjusted",AE71,IF('II. Inputs, Baseline Energy Mix'!$O$109="Manual Entry",AE73,AE72))</f>
        <v>0</v>
      </c>
      <c r="AF70" s="1774">
        <f>IF('II. Inputs, Baseline Energy Mix'!$O$109="User-defined, annually adjusted",AF71,IF('II. Inputs, Baseline Energy Mix'!$O$109="Manual Entry",AF73,AF72))</f>
        <v>0</v>
      </c>
      <c r="AG70" s="1774">
        <f>IF('II. Inputs, Baseline Energy Mix'!$O$109="User-defined, annually adjusted",AG71,IF('II. Inputs, Baseline Energy Mix'!$O$109="Manual Entry",AG73,AG72))</f>
        <v>0</v>
      </c>
      <c r="AH70" s="1774">
        <f>IF('II. Inputs, Baseline Energy Mix'!$O$109="User-defined, annually adjusted",AH71,IF('II. Inputs, Baseline Energy Mix'!$O$109="Manual Entry",AH73,AH72))</f>
        <v>0</v>
      </c>
      <c r="AI70" s="1774">
        <f>IF('II. Inputs, Baseline Energy Mix'!$O$109="User-defined, annually adjusted",AI71,IF('II. Inputs, Baseline Energy Mix'!$O$109="Manual Entry",AI73,AI72))</f>
        <v>0</v>
      </c>
      <c r="AJ70" s="1774">
        <f>IF('II. Inputs, Baseline Energy Mix'!$O$109="User-defined, annually adjusted",AJ71,IF('II. Inputs, Baseline Energy Mix'!$O$109="Manual Entry",AJ73,AJ72))</f>
        <v>0</v>
      </c>
      <c r="AK70" s="1774">
        <f>IF('II. Inputs, Baseline Energy Mix'!$O$109="User-defined, annually adjusted",AK71,IF('II. Inputs, Baseline Energy Mix'!$O$109="Manual Entry",AK73,AK72))</f>
        <v>0</v>
      </c>
      <c r="AL70" s="1774">
        <f>IF('II. Inputs, Baseline Energy Mix'!$O$109="User-defined, annually adjusted",AL71,IF('II. Inputs, Baseline Energy Mix'!$O$109="Manual Entry",AL73,AL72))</f>
        <v>0</v>
      </c>
      <c r="AM70" s="1774">
        <f>IF('II. Inputs, Baseline Energy Mix'!$O$109="User-defined, annually adjusted",AM71,IF('II. Inputs, Baseline Energy Mix'!$O$109="Manual Entry",AM73,AM72))</f>
        <v>0</v>
      </c>
      <c r="AN70" s="1774">
        <f>IF('II. Inputs, Baseline Energy Mix'!$O$109="User-defined, annually adjusted",AN71,IF('II. Inputs, Baseline Energy Mix'!$O$109="Manual Entry",AN73,AN72))</f>
        <v>0</v>
      </c>
      <c r="AO70" s="1774">
        <f>IF('II. Inputs, Baseline Energy Mix'!$O$109="User-defined, annually adjusted",AO71,IF('II. Inputs, Baseline Energy Mix'!$O$109="Manual Entry",AO73,AO72))</f>
        <v>0</v>
      </c>
      <c r="AP70" s="1774">
        <f>IF('II. Inputs, Baseline Energy Mix'!$O$109="User-defined, annually adjusted",AP71,IF('II. Inputs, Baseline Energy Mix'!$O$109="Manual Entry",AP73,AP72))</f>
        <v>0</v>
      </c>
      <c r="AQ70" s="1774">
        <f>IF('II. Inputs, Baseline Energy Mix'!$O$109="User-defined, annually adjusted",AQ71,IF('II. Inputs, Baseline Energy Mix'!$O$109="Manual Entry",AQ73,AQ72))</f>
        <v>0</v>
      </c>
      <c r="AR70" s="1774">
        <f>IF('II. Inputs, Baseline Energy Mix'!$O$109="User-defined, annually adjusted",AR71,IF('II. Inputs, Baseline Energy Mix'!$O$109="Manual Entry",AR73,AR72))</f>
        <v>0</v>
      </c>
      <c r="AS70" s="1774">
        <f>IF('II. Inputs, Baseline Energy Mix'!$O$109="User-defined, annually adjusted",AS71,IF('II. Inputs, Baseline Energy Mix'!$O$109="Manual Entry",AS73,AS72))</f>
        <v>0</v>
      </c>
      <c r="AT70" s="1774">
        <f>IF('II. Inputs, Baseline Energy Mix'!$O$109="User-defined, annually adjusted",AT71,IF('II. Inputs, Baseline Energy Mix'!$O$109="Manual Entry",AT73,AT72))</f>
        <v>0</v>
      </c>
      <c r="AU70" s="1774">
        <f>IF('II. Inputs, Baseline Energy Mix'!$O$109="User-defined, annually adjusted",AU71,IF('II. Inputs, Baseline Energy Mix'!$O$109="Manual Entry",AU73,AU72))</f>
        <v>0</v>
      </c>
      <c r="AV70" s="1774">
        <f>IF('II. Inputs, Baseline Energy Mix'!$O$109="User-defined, annually adjusted",AV71,IF('II. Inputs, Baseline Energy Mix'!$O$109="Manual Entry",AV73,AV72))</f>
        <v>0</v>
      </c>
      <c r="AW70" s="1774">
        <f>IF('II. Inputs, Baseline Energy Mix'!$O$109="User-defined, annually adjusted",AW71,IF('II. Inputs, Baseline Energy Mix'!$O$109="Manual Entry",AW73,AW72))</f>
        <v>0</v>
      </c>
      <c r="AX70" s="1774">
        <f>IF('II. Inputs, Baseline Energy Mix'!$O$109="User-defined, annually adjusted",AX71,IF('II. Inputs, Baseline Energy Mix'!$O$109="Manual Entry",AX73,AX72))</f>
        <v>0</v>
      </c>
      <c r="AY70" s="1774">
        <f>IF('II. Inputs, Baseline Energy Mix'!$O$109="User-defined, annually adjusted",AY71,IF('II. Inputs, Baseline Energy Mix'!$O$109="Manual Entry",AY73,AY72))</f>
        <v>0</v>
      </c>
      <c r="AZ70" s="1774">
        <f>IF('II. Inputs, Baseline Energy Mix'!$O$109="User-defined, annually adjusted",AZ71,IF('II. Inputs, Baseline Energy Mix'!$O$109="Manual Entry",AZ73,AZ72))</f>
        <v>0</v>
      </c>
      <c r="BA70" s="1774">
        <f>IF('II. Inputs, Baseline Energy Mix'!$O$109="User-defined, annually adjusted",BA71,IF('II. Inputs, Baseline Energy Mix'!$O$109="Manual Entry",BA73,BA72))</f>
        <v>0</v>
      </c>
      <c r="BB70" s="1774">
        <f>IF('II. Inputs, Baseline Energy Mix'!$O$109="User-defined, annually adjusted",BB71,IF('II. Inputs, Baseline Energy Mix'!$O$109="Manual Entry",BB73,BB72))</f>
        <v>0</v>
      </c>
      <c r="BC70" s="1774">
        <f>IF('II. Inputs, Baseline Energy Mix'!$O$109="User-defined, annually adjusted",BC71,IF('II. Inputs, Baseline Energy Mix'!$O$109="Manual Entry",BC73,BC72))</f>
        <v>0</v>
      </c>
      <c r="BD70" s="1774">
        <f>IF('II. Inputs, Baseline Energy Mix'!$O$109="User-defined, annually adjusted",BD71,IF('II. Inputs, Baseline Energy Mix'!$O$109="Manual Entry",BD73,BD72))</f>
        <v>0</v>
      </c>
      <c r="BE70" s="1775">
        <f>IF('II. Inputs, Baseline Energy Mix'!$O$109="User-defined, annually adjusted",BE71,IF('II. Inputs, Baseline Energy Mix'!$O$109="Manual Entry",BE73,BE72))</f>
        <v>0</v>
      </c>
      <c r="BF70" s="695"/>
    </row>
    <row r="71" spans="1:58" outlineLevel="1" x14ac:dyDescent="0.45">
      <c r="A71" s="695"/>
      <c r="B71" s="863"/>
      <c r="C71" s="864" t="s">
        <v>620</v>
      </c>
      <c r="D71" s="864"/>
      <c r="E71" s="867"/>
      <c r="F71" s="867"/>
      <c r="G71" s="864"/>
      <c r="H71" s="1774">
        <f xml:space="preserve"> H$62*VLOOKUP(H$13,'II. Inputs, Baseline Energy Mix'!$F$133:$Y$182,4, FALSE)</f>
        <v>0</v>
      </c>
      <c r="I71" s="1774">
        <f xml:space="preserve"> I$62*VLOOKUP(I$13,'II. Inputs, Baseline Energy Mix'!$F$133:$Y$182,4, FALSE)</f>
        <v>0</v>
      </c>
      <c r="J71" s="1774">
        <f xml:space="preserve"> J$62*VLOOKUP(J$13,'II. Inputs, Baseline Energy Mix'!$F$133:$Y$182,4, FALSE)</f>
        <v>0</v>
      </c>
      <c r="K71" s="1774">
        <f xml:space="preserve"> K$62*VLOOKUP(K$13,'II. Inputs, Baseline Energy Mix'!$F$133:$Y$182,4, FALSE)</f>
        <v>0</v>
      </c>
      <c r="L71" s="1774">
        <f xml:space="preserve"> L$62*VLOOKUP(L$13,'II. Inputs, Baseline Energy Mix'!$F$133:$Y$182,4, FALSE)</f>
        <v>0</v>
      </c>
      <c r="M71" s="1774">
        <f xml:space="preserve"> M$62*VLOOKUP(M$13,'II. Inputs, Baseline Energy Mix'!$F$133:$Y$182,4, FALSE)</f>
        <v>0</v>
      </c>
      <c r="N71" s="1774">
        <f xml:space="preserve"> N$62*VLOOKUP(N$13,'II. Inputs, Baseline Energy Mix'!$F$133:$Y$182,4, FALSE)</f>
        <v>0</v>
      </c>
      <c r="O71" s="1774">
        <f xml:space="preserve"> O$62*VLOOKUP(O$13,'II. Inputs, Baseline Energy Mix'!$F$133:$Y$182,4, FALSE)</f>
        <v>0</v>
      </c>
      <c r="P71" s="1774">
        <f xml:space="preserve"> P$62*VLOOKUP(P$13,'II. Inputs, Baseline Energy Mix'!$F$133:$Y$182,4, FALSE)</f>
        <v>0</v>
      </c>
      <c r="Q71" s="1774">
        <f xml:space="preserve"> Q$62*VLOOKUP(Q$13,'II. Inputs, Baseline Energy Mix'!$F$133:$Y$182,4, FALSE)</f>
        <v>0</v>
      </c>
      <c r="R71" s="1774">
        <f xml:space="preserve"> R$62*VLOOKUP(R$13,'II. Inputs, Baseline Energy Mix'!$F$133:$Y$182,4, FALSE)</f>
        <v>0</v>
      </c>
      <c r="S71" s="1774">
        <f xml:space="preserve"> S$62*VLOOKUP(S$13,'II. Inputs, Baseline Energy Mix'!$F$133:$Y$182,4, FALSE)</f>
        <v>0</v>
      </c>
      <c r="T71" s="1774">
        <f xml:space="preserve"> T$62*VLOOKUP(T$13,'II. Inputs, Baseline Energy Mix'!$F$133:$Y$182,4, FALSE)</f>
        <v>0</v>
      </c>
      <c r="U71" s="1774">
        <f xml:space="preserve"> U$62*VLOOKUP(U$13,'II. Inputs, Baseline Energy Mix'!$F$133:$Y$182,4, FALSE)</f>
        <v>0</v>
      </c>
      <c r="V71" s="1774">
        <f xml:space="preserve"> V$62*VLOOKUP(V$13,'II. Inputs, Baseline Energy Mix'!$F$133:$Y$182,4, FALSE)</f>
        <v>0</v>
      </c>
      <c r="W71" s="1774">
        <f xml:space="preserve"> W$62*VLOOKUP(W$13,'II. Inputs, Baseline Energy Mix'!$F$133:$Y$182,4, FALSE)</f>
        <v>0</v>
      </c>
      <c r="X71" s="1774">
        <f xml:space="preserve"> X$62*VLOOKUP(X$13,'II. Inputs, Baseline Energy Mix'!$F$133:$Y$182,4, FALSE)</f>
        <v>0</v>
      </c>
      <c r="Y71" s="1774">
        <f xml:space="preserve"> Y$62*VLOOKUP(Y$13,'II. Inputs, Baseline Energy Mix'!$F$133:$Y$182,4, FALSE)</f>
        <v>0</v>
      </c>
      <c r="Z71" s="1774">
        <f xml:space="preserve"> Z$62*VLOOKUP(Z$13,'II. Inputs, Baseline Energy Mix'!$F$133:$Y$182,4, FALSE)</f>
        <v>0</v>
      </c>
      <c r="AA71" s="1774">
        <f xml:space="preserve"> AA$62*VLOOKUP(AA$13,'II. Inputs, Baseline Energy Mix'!$F$133:$Y$182,4, FALSE)</f>
        <v>0</v>
      </c>
      <c r="AB71" s="1774">
        <f xml:space="preserve"> AB$62*VLOOKUP(AB$13,'II. Inputs, Baseline Energy Mix'!$F$133:$Y$182,4, FALSE)</f>
        <v>0</v>
      </c>
      <c r="AC71" s="1774">
        <f xml:space="preserve"> AC$62*VLOOKUP(AC$13,'II. Inputs, Baseline Energy Mix'!$F$133:$Y$182,4, FALSE)</f>
        <v>0</v>
      </c>
      <c r="AD71" s="1774">
        <f xml:space="preserve"> AD$62*VLOOKUP(AD$13,'II. Inputs, Baseline Energy Mix'!$F$133:$Y$182,4, FALSE)</f>
        <v>0</v>
      </c>
      <c r="AE71" s="1774">
        <f xml:space="preserve"> AE$62*VLOOKUP(AE$13,'II. Inputs, Baseline Energy Mix'!$F$133:$Y$182,4, FALSE)</f>
        <v>0</v>
      </c>
      <c r="AF71" s="1774">
        <f xml:space="preserve"> AF$62*VLOOKUP(AF$13,'II. Inputs, Baseline Energy Mix'!$F$133:$Y$182,4, FALSE)</f>
        <v>0</v>
      </c>
      <c r="AG71" s="1774">
        <f xml:space="preserve"> AG$62*VLOOKUP(AG$13,'II. Inputs, Baseline Energy Mix'!$F$133:$Y$182,4, FALSE)</f>
        <v>0</v>
      </c>
      <c r="AH71" s="1774">
        <f xml:space="preserve"> AH$62*VLOOKUP(AH$13,'II. Inputs, Baseline Energy Mix'!$F$133:$Y$182,4, FALSE)</f>
        <v>0</v>
      </c>
      <c r="AI71" s="1774">
        <f xml:space="preserve"> AI$62*VLOOKUP(AI$13,'II. Inputs, Baseline Energy Mix'!$F$133:$Y$182,4, FALSE)</f>
        <v>0</v>
      </c>
      <c r="AJ71" s="1774">
        <f xml:space="preserve"> AJ$62*VLOOKUP(AJ$13,'II. Inputs, Baseline Energy Mix'!$F$133:$Y$182,4, FALSE)</f>
        <v>0</v>
      </c>
      <c r="AK71" s="1774">
        <f xml:space="preserve"> AK$62*VLOOKUP(AK$13,'II. Inputs, Baseline Energy Mix'!$F$133:$Y$182,4, FALSE)</f>
        <v>0</v>
      </c>
      <c r="AL71" s="1774">
        <f xml:space="preserve"> AL$62*VLOOKUP(AL$13,'II. Inputs, Baseline Energy Mix'!$F$133:$Y$182,4, FALSE)</f>
        <v>0</v>
      </c>
      <c r="AM71" s="1774">
        <f xml:space="preserve"> AM$62*VLOOKUP(AM$13,'II. Inputs, Baseline Energy Mix'!$F$133:$Y$182,4, FALSE)</f>
        <v>0</v>
      </c>
      <c r="AN71" s="1774">
        <f xml:space="preserve"> AN$62*VLOOKUP(AN$13,'II. Inputs, Baseline Energy Mix'!$F$133:$Y$182,4, FALSE)</f>
        <v>0</v>
      </c>
      <c r="AO71" s="1774">
        <f xml:space="preserve"> AO$62*VLOOKUP(AO$13,'II. Inputs, Baseline Energy Mix'!$F$133:$Y$182,4, FALSE)</f>
        <v>0</v>
      </c>
      <c r="AP71" s="1774">
        <f xml:space="preserve"> AP$62*VLOOKUP(AP$13,'II. Inputs, Baseline Energy Mix'!$F$133:$Y$182,4, FALSE)</f>
        <v>0</v>
      </c>
      <c r="AQ71" s="1774">
        <f xml:space="preserve"> AQ$62*VLOOKUP(AQ$13,'II. Inputs, Baseline Energy Mix'!$F$133:$Y$182,4, FALSE)</f>
        <v>0</v>
      </c>
      <c r="AR71" s="1774">
        <f xml:space="preserve"> AR$62*VLOOKUP(AR$13,'II. Inputs, Baseline Energy Mix'!$F$133:$Y$182,4, FALSE)</f>
        <v>0</v>
      </c>
      <c r="AS71" s="1774">
        <f xml:space="preserve"> AS$62*VLOOKUP(AS$13,'II. Inputs, Baseline Energy Mix'!$F$133:$Y$182,4, FALSE)</f>
        <v>0</v>
      </c>
      <c r="AT71" s="1774">
        <f xml:space="preserve"> AT$62*VLOOKUP(AT$13,'II. Inputs, Baseline Energy Mix'!$F$133:$Y$182,4, FALSE)</f>
        <v>0</v>
      </c>
      <c r="AU71" s="1774">
        <f xml:space="preserve"> AU$62*VLOOKUP(AU$13,'II. Inputs, Baseline Energy Mix'!$F$133:$Y$182,4, FALSE)</f>
        <v>0</v>
      </c>
      <c r="AV71" s="1774">
        <f xml:space="preserve"> AV$62*VLOOKUP(AV$13,'II. Inputs, Baseline Energy Mix'!$F$133:$Y$182,4, FALSE)</f>
        <v>0</v>
      </c>
      <c r="AW71" s="1774">
        <f xml:space="preserve"> AW$62*VLOOKUP(AW$13,'II. Inputs, Baseline Energy Mix'!$F$133:$Y$182,4, FALSE)</f>
        <v>0</v>
      </c>
      <c r="AX71" s="1774">
        <f xml:space="preserve"> AX$62*VLOOKUP(AX$13,'II. Inputs, Baseline Energy Mix'!$F$133:$Y$182,4, FALSE)</f>
        <v>0</v>
      </c>
      <c r="AY71" s="1774">
        <f xml:space="preserve"> AY$62*VLOOKUP(AY$13,'II. Inputs, Baseline Energy Mix'!$F$133:$Y$182,4, FALSE)</f>
        <v>0</v>
      </c>
      <c r="AZ71" s="1774">
        <f xml:space="preserve"> AZ$62*VLOOKUP(AZ$13,'II. Inputs, Baseline Energy Mix'!$F$133:$Y$182,4, FALSE)</f>
        <v>0</v>
      </c>
      <c r="BA71" s="1774">
        <f xml:space="preserve"> BA$62*VLOOKUP(BA$13,'II. Inputs, Baseline Energy Mix'!$F$133:$Y$182,4, FALSE)</f>
        <v>0</v>
      </c>
      <c r="BB71" s="1774">
        <f xml:space="preserve"> BB$62*VLOOKUP(BB$13,'II. Inputs, Baseline Energy Mix'!$F$133:$Y$182,4, FALSE)</f>
        <v>0</v>
      </c>
      <c r="BC71" s="1774">
        <f xml:space="preserve"> BC$62*VLOOKUP(BC$13,'II. Inputs, Baseline Energy Mix'!$F$133:$Y$182,4, FALSE)</f>
        <v>0</v>
      </c>
      <c r="BD71" s="1774">
        <f xml:space="preserve"> BD$62*VLOOKUP(BD$13,'II. Inputs, Baseline Energy Mix'!$F$133:$Y$182,4, FALSE)</f>
        <v>0</v>
      </c>
      <c r="BE71" s="1775">
        <f xml:space="preserve"> BE$62*VLOOKUP(BE$13,'II. Inputs, Baseline Energy Mix'!$F$133:$Y$182,4, FALSE)</f>
        <v>0</v>
      </c>
      <c r="BF71" s="695"/>
    </row>
    <row r="72" spans="1:58" outlineLevel="1" x14ac:dyDescent="0.45">
      <c r="A72" s="695"/>
      <c r="B72" s="863"/>
      <c r="C72" s="864" t="s">
        <v>621</v>
      </c>
      <c r="D72" s="864"/>
      <c r="E72" s="867"/>
      <c r="F72" s="867"/>
      <c r="G72" s="864"/>
      <c r="H72" s="1774">
        <f xml:space="preserve"> H$62*VLOOKUP(H$13,'II. Inputs, Baseline Energy Mix'!$F$133:$Y$182,10, FALSE)</f>
        <v>0</v>
      </c>
      <c r="I72" s="1774">
        <f xml:space="preserve"> I$62*VLOOKUP(I$13,'II. Inputs, Baseline Energy Mix'!$F$133:$Y$182,10, FALSE)</f>
        <v>0</v>
      </c>
      <c r="J72" s="1774">
        <f xml:space="preserve"> J$62*VLOOKUP(J$13,'II. Inputs, Baseline Energy Mix'!$F$133:$Y$182,10, FALSE)</f>
        <v>0</v>
      </c>
      <c r="K72" s="1774">
        <f xml:space="preserve"> K$62*VLOOKUP(K$13,'II. Inputs, Baseline Energy Mix'!$F$133:$Y$182,10, FALSE)</f>
        <v>0</v>
      </c>
      <c r="L72" s="1774">
        <f xml:space="preserve"> L$62*VLOOKUP(L$13,'II. Inputs, Baseline Energy Mix'!$F$133:$Y$182,10, FALSE)</f>
        <v>0</v>
      </c>
      <c r="M72" s="1774">
        <f xml:space="preserve"> M$62*VLOOKUP(M$13,'II. Inputs, Baseline Energy Mix'!$F$133:$Y$182,10, FALSE)</f>
        <v>0</v>
      </c>
      <c r="N72" s="1774">
        <f xml:space="preserve"> N$62*VLOOKUP(N$13,'II. Inputs, Baseline Energy Mix'!$F$133:$Y$182,10, FALSE)</f>
        <v>0</v>
      </c>
      <c r="O72" s="1774">
        <f xml:space="preserve"> O$62*VLOOKUP(O$13,'II. Inputs, Baseline Energy Mix'!$F$133:$Y$182,10, FALSE)</f>
        <v>0</v>
      </c>
      <c r="P72" s="1774">
        <f xml:space="preserve"> P$62*VLOOKUP(P$13,'II. Inputs, Baseline Energy Mix'!$F$133:$Y$182,10, FALSE)</f>
        <v>0</v>
      </c>
      <c r="Q72" s="1774">
        <f xml:space="preserve"> Q$62*VLOOKUP(Q$13,'II. Inputs, Baseline Energy Mix'!$F$133:$Y$182,10, FALSE)</f>
        <v>0</v>
      </c>
      <c r="R72" s="1774">
        <f xml:space="preserve"> R$62*VLOOKUP(R$13,'II. Inputs, Baseline Energy Mix'!$F$133:$Y$182,10, FALSE)</f>
        <v>0</v>
      </c>
      <c r="S72" s="1774">
        <f xml:space="preserve"> S$62*VLOOKUP(S$13,'II. Inputs, Baseline Energy Mix'!$F$133:$Y$182,10, FALSE)</f>
        <v>0</v>
      </c>
      <c r="T72" s="1774">
        <f xml:space="preserve"> T$62*VLOOKUP(T$13,'II. Inputs, Baseline Energy Mix'!$F$133:$Y$182,10, FALSE)</f>
        <v>0</v>
      </c>
      <c r="U72" s="1774">
        <f xml:space="preserve"> U$62*VLOOKUP(U$13,'II. Inputs, Baseline Energy Mix'!$F$133:$Y$182,10, FALSE)</f>
        <v>0</v>
      </c>
      <c r="V72" s="1774">
        <f xml:space="preserve"> V$62*VLOOKUP(V$13,'II. Inputs, Baseline Energy Mix'!$F$133:$Y$182,10, FALSE)</f>
        <v>0</v>
      </c>
      <c r="W72" s="1774">
        <f xml:space="preserve"> W$62*VLOOKUP(W$13,'II. Inputs, Baseline Energy Mix'!$F$133:$Y$182,10, FALSE)</f>
        <v>0</v>
      </c>
      <c r="X72" s="1774">
        <f xml:space="preserve"> X$62*VLOOKUP(X$13,'II. Inputs, Baseline Energy Mix'!$F$133:$Y$182,10, FALSE)</f>
        <v>0</v>
      </c>
      <c r="Y72" s="1774">
        <f xml:space="preserve"> Y$62*VLOOKUP(Y$13,'II. Inputs, Baseline Energy Mix'!$F$133:$Y$182,10, FALSE)</f>
        <v>0</v>
      </c>
      <c r="Z72" s="1774">
        <f xml:space="preserve"> Z$62*VLOOKUP(Z$13,'II. Inputs, Baseline Energy Mix'!$F$133:$Y$182,10, FALSE)</f>
        <v>0</v>
      </c>
      <c r="AA72" s="1774">
        <f xml:space="preserve"> AA$62*VLOOKUP(AA$13,'II. Inputs, Baseline Energy Mix'!$F$133:$Y$182,10, FALSE)</f>
        <v>0</v>
      </c>
      <c r="AB72" s="1774">
        <f xml:space="preserve"> AB$62*VLOOKUP(AB$13,'II. Inputs, Baseline Energy Mix'!$F$133:$Y$182,10, FALSE)</f>
        <v>0</v>
      </c>
      <c r="AC72" s="1774">
        <f xml:space="preserve"> AC$62*VLOOKUP(AC$13,'II. Inputs, Baseline Energy Mix'!$F$133:$Y$182,10, FALSE)</f>
        <v>0</v>
      </c>
      <c r="AD72" s="1774">
        <f xml:space="preserve"> AD$62*VLOOKUP(AD$13,'II. Inputs, Baseline Energy Mix'!$F$133:$Y$182,10, FALSE)</f>
        <v>0</v>
      </c>
      <c r="AE72" s="1774">
        <f xml:space="preserve"> AE$62*VLOOKUP(AE$13,'II. Inputs, Baseline Energy Mix'!$F$133:$Y$182,10, FALSE)</f>
        <v>0</v>
      </c>
      <c r="AF72" s="1774">
        <f xml:space="preserve"> AF$62*VLOOKUP(AF$13,'II. Inputs, Baseline Energy Mix'!$F$133:$Y$182,10, FALSE)</f>
        <v>0</v>
      </c>
      <c r="AG72" s="1774">
        <f xml:space="preserve"> AG$62*VLOOKUP(AG$13,'II. Inputs, Baseline Energy Mix'!$F$133:$Y$182,10, FALSE)</f>
        <v>0</v>
      </c>
      <c r="AH72" s="1774">
        <f xml:space="preserve"> AH$62*VLOOKUP(AH$13,'II. Inputs, Baseline Energy Mix'!$F$133:$Y$182,10, FALSE)</f>
        <v>0</v>
      </c>
      <c r="AI72" s="1774">
        <f xml:space="preserve"> AI$62*VLOOKUP(AI$13,'II. Inputs, Baseline Energy Mix'!$F$133:$Y$182,10, FALSE)</f>
        <v>0</v>
      </c>
      <c r="AJ72" s="1774">
        <f xml:space="preserve"> AJ$62*VLOOKUP(AJ$13,'II. Inputs, Baseline Energy Mix'!$F$133:$Y$182,10, FALSE)</f>
        <v>0</v>
      </c>
      <c r="AK72" s="1774">
        <f xml:space="preserve"> AK$62*VLOOKUP(AK$13,'II. Inputs, Baseline Energy Mix'!$F$133:$Y$182,10, FALSE)</f>
        <v>0</v>
      </c>
      <c r="AL72" s="1774">
        <f xml:space="preserve"> AL$62*VLOOKUP(AL$13,'II. Inputs, Baseline Energy Mix'!$F$133:$Y$182,10, FALSE)</f>
        <v>0</v>
      </c>
      <c r="AM72" s="1774">
        <f xml:space="preserve"> AM$62*VLOOKUP(AM$13,'II. Inputs, Baseline Energy Mix'!$F$133:$Y$182,10, FALSE)</f>
        <v>0</v>
      </c>
      <c r="AN72" s="1774">
        <f xml:space="preserve"> AN$62*VLOOKUP(AN$13,'II. Inputs, Baseline Energy Mix'!$F$133:$Y$182,10, FALSE)</f>
        <v>0</v>
      </c>
      <c r="AO72" s="1774">
        <f xml:space="preserve"> AO$62*VLOOKUP(AO$13,'II. Inputs, Baseline Energy Mix'!$F$133:$Y$182,10, FALSE)</f>
        <v>0</v>
      </c>
      <c r="AP72" s="1774">
        <f xml:space="preserve"> AP$62*VLOOKUP(AP$13,'II. Inputs, Baseline Energy Mix'!$F$133:$Y$182,10, FALSE)</f>
        <v>0</v>
      </c>
      <c r="AQ72" s="1774">
        <f xml:space="preserve"> AQ$62*VLOOKUP(AQ$13,'II. Inputs, Baseline Energy Mix'!$F$133:$Y$182,10, FALSE)</f>
        <v>0</v>
      </c>
      <c r="AR72" s="1774">
        <f xml:space="preserve"> AR$62*VLOOKUP(AR$13,'II. Inputs, Baseline Energy Mix'!$F$133:$Y$182,10, FALSE)</f>
        <v>0</v>
      </c>
      <c r="AS72" s="1774">
        <f xml:space="preserve"> AS$62*VLOOKUP(AS$13,'II. Inputs, Baseline Energy Mix'!$F$133:$Y$182,10, FALSE)</f>
        <v>0</v>
      </c>
      <c r="AT72" s="1774">
        <f xml:space="preserve"> AT$62*VLOOKUP(AT$13,'II. Inputs, Baseline Energy Mix'!$F$133:$Y$182,10, FALSE)</f>
        <v>0</v>
      </c>
      <c r="AU72" s="1774">
        <f xml:space="preserve"> AU$62*VLOOKUP(AU$13,'II. Inputs, Baseline Energy Mix'!$F$133:$Y$182,10, FALSE)</f>
        <v>0</v>
      </c>
      <c r="AV72" s="1774">
        <f xml:space="preserve"> AV$62*VLOOKUP(AV$13,'II. Inputs, Baseline Energy Mix'!$F$133:$Y$182,10, FALSE)</f>
        <v>0</v>
      </c>
      <c r="AW72" s="1774">
        <f xml:space="preserve"> AW$62*VLOOKUP(AW$13,'II. Inputs, Baseline Energy Mix'!$F$133:$Y$182,10, FALSE)</f>
        <v>0</v>
      </c>
      <c r="AX72" s="1774">
        <f xml:space="preserve"> AX$62*VLOOKUP(AX$13,'II. Inputs, Baseline Energy Mix'!$F$133:$Y$182,10, FALSE)</f>
        <v>0</v>
      </c>
      <c r="AY72" s="1774">
        <f xml:space="preserve"> AY$62*VLOOKUP(AY$13,'II. Inputs, Baseline Energy Mix'!$F$133:$Y$182,10, FALSE)</f>
        <v>0</v>
      </c>
      <c r="AZ72" s="1774">
        <f xml:space="preserve"> AZ$62*VLOOKUP(AZ$13,'II. Inputs, Baseline Energy Mix'!$F$133:$Y$182,10, FALSE)</f>
        <v>0</v>
      </c>
      <c r="BA72" s="1774">
        <f xml:space="preserve"> BA$62*VLOOKUP(BA$13,'II. Inputs, Baseline Energy Mix'!$F$133:$Y$182,10, FALSE)</f>
        <v>0</v>
      </c>
      <c r="BB72" s="1774">
        <f xml:space="preserve"> BB$62*VLOOKUP(BB$13,'II. Inputs, Baseline Energy Mix'!$F$133:$Y$182,10, FALSE)</f>
        <v>0</v>
      </c>
      <c r="BC72" s="1774">
        <f xml:space="preserve"> BC$62*VLOOKUP(BC$13,'II. Inputs, Baseline Energy Mix'!$F$133:$Y$182,10, FALSE)</f>
        <v>0</v>
      </c>
      <c r="BD72" s="1774">
        <f xml:space="preserve"> BD$62*VLOOKUP(BD$13,'II. Inputs, Baseline Energy Mix'!$F$133:$Y$182,10, FALSE)</f>
        <v>0</v>
      </c>
      <c r="BE72" s="1775">
        <f xml:space="preserve"> BE$62*VLOOKUP(BE$13,'II. Inputs, Baseline Energy Mix'!$F$133:$Y$182,10, FALSE)</f>
        <v>0</v>
      </c>
      <c r="BF72" s="695"/>
    </row>
    <row r="73" spans="1:58" outlineLevel="1" x14ac:dyDescent="0.45">
      <c r="A73" s="695"/>
      <c r="B73" s="863"/>
      <c r="C73" s="864" t="s">
        <v>622</v>
      </c>
      <c r="D73" s="864"/>
      <c r="E73" s="867"/>
      <c r="F73" s="867"/>
      <c r="G73" s="864"/>
      <c r="H73" s="1774">
        <f xml:space="preserve"> H$62*VLOOKUP(H$13,'II. Inputs, Baseline Energy Mix'!$F$133:$Y$182,16, FALSE)</f>
        <v>0</v>
      </c>
      <c r="I73" s="1774">
        <f xml:space="preserve"> I$62*VLOOKUP(I$13,'II. Inputs, Baseline Energy Mix'!$F$133:$Y$182,16, FALSE)</f>
        <v>0</v>
      </c>
      <c r="J73" s="1774">
        <f xml:space="preserve"> J$62*VLOOKUP(J$13,'II. Inputs, Baseline Energy Mix'!$F$133:$Y$182,16, FALSE)</f>
        <v>0</v>
      </c>
      <c r="K73" s="1774">
        <f xml:space="preserve"> K$62*VLOOKUP(K$13,'II. Inputs, Baseline Energy Mix'!$F$133:$Y$182,16, FALSE)</f>
        <v>0</v>
      </c>
      <c r="L73" s="1774">
        <f xml:space="preserve"> L$62*VLOOKUP(L$13,'II. Inputs, Baseline Energy Mix'!$F$133:$Y$182,16, FALSE)</f>
        <v>0</v>
      </c>
      <c r="M73" s="1774">
        <f xml:space="preserve"> M$62*VLOOKUP(M$13,'II. Inputs, Baseline Energy Mix'!$F$133:$Y$182,16, FALSE)</f>
        <v>0</v>
      </c>
      <c r="N73" s="1774">
        <f xml:space="preserve"> N$62*VLOOKUP(N$13,'II. Inputs, Baseline Energy Mix'!$F$133:$Y$182,16, FALSE)</f>
        <v>0</v>
      </c>
      <c r="O73" s="1774">
        <f xml:space="preserve"> O$62*VLOOKUP(O$13,'II. Inputs, Baseline Energy Mix'!$F$133:$Y$182,16, FALSE)</f>
        <v>0</v>
      </c>
      <c r="P73" s="1774">
        <f xml:space="preserve"> P$62*VLOOKUP(P$13,'II. Inputs, Baseline Energy Mix'!$F$133:$Y$182,16, FALSE)</f>
        <v>0</v>
      </c>
      <c r="Q73" s="1774">
        <f xml:space="preserve"> Q$62*VLOOKUP(Q$13,'II. Inputs, Baseline Energy Mix'!$F$133:$Y$182,16, FALSE)</f>
        <v>0</v>
      </c>
      <c r="R73" s="1774">
        <f xml:space="preserve"> R$62*VLOOKUP(R$13,'II. Inputs, Baseline Energy Mix'!$F$133:$Y$182,16, FALSE)</f>
        <v>0</v>
      </c>
      <c r="S73" s="1774">
        <f xml:space="preserve"> S$62*VLOOKUP(S$13,'II. Inputs, Baseline Energy Mix'!$F$133:$Y$182,16, FALSE)</f>
        <v>0</v>
      </c>
      <c r="T73" s="1774">
        <f xml:space="preserve"> T$62*VLOOKUP(T$13,'II. Inputs, Baseline Energy Mix'!$F$133:$Y$182,16, FALSE)</f>
        <v>0</v>
      </c>
      <c r="U73" s="1774">
        <f xml:space="preserve"> U$62*VLOOKUP(U$13,'II. Inputs, Baseline Energy Mix'!$F$133:$Y$182,16, FALSE)</f>
        <v>0</v>
      </c>
      <c r="V73" s="1774">
        <f xml:space="preserve"> V$62*VLOOKUP(V$13,'II. Inputs, Baseline Energy Mix'!$F$133:$Y$182,16, FALSE)</f>
        <v>0</v>
      </c>
      <c r="W73" s="1774">
        <f xml:space="preserve"> W$62*VLOOKUP(W$13,'II. Inputs, Baseline Energy Mix'!$F$133:$Y$182,16, FALSE)</f>
        <v>0</v>
      </c>
      <c r="X73" s="1774">
        <f xml:space="preserve"> X$62*VLOOKUP(X$13,'II. Inputs, Baseline Energy Mix'!$F$133:$Y$182,16, FALSE)</f>
        <v>0</v>
      </c>
      <c r="Y73" s="1774">
        <f xml:space="preserve"> Y$62*VLOOKUP(Y$13,'II. Inputs, Baseline Energy Mix'!$F$133:$Y$182,16, FALSE)</f>
        <v>0</v>
      </c>
      <c r="Z73" s="1774">
        <f xml:space="preserve"> Z$62*VLOOKUP(Z$13,'II. Inputs, Baseline Energy Mix'!$F$133:$Y$182,16, FALSE)</f>
        <v>0</v>
      </c>
      <c r="AA73" s="1774">
        <f xml:space="preserve"> AA$62*VLOOKUP(AA$13,'II. Inputs, Baseline Energy Mix'!$F$133:$Y$182,16, FALSE)</f>
        <v>0</v>
      </c>
      <c r="AB73" s="1774">
        <f xml:space="preserve"> AB$62*VLOOKUP(AB$13,'II. Inputs, Baseline Energy Mix'!$F$133:$Y$182,16, FALSE)</f>
        <v>0</v>
      </c>
      <c r="AC73" s="1774">
        <f xml:space="preserve"> AC$62*VLOOKUP(AC$13,'II. Inputs, Baseline Energy Mix'!$F$133:$Y$182,16, FALSE)</f>
        <v>0</v>
      </c>
      <c r="AD73" s="1774">
        <f xml:space="preserve"> AD$62*VLOOKUP(AD$13,'II. Inputs, Baseline Energy Mix'!$F$133:$Y$182,16, FALSE)</f>
        <v>0</v>
      </c>
      <c r="AE73" s="1774">
        <f xml:space="preserve"> AE$62*VLOOKUP(AE$13,'II. Inputs, Baseline Energy Mix'!$F$133:$Y$182,16, FALSE)</f>
        <v>0</v>
      </c>
      <c r="AF73" s="1774">
        <f xml:space="preserve"> AF$62*VLOOKUP(AF$13,'II. Inputs, Baseline Energy Mix'!$F$133:$Y$182,16, FALSE)</f>
        <v>0</v>
      </c>
      <c r="AG73" s="1774">
        <f xml:space="preserve"> AG$62*VLOOKUP(AG$13,'II. Inputs, Baseline Energy Mix'!$F$133:$Y$182,16, FALSE)</f>
        <v>0</v>
      </c>
      <c r="AH73" s="1774">
        <f xml:space="preserve"> AH$62*VLOOKUP(AH$13,'II. Inputs, Baseline Energy Mix'!$F$133:$Y$182,16, FALSE)</f>
        <v>0</v>
      </c>
      <c r="AI73" s="1774">
        <f xml:space="preserve"> AI$62*VLOOKUP(AI$13,'II. Inputs, Baseline Energy Mix'!$F$133:$Y$182,16, FALSE)</f>
        <v>0</v>
      </c>
      <c r="AJ73" s="1774">
        <f xml:space="preserve"> AJ$62*VLOOKUP(AJ$13,'II. Inputs, Baseline Energy Mix'!$F$133:$Y$182,16, FALSE)</f>
        <v>0</v>
      </c>
      <c r="AK73" s="1774">
        <f xml:space="preserve"> AK$62*VLOOKUP(AK$13,'II. Inputs, Baseline Energy Mix'!$F$133:$Y$182,16, FALSE)</f>
        <v>0</v>
      </c>
      <c r="AL73" s="1774">
        <f xml:space="preserve"> AL$62*VLOOKUP(AL$13,'II. Inputs, Baseline Energy Mix'!$F$133:$Y$182,16, FALSE)</f>
        <v>0</v>
      </c>
      <c r="AM73" s="1774">
        <f xml:space="preserve"> AM$62*VLOOKUP(AM$13,'II. Inputs, Baseline Energy Mix'!$F$133:$Y$182,16, FALSE)</f>
        <v>0</v>
      </c>
      <c r="AN73" s="1774">
        <f xml:space="preserve"> AN$62*VLOOKUP(AN$13,'II. Inputs, Baseline Energy Mix'!$F$133:$Y$182,16, FALSE)</f>
        <v>0</v>
      </c>
      <c r="AO73" s="1774">
        <f xml:space="preserve"> AO$62*VLOOKUP(AO$13,'II. Inputs, Baseline Energy Mix'!$F$133:$Y$182,16, FALSE)</f>
        <v>0</v>
      </c>
      <c r="AP73" s="1774">
        <f xml:space="preserve"> AP$62*VLOOKUP(AP$13,'II. Inputs, Baseline Energy Mix'!$F$133:$Y$182,16, FALSE)</f>
        <v>0</v>
      </c>
      <c r="AQ73" s="1774">
        <f xml:space="preserve"> AQ$62*VLOOKUP(AQ$13,'II. Inputs, Baseline Energy Mix'!$F$133:$Y$182,16, FALSE)</f>
        <v>0</v>
      </c>
      <c r="AR73" s="1774">
        <f xml:space="preserve"> AR$62*VLOOKUP(AR$13,'II. Inputs, Baseline Energy Mix'!$F$133:$Y$182,16, FALSE)</f>
        <v>0</v>
      </c>
      <c r="AS73" s="1774">
        <f xml:space="preserve"> AS$62*VLOOKUP(AS$13,'II. Inputs, Baseline Energy Mix'!$F$133:$Y$182,16, FALSE)</f>
        <v>0</v>
      </c>
      <c r="AT73" s="1774">
        <f xml:space="preserve"> AT$62*VLOOKUP(AT$13,'II. Inputs, Baseline Energy Mix'!$F$133:$Y$182,16, FALSE)</f>
        <v>0</v>
      </c>
      <c r="AU73" s="1774">
        <f xml:space="preserve"> AU$62*VLOOKUP(AU$13,'II. Inputs, Baseline Energy Mix'!$F$133:$Y$182,16, FALSE)</f>
        <v>0</v>
      </c>
      <c r="AV73" s="1774">
        <f xml:space="preserve"> AV$62*VLOOKUP(AV$13,'II. Inputs, Baseline Energy Mix'!$F$133:$Y$182,16, FALSE)</f>
        <v>0</v>
      </c>
      <c r="AW73" s="1774">
        <f xml:space="preserve"> AW$62*VLOOKUP(AW$13,'II. Inputs, Baseline Energy Mix'!$F$133:$Y$182,16, FALSE)</f>
        <v>0</v>
      </c>
      <c r="AX73" s="1774">
        <f xml:space="preserve"> AX$62*VLOOKUP(AX$13,'II. Inputs, Baseline Energy Mix'!$F$133:$Y$182,16, FALSE)</f>
        <v>0</v>
      </c>
      <c r="AY73" s="1774">
        <f xml:space="preserve"> AY$62*VLOOKUP(AY$13,'II. Inputs, Baseline Energy Mix'!$F$133:$Y$182,16, FALSE)</f>
        <v>0</v>
      </c>
      <c r="AZ73" s="1774">
        <f xml:space="preserve"> AZ$62*VLOOKUP(AZ$13,'II. Inputs, Baseline Energy Mix'!$F$133:$Y$182,16, FALSE)</f>
        <v>0</v>
      </c>
      <c r="BA73" s="1774">
        <f xml:space="preserve"> BA$62*VLOOKUP(BA$13,'II. Inputs, Baseline Energy Mix'!$F$133:$Y$182,16, FALSE)</f>
        <v>0</v>
      </c>
      <c r="BB73" s="1774">
        <f xml:space="preserve"> BB$62*VLOOKUP(BB$13,'II. Inputs, Baseline Energy Mix'!$F$133:$Y$182,16, FALSE)</f>
        <v>0</v>
      </c>
      <c r="BC73" s="1774">
        <f xml:space="preserve"> BC$62*VLOOKUP(BC$13,'II. Inputs, Baseline Energy Mix'!$F$133:$Y$182,16, FALSE)</f>
        <v>0</v>
      </c>
      <c r="BD73" s="1774">
        <f xml:space="preserve"> BD$62*VLOOKUP(BD$13,'II. Inputs, Baseline Energy Mix'!$F$133:$Y$182,16, FALSE)</f>
        <v>0</v>
      </c>
      <c r="BE73" s="1775">
        <f xml:space="preserve"> BE$62*VLOOKUP(BE$13,'II. Inputs, Baseline Energy Mix'!$F$133:$Y$182,16, FALSE)</f>
        <v>0</v>
      </c>
      <c r="BF73" s="695"/>
    </row>
    <row r="74" spans="1:58" outlineLevel="1" x14ac:dyDescent="0.45">
      <c r="A74" s="695"/>
      <c r="B74" s="863"/>
      <c r="C74" s="864"/>
      <c r="D74" s="864"/>
      <c r="E74" s="867"/>
      <c r="F74" s="867"/>
      <c r="G74" s="864"/>
      <c r="H74" s="874"/>
      <c r="I74" s="874"/>
      <c r="J74" s="874"/>
      <c r="K74" s="874"/>
      <c r="L74" s="874"/>
      <c r="M74" s="874"/>
      <c r="N74" s="874"/>
      <c r="O74" s="874"/>
      <c r="P74" s="874"/>
      <c r="Q74" s="874"/>
      <c r="R74" s="874"/>
      <c r="S74" s="874"/>
      <c r="T74" s="874"/>
      <c r="U74" s="874"/>
      <c r="V74" s="874"/>
      <c r="W74" s="874"/>
      <c r="X74" s="874"/>
      <c r="Y74" s="874"/>
      <c r="Z74" s="874"/>
      <c r="AA74" s="874"/>
      <c r="AB74" s="874"/>
      <c r="AC74" s="874"/>
      <c r="AD74" s="874"/>
      <c r="AE74" s="874"/>
      <c r="AF74" s="874"/>
      <c r="AG74" s="874"/>
      <c r="AH74" s="874"/>
      <c r="AI74" s="874"/>
      <c r="AJ74" s="874"/>
      <c r="AK74" s="874"/>
      <c r="AL74" s="874"/>
      <c r="AM74" s="874"/>
      <c r="AN74" s="874"/>
      <c r="AO74" s="874"/>
      <c r="AP74" s="874"/>
      <c r="AQ74" s="874"/>
      <c r="AR74" s="874"/>
      <c r="AS74" s="874"/>
      <c r="AT74" s="874"/>
      <c r="AU74" s="874"/>
      <c r="AV74" s="874"/>
      <c r="AW74" s="874"/>
      <c r="AX74" s="874"/>
      <c r="AY74" s="874"/>
      <c r="AZ74" s="874"/>
      <c r="BA74" s="874"/>
      <c r="BB74" s="874"/>
      <c r="BC74" s="874"/>
      <c r="BD74" s="874"/>
      <c r="BE74" s="875"/>
      <c r="BF74" s="695"/>
    </row>
    <row r="75" spans="1:58" x14ac:dyDescent="0.45">
      <c r="A75" s="695"/>
      <c r="B75" s="863" t="s">
        <v>124</v>
      </c>
      <c r="C75" s="864"/>
      <c r="D75" s="864"/>
      <c r="E75" s="867"/>
      <c r="F75" s="867" t="s">
        <v>748</v>
      </c>
      <c r="G75" s="1551"/>
      <c r="H75" s="1549">
        <f>H70*H64*H62/'II. Inputs, Baseline Energy Mix'!$O$104</f>
        <v>0</v>
      </c>
      <c r="I75" s="1549">
        <f>I70*I64*I62/'II. Inputs, Baseline Energy Mix'!$O$104</f>
        <v>0</v>
      </c>
      <c r="J75" s="1549">
        <f>J70*J64*J62/'II. Inputs, Baseline Energy Mix'!$O$104</f>
        <v>0</v>
      </c>
      <c r="K75" s="1549">
        <f>K70*K64*K62/'II. Inputs, Baseline Energy Mix'!$O$104</f>
        <v>0</v>
      </c>
      <c r="L75" s="1549">
        <f>L70*L64*L62/'II. Inputs, Baseline Energy Mix'!$O$104</f>
        <v>0</v>
      </c>
      <c r="M75" s="1549">
        <f>M70*M64*M62/'II. Inputs, Baseline Energy Mix'!$O$104</f>
        <v>0</v>
      </c>
      <c r="N75" s="1549">
        <f>N70*N64*N62/'II. Inputs, Baseline Energy Mix'!$O$104</f>
        <v>0</v>
      </c>
      <c r="O75" s="1549">
        <f>O70*O64*O62/'II. Inputs, Baseline Energy Mix'!$O$104</f>
        <v>0</v>
      </c>
      <c r="P75" s="1549">
        <f>P70*P64*P62/'II. Inputs, Baseline Energy Mix'!$O$104</f>
        <v>0</v>
      </c>
      <c r="Q75" s="1549">
        <f>Q70*Q64*Q62/'II. Inputs, Baseline Energy Mix'!$O$104</f>
        <v>0</v>
      </c>
      <c r="R75" s="1549">
        <f>R70*R64*R62/'II. Inputs, Baseline Energy Mix'!$O$104</f>
        <v>0</v>
      </c>
      <c r="S75" s="1549">
        <f>S70*S64*S62/'II. Inputs, Baseline Energy Mix'!$O$104</f>
        <v>0</v>
      </c>
      <c r="T75" s="1549">
        <f>T70*T64*T62/'II. Inputs, Baseline Energy Mix'!$O$104</f>
        <v>0</v>
      </c>
      <c r="U75" s="1549">
        <f>U70*U64*U62/'II. Inputs, Baseline Energy Mix'!$O$104</f>
        <v>0</v>
      </c>
      <c r="V75" s="1549">
        <f>V70*V64*V62/'II. Inputs, Baseline Energy Mix'!$O$104</f>
        <v>0</v>
      </c>
      <c r="W75" s="1549">
        <f>W70*W64*W62/'II. Inputs, Baseline Energy Mix'!$O$104</f>
        <v>0</v>
      </c>
      <c r="X75" s="1549">
        <f>X70*X64*X62/'II. Inputs, Baseline Energy Mix'!$O$104</f>
        <v>0</v>
      </c>
      <c r="Y75" s="1549">
        <f>Y70*Y64*Y62/'II. Inputs, Baseline Energy Mix'!$O$104</f>
        <v>0</v>
      </c>
      <c r="Z75" s="1549">
        <f>Z70*Z64*Z62/'II. Inputs, Baseline Energy Mix'!$O$104</f>
        <v>0</v>
      </c>
      <c r="AA75" s="1549">
        <f>AA70*AA64*AA62/'II. Inputs, Baseline Energy Mix'!$O$104</f>
        <v>0</v>
      </c>
      <c r="AB75" s="1549">
        <f>AB70*AB64*AB62/'II. Inputs, Baseline Energy Mix'!$O$104</f>
        <v>0</v>
      </c>
      <c r="AC75" s="1549">
        <f>AC70*AC64*AC62/'II. Inputs, Baseline Energy Mix'!$O$104</f>
        <v>0</v>
      </c>
      <c r="AD75" s="1549">
        <f>AD70*AD64*AD62/'II. Inputs, Baseline Energy Mix'!$O$104</f>
        <v>0</v>
      </c>
      <c r="AE75" s="1549">
        <f>AE70*AE64*AE62/'II. Inputs, Baseline Energy Mix'!$O$104</f>
        <v>0</v>
      </c>
      <c r="AF75" s="1549">
        <f>AF70*AF64*AF62/'II. Inputs, Baseline Energy Mix'!$O$104</f>
        <v>0</v>
      </c>
      <c r="AG75" s="1549">
        <f>AG70*AG64*AG62/'II. Inputs, Baseline Energy Mix'!$O$104</f>
        <v>0</v>
      </c>
      <c r="AH75" s="1549">
        <f>AH70*AH64*AH62/'II. Inputs, Baseline Energy Mix'!$O$104</f>
        <v>0</v>
      </c>
      <c r="AI75" s="1549">
        <f>AI70*AI64*AI62/'II. Inputs, Baseline Energy Mix'!$O$104</f>
        <v>0</v>
      </c>
      <c r="AJ75" s="1549">
        <f>AJ70*AJ64*AJ62/'II. Inputs, Baseline Energy Mix'!$O$104</f>
        <v>0</v>
      </c>
      <c r="AK75" s="1549">
        <f>AK70*AK64*AK62/'II. Inputs, Baseline Energy Mix'!$O$104</f>
        <v>0</v>
      </c>
      <c r="AL75" s="1549">
        <f>AL70*AL64*AL62/'II. Inputs, Baseline Energy Mix'!$O$104</f>
        <v>0</v>
      </c>
      <c r="AM75" s="1549">
        <f>AM70*AM64*AM62/'II. Inputs, Baseline Energy Mix'!$O$104</f>
        <v>0</v>
      </c>
      <c r="AN75" s="1549">
        <f>AN70*AN64*AN62/'II. Inputs, Baseline Energy Mix'!$O$104</f>
        <v>0</v>
      </c>
      <c r="AO75" s="1549">
        <f>AO70*AO64*AO62/'II. Inputs, Baseline Energy Mix'!$O$104</f>
        <v>0</v>
      </c>
      <c r="AP75" s="1549">
        <f>AP70*AP64*AP62/'II. Inputs, Baseline Energy Mix'!$O$104</f>
        <v>0</v>
      </c>
      <c r="AQ75" s="1549">
        <f>AQ70*AQ64*AQ62/'II. Inputs, Baseline Energy Mix'!$O$104</f>
        <v>0</v>
      </c>
      <c r="AR75" s="1549">
        <f>AR70*AR64*AR62/'II. Inputs, Baseline Energy Mix'!$O$104</f>
        <v>0</v>
      </c>
      <c r="AS75" s="1549">
        <f>AS70*AS64*AS62/'II. Inputs, Baseline Energy Mix'!$O$104</f>
        <v>0</v>
      </c>
      <c r="AT75" s="1549">
        <f>AT70*AT64*AT62/'II. Inputs, Baseline Energy Mix'!$O$104</f>
        <v>0</v>
      </c>
      <c r="AU75" s="1549">
        <f>AU70*AU64*AU62/'II. Inputs, Baseline Energy Mix'!$O$104</f>
        <v>0</v>
      </c>
      <c r="AV75" s="1549">
        <f>AV70*AV64*AV62/'II. Inputs, Baseline Energy Mix'!$O$104</f>
        <v>0</v>
      </c>
      <c r="AW75" s="1549">
        <f>AW70*AW64*AW62/'II. Inputs, Baseline Energy Mix'!$O$104</f>
        <v>0</v>
      </c>
      <c r="AX75" s="1549">
        <f>AX70*AX64*AX62/'II. Inputs, Baseline Energy Mix'!$O$104</f>
        <v>0</v>
      </c>
      <c r="AY75" s="1549">
        <f>AY70*AY64*AY62/'II. Inputs, Baseline Energy Mix'!$O$104</f>
        <v>0</v>
      </c>
      <c r="AZ75" s="1549">
        <f>AZ70*AZ64*AZ62/'II. Inputs, Baseline Energy Mix'!$O$104</f>
        <v>0</v>
      </c>
      <c r="BA75" s="1549">
        <f>BA70*BA64*BA62/'II. Inputs, Baseline Energy Mix'!$O$104</f>
        <v>0</v>
      </c>
      <c r="BB75" s="1549">
        <f>BB70*BB64*BB62/'II. Inputs, Baseline Energy Mix'!$O$104</f>
        <v>0</v>
      </c>
      <c r="BC75" s="1549">
        <f>BC70*BC64*BC62/'II. Inputs, Baseline Energy Mix'!$O$104</f>
        <v>0</v>
      </c>
      <c r="BD75" s="1549">
        <f>BD70*BD64*BD62/'II. Inputs, Baseline Energy Mix'!$O$104</f>
        <v>0</v>
      </c>
      <c r="BE75" s="1550">
        <f>BE70*BE64*BE62/'II. Inputs, Baseline Energy Mix'!$O$104</f>
        <v>0</v>
      </c>
      <c r="BF75" s="695"/>
    </row>
    <row r="76" spans="1:58" x14ac:dyDescent="0.45">
      <c r="A76" s="695"/>
      <c r="B76" s="863"/>
      <c r="C76" s="864"/>
      <c r="D76" s="864"/>
      <c r="E76" s="867"/>
      <c r="F76" s="867"/>
      <c r="G76" s="1551"/>
      <c r="H76" s="1549"/>
      <c r="I76" s="1551"/>
      <c r="J76" s="1551"/>
      <c r="K76" s="1551"/>
      <c r="L76" s="1551"/>
      <c r="M76" s="1551"/>
      <c r="N76" s="1551"/>
      <c r="O76" s="1551"/>
      <c r="P76" s="1551"/>
      <c r="Q76" s="1551"/>
      <c r="R76" s="1551"/>
      <c r="S76" s="1551"/>
      <c r="T76" s="1551"/>
      <c r="U76" s="1551"/>
      <c r="V76" s="1551"/>
      <c r="W76" s="1551"/>
      <c r="X76" s="1551"/>
      <c r="Y76" s="1551"/>
      <c r="Z76" s="1551"/>
      <c r="AA76" s="1551"/>
      <c r="AB76" s="1551"/>
      <c r="AC76" s="1551"/>
      <c r="AD76" s="1551"/>
      <c r="AE76" s="1551"/>
      <c r="AF76" s="1551"/>
      <c r="AG76" s="1551"/>
      <c r="AH76" s="1551"/>
      <c r="AI76" s="1551"/>
      <c r="AJ76" s="1551"/>
      <c r="AK76" s="1551"/>
      <c r="AL76" s="1551"/>
      <c r="AM76" s="1551"/>
      <c r="AN76" s="1551"/>
      <c r="AO76" s="1551"/>
      <c r="AP76" s="1551"/>
      <c r="AQ76" s="1551"/>
      <c r="AR76" s="1551"/>
      <c r="AS76" s="1551"/>
      <c r="AT76" s="1551"/>
      <c r="AU76" s="1551"/>
      <c r="AV76" s="1551"/>
      <c r="AW76" s="1551"/>
      <c r="AX76" s="1551"/>
      <c r="AY76" s="1551"/>
      <c r="AZ76" s="1551"/>
      <c r="BA76" s="1551"/>
      <c r="BB76" s="1551"/>
      <c r="BC76" s="1551"/>
      <c r="BD76" s="1551"/>
      <c r="BE76" s="1552"/>
      <c r="BF76" s="695"/>
    </row>
    <row r="77" spans="1:58" x14ac:dyDescent="0.45">
      <c r="A77" s="695"/>
      <c r="B77" s="863" t="s">
        <v>89</v>
      </c>
      <c r="C77" s="864"/>
      <c r="D77" s="864"/>
      <c r="E77" s="867"/>
      <c r="F77" s="867" t="s">
        <v>748</v>
      </c>
      <c r="G77" s="1551"/>
      <c r="H77" s="1551">
        <f>H783</f>
        <v>0</v>
      </c>
      <c r="I77" s="1551">
        <f t="shared" ref="I77:BE77" si="27">I783</f>
        <v>0</v>
      </c>
      <c r="J77" s="1551">
        <f t="shared" si="27"/>
        <v>0</v>
      </c>
      <c r="K77" s="1551">
        <f t="shared" si="27"/>
        <v>0</v>
      </c>
      <c r="L77" s="1551">
        <f t="shared" si="27"/>
        <v>0</v>
      </c>
      <c r="M77" s="1551">
        <f t="shared" si="27"/>
        <v>0</v>
      </c>
      <c r="N77" s="1551">
        <f t="shared" si="27"/>
        <v>0</v>
      </c>
      <c r="O77" s="1551">
        <f t="shared" si="27"/>
        <v>0</v>
      </c>
      <c r="P77" s="1551">
        <f t="shared" si="27"/>
        <v>0</v>
      </c>
      <c r="Q77" s="1551">
        <f t="shared" si="27"/>
        <v>0</v>
      </c>
      <c r="R77" s="1551">
        <f t="shared" si="27"/>
        <v>0</v>
      </c>
      <c r="S77" s="1551">
        <f t="shared" si="27"/>
        <v>0</v>
      </c>
      <c r="T77" s="1551">
        <f t="shared" si="27"/>
        <v>0</v>
      </c>
      <c r="U77" s="1551">
        <f t="shared" si="27"/>
        <v>0</v>
      </c>
      <c r="V77" s="1551">
        <f t="shared" si="27"/>
        <v>0</v>
      </c>
      <c r="W77" s="1551">
        <f t="shared" si="27"/>
        <v>0</v>
      </c>
      <c r="X77" s="1551">
        <f t="shared" si="27"/>
        <v>0</v>
      </c>
      <c r="Y77" s="1551">
        <f t="shared" si="27"/>
        <v>0</v>
      </c>
      <c r="Z77" s="1551">
        <f t="shared" si="27"/>
        <v>0</v>
      </c>
      <c r="AA77" s="1551">
        <f t="shared" si="27"/>
        <v>0</v>
      </c>
      <c r="AB77" s="1551">
        <f t="shared" si="27"/>
        <v>0</v>
      </c>
      <c r="AC77" s="1551">
        <f t="shared" si="27"/>
        <v>0</v>
      </c>
      <c r="AD77" s="1551">
        <f t="shared" si="27"/>
        <v>0</v>
      </c>
      <c r="AE77" s="1551">
        <f t="shared" si="27"/>
        <v>0</v>
      </c>
      <c r="AF77" s="1551">
        <f t="shared" si="27"/>
        <v>0</v>
      </c>
      <c r="AG77" s="1551">
        <f t="shared" si="27"/>
        <v>0</v>
      </c>
      <c r="AH77" s="1551">
        <f t="shared" si="27"/>
        <v>0</v>
      </c>
      <c r="AI77" s="1551">
        <f t="shared" si="27"/>
        <v>0</v>
      </c>
      <c r="AJ77" s="1551">
        <f t="shared" si="27"/>
        <v>0</v>
      </c>
      <c r="AK77" s="1551">
        <f t="shared" si="27"/>
        <v>0</v>
      </c>
      <c r="AL77" s="1551">
        <f t="shared" si="27"/>
        <v>0</v>
      </c>
      <c r="AM77" s="1551">
        <f t="shared" si="27"/>
        <v>0</v>
      </c>
      <c r="AN77" s="1551">
        <f t="shared" si="27"/>
        <v>0</v>
      </c>
      <c r="AO77" s="1551">
        <f t="shared" si="27"/>
        <v>0</v>
      </c>
      <c r="AP77" s="1551">
        <f t="shared" si="27"/>
        <v>0</v>
      </c>
      <c r="AQ77" s="1551">
        <f t="shared" si="27"/>
        <v>0</v>
      </c>
      <c r="AR77" s="1551">
        <f t="shared" si="27"/>
        <v>0</v>
      </c>
      <c r="AS77" s="1551">
        <f t="shared" si="27"/>
        <v>0</v>
      </c>
      <c r="AT77" s="1551">
        <f t="shared" si="27"/>
        <v>0</v>
      </c>
      <c r="AU77" s="1551">
        <f t="shared" si="27"/>
        <v>0</v>
      </c>
      <c r="AV77" s="1551">
        <f t="shared" si="27"/>
        <v>0</v>
      </c>
      <c r="AW77" s="1551">
        <f t="shared" si="27"/>
        <v>0</v>
      </c>
      <c r="AX77" s="1551">
        <f t="shared" si="27"/>
        <v>0</v>
      </c>
      <c r="AY77" s="1551">
        <f t="shared" si="27"/>
        <v>0</v>
      </c>
      <c r="AZ77" s="1551">
        <f t="shared" si="27"/>
        <v>0</v>
      </c>
      <c r="BA77" s="1551">
        <f t="shared" si="27"/>
        <v>0</v>
      </c>
      <c r="BB77" s="1551">
        <f t="shared" si="27"/>
        <v>0</v>
      </c>
      <c r="BC77" s="1551">
        <f t="shared" si="27"/>
        <v>0</v>
      </c>
      <c r="BD77" s="1551">
        <f t="shared" si="27"/>
        <v>0</v>
      </c>
      <c r="BE77" s="1552">
        <f t="shared" si="27"/>
        <v>0</v>
      </c>
      <c r="BF77" s="695"/>
    </row>
    <row r="78" spans="1:58" x14ac:dyDescent="0.45">
      <c r="A78" s="695"/>
      <c r="B78" s="863"/>
      <c r="C78" s="864"/>
      <c r="D78" s="864"/>
      <c r="E78" s="867"/>
      <c r="F78" s="867"/>
      <c r="G78" s="1551"/>
      <c r="H78" s="1551"/>
      <c r="I78" s="1551"/>
      <c r="J78" s="1551"/>
      <c r="K78" s="1551"/>
      <c r="L78" s="1551"/>
      <c r="M78" s="1551"/>
      <c r="N78" s="1551"/>
      <c r="O78" s="1551"/>
      <c r="P78" s="1551"/>
      <c r="Q78" s="1551"/>
      <c r="R78" s="1551"/>
      <c r="S78" s="1551"/>
      <c r="T78" s="1551"/>
      <c r="U78" s="1551"/>
      <c r="V78" s="1551"/>
      <c r="W78" s="1551"/>
      <c r="X78" s="1551"/>
      <c r="Y78" s="1551"/>
      <c r="Z78" s="1551"/>
      <c r="AA78" s="1551"/>
      <c r="AB78" s="1551"/>
      <c r="AC78" s="1551"/>
      <c r="AD78" s="1551"/>
      <c r="AE78" s="1551"/>
      <c r="AF78" s="1551"/>
      <c r="AG78" s="1551"/>
      <c r="AH78" s="1551"/>
      <c r="AI78" s="1551"/>
      <c r="AJ78" s="1551"/>
      <c r="AK78" s="1551"/>
      <c r="AL78" s="1551"/>
      <c r="AM78" s="1551"/>
      <c r="AN78" s="1551"/>
      <c r="AO78" s="1551"/>
      <c r="AP78" s="1551"/>
      <c r="AQ78" s="1551"/>
      <c r="AR78" s="1551"/>
      <c r="AS78" s="1551"/>
      <c r="AT78" s="1551"/>
      <c r="AU78" s="1551"/>
      <c r="AV78" s="1551"/>
      <c r="AW78" s="1551"/>
      <c r="AX78" s="1551"/>
      <c r="AY78" s="1551"/>
      <c r="AZ78" s="1551"/>
      <c r="BA78" s="1551"/>
      <c r="BB78" s="1551"/>
      <c r="BC78" s="1551"/>
      <c r="BD78" s="1551"/>
      <c r="BE78" s="1552"/>
      <c r="BF78" s="695"/>
    </row>
    <row r="79" spans="1:58" x14ac:dyDescent="0.45">
      <c r="A79" s="695"/>
      <c r="B79" s="863" t="s">
        <v>219</v>
      </c>
      <c r="C79" s="864"/>
      <c r="D79" s="864"/>
      <c r="E79" s="867"/>
      <c r="F79" s="867" t="s">
        <v>748</v>
      </c>
      <c r="G79" s="1551"/>
      <c r="H79" s="1551">
        <f>H378</f>
        <v>0</v>
      </c>
      <c r="I79" s="1551">
        <f>I378</f>
        <v>0</v>
      </c>
      <c r="J79" s="1551">
        <f t="shared" ref="J79:BE79" si="28">J378</f>
        <v>0</v>
      </c>
      <c r="K79" s="1551">
        <f t="shared" si="28"/>
        <v>0</v>
      </c>
      <c r="L79" s="1551">
        <f t="shared" si="28"/>
        <v>0</v>
      </c>
      <c r="M79" s="1551">
        <f t="shared" si="28"/>
        <v>0</v>
      </c>
      <c r="N79" s="1551">
        <f t="shared" si="28"/>
        <v>0</v>
      </c>
      <c r="O79" s="1551">
        <f t="shared" si="28"/>
        <v>0</v>
      </c>
      <c r="P79" s="1551">
        <f t="shared" si="28"/>
        <v>0</v>
      </c>
      <c r="Q79" s="1551">
        <f t="shared" si="28"/>
        <v>0</v>
      </c>
      <c r="R79" s="1551">
        <f t="shared" si="28"/>
        <v>0</v>
      </c>
      <c r="S79" s="1551">
        <f t="shared" si="28"/>
        <v>0</v>
      </c>
      <c r="T79" s="1551">
        <f t="shared" si="28"/>
        <v>0</v>
      </c>
      <c r="U79" s="1551">
        <f t="shared" si="28"/>
        <v>0</v>
      </c>
      <c r="V79" s="1551">
        <f t="shared" si="28"/>
        <v>0</v>
      </c>
      <c r="W79" s="1551">
        <f t="shared" si="28"/>
        <v>0</v>
      </c>
      <c r="X79" s="1551">
        <f t="shared" si="28"/>
        <v>0</v>
      </c>
      <c r="Y79" s="1551">
        <f t="shared" si="28"/>
        <v>0</v>
      </c>
      <c r="Z79" s="1551">
        <f t="shared" si="28"/>
        <v>0</v>
      </c>
      <c r="AA79" s="1551">
        <f t="shared" si="28"/>
        <v>0</v>
      </c>
      <c r="AB79" s="1551">
        <f t="shared" si="28"/>
        <v>0</v>
      </c>
      <c r="AC79" s="1551">
        <f t="shared" si="28"/>
        <v>0</v>
      </c>
      <c r="AD79" s="1551">
        <f t="shared" si="28"/>
        <v>0</v>
      </c>
      <c r="AE79" s="1551">
        <f t="shared" si="28"/>
        <v>0</v>
      </c>
      <c r="AF79" s="1551">
        <f t="shared" si="28"/>
        <v>0</v>
      </c>
      <c r="AG79" s="1551">
        <f t="shared" si="28"/>
        <v>0</v>
      </c>
      <c r="AH79" s="1551">
        <f t="shared" si="28"/>
        <v>0</v>
      </c>
      <c r="AI79" s="1551">
        <f t="shared" si="28"/>
        <v>0</v>
      </c>
      <c r="AJ79" s="1551">
        <f t="shared" si="28"/>
        <v>0</v>
      </c>
      <c r="AK79" s="1551">
        <f t="shared" si="28"/>
        <v>0</v>
      </c>
      <c r="AL79" s="1551">
        <f t="shared" si="28"/>
        <v>0</v>
      </c>
      <c r="AM79" s="1551">
        <f t="shared" si="28"/>
        <v>0</v>
      </c>
      <c r="AN79" s="1551">
        <f t="shared" si="28"/>
        <v>0</v>
      </c>
      <c r="AO79" s="1551">
        <f t="shared" si="28"/>
        <v>0</v>
      </c>
      <c r="AP79" s="1551">
        <f t="shared" si="28"/>
        <v>0</v>
      </c>
      <c r="AQ79" s="1551">
        <f t="shared" si="28"/>
        <v>0</v>
      </c>
      <c r="AR79" s="1551">
        <f t="shared" si="28"/>
        <v>0</v>
      </c>
      <c r="AS79" s="1551">
        <f t="shared" si="28"/>
        <v>0</v>
      </c>
      <c r="AT79" s="1551">
        <f t="shared" si="28"/>
        <v>0</v>
      </c>
      <c r="AU79" s="1551">
        <f t="shared" si="28"/>
        <v>0</v>
      </c>
      <c r="AV79" s="1551">
        <f t="shared" si="28"/>
        <v>0</v>
      </c>
      <c r="AW79" s="1551">
        <f t="shared" si="28"/>
        <v>0</v>
      </c>
      <c r="AX79" s="1551">
        <f t="shared" si="28"/>
        <v>0</v>
      </c>
      <c r="AY79" s="1551">
        <f t="shared" si="28"/>
        <v>0</v>
      </c>
      <c r="AZ79" s="1551">
        <f t="shared" si="28"/>
        <v>0</v>
      </c>
      <c r="BA79" s="1551">
        <f t="shared" si="28"/>
        <v>0</v>
      </c>
      <c r="BB79" s="1551">
        <f t="shared" si="28"/>
        <v>0</v>
      </c>
      <c r="BC79" s="1551">
        <f t="shared" si="28"/>
        <v>0</v>
      </c>
      <c r="BD79" s="1551">
        <f t="shared" si="28"/>
        <v>0</v>
      </c>
      <c r="BE79" s="1552">
        <f t="shared" si="28"/>
        <v>0</v>
      </c>
      <c r="BF79" s="695"/>
    </row>
    <row r="80" spans="1:58" x14ac:dyDescent="0.45">
      <c r="A80" s="695"/>
      <c r="B80" s="863" t="s">
        <v>160</v>
      </c>
      <c r="C80" s="864"/>
      <c r="D80" s="864"/>
      <c r="E80" s="867"/>
      <c r="F80" s="867" t="s">
        <v>748</v>
      </c>
      <c r="G80" s="1551"/>
      <c r="H80" s="1551">
        <f>H399</f>
        <v>0</v>
      </c>
      <c r="I80" s="1551">
        <f>I399</f>
        <v>0</v>
      </c>
      <c r="J80" s="1551">
        <f t="shared" ref="J80:BE80" si="29">J399</f>
        <v>0</v>
      </c>
      <c r="K80" s="1551">
        <f t="shared" si="29"/>
        <v>0</v>
      </c>
      <c r="L80" s="1551">
        <f t="shared" si="29"/>
        <v>0</v>
      </c>
      <c r="M80" s="1551">
        <f t="shared" si="29"/>
        <v>0</v>
      </c>
      <c r="N80" s="1551">
        <f t="shared" si="29"/>
        <v>0</v>
      </c>
      <c r="O80" s="1551">
        <f t="shared" si="29"/>
        <v>0</v>
      </c>
      <c r="P80" s="1551">
        <f t="shared" si="29"/>
        <v>0</v>
      </c>
      <c r="Q80" s="1551">
        <f t="shared" si="29"/>
        <v>0</v>
      </c>
      <c r="R80" s="1551">
        <f t="shared" si="29"/>
        <v>0</v>
      </c>
      <c r="S80" s="1551">
        <f t="shared" si="29"/>
        <v>0</v>
      </c>
      <c r="T80" s="1551">
        <f t="shared" si="29"/>
        <v>0</v>
      </c>
      <c r="U80" s="1551">
        <f t="shared" si="29"/>
        <v>0</v>
      </c>
      <c r="V80" s="1551">
        <f t="shared" si="29"/>
        <v>0</v>
      </c>
      <c r="W80" s="1551">
        <f t="shared" si="29"/>
        <v>0</v>
      </c>
      <c r="X80" s="1551">
        <f t="shared" si="29"/>
        <v>0</v>
      </c>
      <c r="Y80" s="1551">
        <f t="shared" si="29"/>
        <v>0</v>
      </c>
      <c r="Z80" s="1551">
        <f t="shared" si="29"/>
        <v>0</v>
      </c>
      <c r="AA80" s="1551">
        <f t="shared" si="29"/>
        <v>0</v>
      </c>
      <c r="AB80" s="1551">
        <f t="shared" si="29"/>
        <v>0</v>
      </c>
      <c r="AC80" s="1551">
        <f t="shared" si="29"/>
        <v>0</v>
      </c>
      <c r="AD80" s="1551">
        <f t="shared" si="29"/>
        <v>0</v>
      </c>
      <c r="AE80" s="1551">
        <f t="shared" si="29"/>
        <v>0</v>
      </c>
      <c r="AF80" s="1551">
        <f t="shared" si="29"/>
        <v>0</v>
      </c>
      <c r="AG80" s="1551">
        <f t="shared" si="29"/>
        <v>0</v>
      </c>
      <c r="AH80" s="1551">
        <f t="shared" si="29"/>
        <v>0</v>
      </c>
      <c r="AI80" s="1551">
        <f t="shared" si="29"/>
        <v>0</v>
      </c>
      <c r="AJ80" s="1551">
        <f t="shared" si="29"/>
        <v>0</v>
      </c>
      <c r="AK80" s="1551">
        <f t="shared" si="29"/>
        <v>0</v>
      </c>
      <c r="AL80" s="1551">
        <f t="shared" si="29"/>
        <v>0</v>
      </c>
      <c r="AM80" s="1551">
        <f t="shared" si="29"/>
        <v>0</v>
      </c>
      <c r="AN80" s="1551">
        <f t="shared" si="29"/>
        <v>0</v>
      </c>
      <c r="AO80" s="1551">
        <f t="shared" si="29"/>
        <v>0</v>
      </c>
      <c r="AP80" s="1551">
        <f t="shared" si="29"/>
        <v>0</v>
      </c>
      <c r="AQ80" s="1551">
        <f t="shared" si="29"/>
        <v>0</v>
      </c>
      <c r="AR80" s="1551">
        <f t="shared" si="29"/>
        <v>0</v>
      </c>
      <c r="AS80" s="1551">
        <f t="shared" si="29"/>
        <v>0</v>
      </c>
      <c r="AT80" s="1551">
        <f t="shared" si="29"/>
        <v>0</v>
      </c>
      <c r="AU80" s="1551">
        <f t="shared" si="29"/>
        <v>0</v>
      </c>
      <c r="AV80" s="1551">
        <f t="shared" si="29"/>
        <v>0</v>
      </c>
      <c r="AW80" s="1551">
        <f t="shared" si="29"/>
        <v>0</v>
      </c>
      <c r="AX80" s="1551">
        <f t="shared" si="29"/>
        <v>0</v>
      </c>
      <c r="AY80" s="1551">
        <f t="shared" si="29"/>
        <v>0</v>
      </c>
      <c r="AZ80" s="1551">
        <f t="shared" si="29"/>
        <v>0</v>
      </c>
      <c r="BA80" s="1551">
        <f t="shared" si="29"/>
        <v>0</v>
      </c>
      <c r="BB80" s="1551">
        <f t="shared" si="29"/>
        <v>0</v>
      </c>
      <c r="BC80" s="1551">
        <f t="shared" si="29"/>
        <v>0</v>
      </c>
      <c r="BD80" s="1551">
        <f t="shared" si="29"/>
        <v>0</v>
      </c>
      <c r="BE80" s="1552">
        <f t="shared" si="29"/>
        <v>0</v>
      </c>
      <c r="BF80" s="695"/>
    </row>
    <row r="81" spans="1:58" x14ac:dyDescent="0.45">
      <c r="A81" s="695"/>
      <c r="B81" s="863" t="s">
        <v>161</v>
      </c>
      <c r="C81" s="864"/>
      <c r="D81" s="864"/>
      <c r="E81" s="867"/>
      <c r="F81" s="867" t="s">
        <v>748</v>
      </c>
      <c r="G81" s="1551"/>
      <c r="H81" s="1551">
        <f>H420</f>
        <v>0</v>
      </c>
      <c r="I81" s="1551">
        <f>I420</f>
        <v>0</v>
      </c>
      <c r="J81" s="1551">
        <f t="shared" ref="J81:BE81" si="30">J420</f>
        <v>0</v>
      </c>
      <c r="K81" s="1551">
        <f t="shared" si="30"/>
        <v>0</v>
      </c>
      <c r="L81" s="1551">
        <f t="shared" si="30"/>
        <v>0</v>
      </c>
      <c r="M81" s="1551">
        <f t="shared" si="30"/>
        <v>0</v>
      </c>
      <c r="N81" s="1551">
        <f t="shared" si="30"/>
        <v>0</v>
      </c>
      <c r="O81" s="1551">
        <f t="shared" si="30"/>
        <v>0</v>
      </c>
      <c r="P81" s="1551">
        <f t="shared" si="30"/>
        <v>0</v>
      </c>
      <c r="Q81" s="1551">
        <f t="shared" si="30"/>
        <v>0</v>
      </c>
      <c r="R81" s="1551">
        <f t="shared" si="30"/>
        <v>0</v>
      </c>
      <c r="S81" s="1551">
        <f t="shared" si="30"/>
        <v>0</v>
      </c>
      <c r="T81" s="1551">
        <f t="shared" si="30"/>
        <v>0</v>
      </c>
      <c r="U81" s="1551">
        <f t="shared" si="30"/>
        <v>0</v>
      </c>
      <c r="V81" s="1551">
        <f t="shared" si="30"/>
        <v>0</v>
      </c>
      <c r="W81" s="1551">
        <f t="shared" si="30"/>
        <v>0</v>
      </c>
      <c r="X81" s="1551">
        <f t="shared" si="30"/>
        <v>0</v>
      </c>
      <c r="Y81" s="1551">
        <f t="shared" si="30"/>
        <v>0</v>
      </c>
      <c r="Z81" s="1551">
        <f t="shared" si="30"/>
        <v>0</v>
      </c>
      <c r="AA81" s="1551">
        <f t="shared" si="30"/>
        <v>0</v>
      </c>
      <c r="AB81" s="1551">
        <f t="shared" si="30"/>
        <v>0</v>
      </c>
      <c r="AC81" s="1551">
        <f t="shared" si="30"/>
        <v>0</v>
      </c>
      <c r="AD81" s="1551">
        <f t="shared" si="30"/>
        <v>0</v>
      </c>
      <c r="AE81" s="1551">
        <f t="shared" si="30"/>
        <v>0</v>
      </c>
      <c r="AF81" s="1551">
        <f t="shared" si="30"/>
        <v>0</v>
      </c>
      <c r="AG81" s="1551">
        <f t="shared" si="30"/>
        <v>0</v>
      </c>
      <c r="AH81" s="1551">
        <f t="shared" si="30"/>
        <v>0</v>
      </c>
      <c r="AI81" s="1551">
        <f t="shared" si="30"/>
        <v>0</v>
      </c>
      <c r="AJ81" s="1551">
        <f t="shared" si="30"/>
        <v>0</v>
      </c>
      <c r="AK81" s="1551">
        <f t="shared" si="30"/>
        <v>0</v>
      </c>
      <c r="AL81" s="1551">
        <f t="shared" si="30"/>
        <v>0</v>
      </c>
      <c r="AM81" s="1551">
        <f t="shared" si="30"/>
        <v>0</v>
      </c>
      <c r="AN81" s="1551">
        <f t="shared" si="30"/>
        <v>0</v>
      </c>
      <c r="AO81" s="1551">
        <f t="shared" si="30"/>
        <v>0</v>
      </c>
      <c r="AP81" s="1551">
        <f t="shared" si="30"/>
        <v>0</v>
      </c>
      <c r="AQ81" s="1551">
        <f t="shared" si="30"/>
        <v>0</v>
      </c>
      <c r="AR81" s="1551">
        <f t="shared" si="30"/>
        <v>0</v>
      </c>
      <c r="AS81" s="1551">
        <f t="shared" si="30"/>
        <v>0</v>
      </c>
      <c r="AT81" s="1551">
        <f t="shared" si="30"/>
        <v>0</v>
      </c>
      <c r="AU81" s="1551">
        <f t="shared" si="30"/>
        <v>0</v>
      </c>
      <c r="AV81" s="1551">
        <f t="shared" si="30"/>
        <v>0</v>
      </c>
      <c r="AW81" s="1551">
        <f t="shared" si="30"/>
        <v>0</v>
      </c>
      <c r="AX81" s="1551">
        <f t="shared" si="30"/>
        <v>0</v>
      </c>
      <c r="AY81" s="1551">
        <f t="shared" si="30"/>
        <v>0</v>
      </c>
      <c r="AZ81" s="1551">
        <f t="shared" si="30"/>
        <v>0</v>
      </c>
      <c r="BA81" s="1551">
        <f t="shared" si="30"/>
        <v>0</v>
      </c>
      <c r="BB81" s="1551">
        <f t="shared" si="30"/>
        <v>0</v>
      </c>
      <c r="BC81" s="1551">
        <f t="shared" si="30"/>
        <v>0</v>
      </c>
      <c r="BD81" s="1551">
        <f t="shared" si="30"/>
        <v>0</v>
      </c>
      <c r="BE81" s="1552">
        <f t="shared" si="30"/>
        <v>0</v>
      </c>
      <c r="BF81" s="695"/>
    </row>
    <row r="82" spans="1:58" x14ac:dyDescent="0.45">
      <c r="A82" s="695"/>
      <c r="B82" s="863" t="s">
        <v>120</v>
      </c>
      <c r="C82" s="864"/>
      <c r="D82" s="864"/>
      <c r="E82" s="867"/>
      <c r="F82" s="867" t="s">
        <v>748</v>
      </c>
      <c r="G82" s="1551"/>
      <c r="H82" s="1551">
        <f>(H389+H410+H431)</f>
        <v>0</v>
      </c>
      <c r="I82" s="1551">
        <f>(I389+I410+I431)</f>
        <v>0</v>
      </c>
      <c r="J82" s="1551">
        <f t="shared" ref="J82:BE82" si="31">(J389+J410+J431)</f>
        <v>0</v>
      </c>
      <c r="K82" s="1551">
        <f t="shared" si="31"/>
        <v>0</v>
      </c>
      <c r="L82" s="1551">
        <f t="shared" si="31"/>
        <v>0</v>
      </c>
      <c r="M82" s="1551">
        <f t="shared" si="31"/>
        <v>0</v>
      </c>
      <c r="N82" s="1551">
        <f t="shared" si="31"/>
        <v>0</v>
      </c>
      <c r="O82" s="1551">
        <f t="shared" si="31"/>
        <v>0</v>
      </c>
      <c r="P82" s="1551">
        <f t="shared" si="31"/>
        <v>0</v>
      </c>
      <c r="Q82" s="1551">
        <f t="shared" si="31"/>
        <v>0</v>
      </c>
      <c r="R82" s="1551">
        <f t="shared" si="31"/>
        <v>0</v>
      </c>
      <c r="S82" s="1551">
        <f t="shared" si="31"/>
        <v>0</v>
      </c>
      <c r="T82" s="1551">
        <f t="shared" si="31"/>
        <v>0</v>
      </c>
      <c r="U82" s="1551">
        <f t="shared" si="31"/>
        <v>0</v>
      </c>
      <c r="V82" s="1551">
        <f t="shared" si="31"/>
        <v>0</v>
      </c>
      <c r="W82" s="1551">
        <f t="shared" si="31"/>
        <v>0</v>
      </c>
      <c r="X82" s="1551">
        <f t="shared" si="31"/>
        <v>0</v>
      </c>
      <c r="Y82" s="1551">
        <f t="shared" si="31"/>
        <v>0</v>
      </c>
      <c r="Z82" s="1551">
        <f t="shared" si="31"/>
        <v>0</v>
      </c>
      <c r="AA82" s="1551">
        <f t="shared" si="31"/>
        <v>0</v>
      </c>
      <c r="AB82" s="1551">
        <f t="shared" si="31"/>
        <v>0</v>
      </c>
      <c r="AC82" s="1551">
        <f t="shared" si="31"/>
        <v>0</v>
      </c>
      <c r="AD82" s="1551">
        <f t="shared" si="31"/>
        <v>0</v>
      </c>
      <c r="AE82" s="1551">
        <f t="shared" si="31"/>
        <v>0</v>
      </c>
      <c r="AF82" s="1551">
        <f t="shared" si="31"/>
        <v>0</v>
      </c>
      <c r="AG82" s="1551">
        <f t="shared" si="31"/>
        <v>0</v>
      </c>
      <c r="AH82" s="1551">
        <f t="shared" si="31"/>
        <v>0</v>
      </c>
      <c r="AI82" s="1551">
        <f t="shared" si="31"/>
        <v>0</v>
      </c>
      <c r="AJ82" s="1551">
        <f t="shared" si="31"/>
        <v>0</v>
      </c>
      <c r="AK82" s="1551">
        <f t="shared" si="31"/>
        <v>0</v>
      </c>
      <c r="AL82" s="1551">
        <f t="shared" si="31"/>
        <v>0</v>
      </c>
      <c r="AM82" s="1551">
        <f t="shared" si="31"/>
        <v>0</v>
      </c>
      <c r="AN82" s="1551">
        <f t="shared" si="31"/>
        <v>0</v>
      </c>
      <c r="AO82" s="1551">
        <f t="shared" si="31"/>
        <v>0</v>
      </c>
      <c r="AP82" s="1551">
        <f t="shared" si="31"/>
        <v>0</v>
      </c>
      <c r="AQ82" s="1551">
        <f t="shared" si="31"/>
        <v>0</v>
      </c>
      <c r="AR82" s="1551">
        <f t="shared" si="31"/>
        <v>0</v>
      </c>
      <c r="AS82" s="1551">
        <f t="shared" si="31"/>
        <v>0</v>
      </c>
      <c r="AT82" s="1551">
        <f t="shared" si="31"/>
        <v>0</v>
      </c>
      <c r="AU82" s="1551">
        <f t="shared" si="31"/>
        <v>0</v>
      </c>
      <c r="AV82" s="1551">
        <f t="shared" si="31"/>
        <v>0</v>
      </c>
      <c r="AW82" s="1551">
        <f t="shared" si="31"/>
        <v>0</v>
      </c>
      <c r="AX82" s="1551">
        <f t="shared" si="31"/>
        <v>0</v>
      </c>
      <c r="AY82" s="1551">
        <f t="shared" si="31"/>
        <v>0</v>
      </c>
      <c r="AZ82" s="1551">
        <f t="shared" si="31"/>
        <v>0</v>
      </c>
      <c r="BA82" s="1551">
        <f t="shared" si="31"/>
        <v>0</v>
      </c>
      <c r="BB82" s="1551">
        <f t="shared" si="31"/>
        <v>0</v>
      </c>
      <c r="BC82" s="1551">
        <f t="shared" si="31"/>
        <v>0</v>
      </c>
      <c r="BD82" s="1551">
        <f t="shared" si="31"/>
        <v>0</v>
      </c>
      <c r="BE82" s="1552">
        <f t="shared" si="31"/>
        <v>0</v>
      </c>
      <c r="BF82" s="695"/>
    </row>
    <row r="83" spans="1:58" x14ac:dyDescent="0.45">
      <c r="A83" s="695"/>
      <c r="B83" s="863" t="s">
        <v>162</v>
      </c>
      <c r="C83" s="864"/>
      <c r="D83" s="864"/>
      <c r="E83" s="867"/>
      <c r="F83" s="867" t="s">
        <v>748</v>
      </c>
      <c r="G83" s="1551"/>
      <c r="H83" s="1551">
        <f>(H411+H412)</f>
        <v>0</v>
      </c>
      <c r="I83" s="1551">
        <f>(I412)</f>
        <v>0</v>
      </c>
      <c r="J83" s="1551">
        <f t="shared" ref="J83:BE83" si="32">(J412)</f>
        <v>0</v>
      </c>
      <c r="K83" s="1551">
        <f t="shared" si="32"/>
        <v>0</v>
      </c>
      <c r="L83" s="1551">
        <f t="shared" si="32"/>
        <v>0</v>
      </c>
      <c r="M83" s="1551">
        <f t="shared" si="32"/>
        <v>0</v>
      </c>
      <c r="N83" s="1551">
        <f t="shared" si="32"/>
        <v>0</v>
      </c>
      <c r="O83" s="1551">
        <f t="shared" si="32"/>
        <v>0</v>
      </c>
      <c r="P83" s="1551">
        <f t="shared" si="32"/>
        <v>0</v>
      </c>
      <c r="Q83" s="1551">
        <f t="shared" si="32"/>
        <v>0</v>
      </c>
      <c r="R83" s="1551">
        <f t="shared" si="32"/>
        <v>0</v>
      </c>
      <c r="S83" s="1551">
        <f t="shared" si="32"/>
        <v>0</v>
      </c>
      <c r="T83" s="1551">
        <f t="shared" si="32"/>
        <v>0</v>
      </c>
      <c r="U83" s="1551">
        <f t="shared" si="32"/>
        <v>0</v>
      </c>
      <c r="V83" s="1551">
        <f t="shared" si="32"/>
        <v>0</v>
      </c>
      <c r="W83" s="1551">
        <f t="shared" si="32"/>
        <v>0</v>
      </c>
      <c r="X83" s="1551">
        <f t="shared" si="32"/>
        <v>0</v>
      </c>
      <c r="Y83" s="1551">
        <f t="shared" si="32"/>
        <v>0</v>
      </c>
      <c r="Z83" s="1551">
        <f t="shared" si="32"/>
        <v>0</v>
      </c>
      <c r="AA83" s="1551">
        <f t="shared" si="32"/>
        <v>0</v>
      </c>
      <c r="AB83" s="1551">
        <f t="shared" si="32"/>
        <v>0</v>
      </c>
      <c r="AC83" s="1551">
        <f t="shared" si="32"/>
        <v>0</v>
      </c>
      <c r="AD83" s="1551">
        <f t="shared" si="32"/>
        <v>0</v>
      </c>
      <c r="AE83" s="1551">
        <f t="shared" si="32"/>
        <v>0</v>
      </c>
      <c r="AF83" s="1551">
        <f t="shared" si="32"/>
        <v>0</v>
      </c>
      <c r="AG83" s="1551">
        <f t="shared" si="32"/>
        <v>0</v>
      </c>
      <c r="AH83" s="1551">
        <f t="shared" si="32"/>
        <v>0</v>
      </c>
      <c r="AI83" s="1551">
        <f t="shared" si="32"/>
        <v>0</v>
      </c>
      <c r="AJ83" s="1551">
        <f t="shared" si="32"/>
        <v>0</v>
      </c>
      <c r="AK83" s="1551">
        <f t="shared" si="32"/>
        <v>0</v>
      </c>
      <c r="AL83" s="1551">
        <f t="shared" si="32"/>
        <v>0</v>
      </c>
      <c r="AM83" s="1551">
        <f t="shared" si="32"/>
        <v>0</v>
      </c>
      <c r="AN83" s="1551">
        <f t="shared" si="32"/>
        <v>0</v>
      </c>
      <c r="AO83" s="1551">
        <f t="shared" si="32"/>
        <v>0</v>
      </c>
      <c r="AP83" s="1551">
        <f t="shared" si="32"/>
        <v>0</v>
      </c>
      <c r="AQ83" s="1551">
        <f t="shared" si="32"/>
        <v>0</v>
      </c>
      <c r="AR83" s="1551">
        <f t="shared" si="32"/>
        <v>0</v>
      </c>
      <c r="AS83" s="1551">
        <f t="shared" si="32"/>
        <v>0</v>
      </c>
      <c r="AT83" s="1551">
        <f t="shared" si="32"/>
        <v>0</v>
      </c>
      <c r="AU83" s="1551">
        <f t="shared" si="32"/>
        <v>0</v>
      </c>
      <c r="AV83" s="1551">
        <f t="shared" si="32"/>
        <v>0</v>
      </c>
      <c r="AW83" s="1551">
        <f t="shared" si="32"/>
        <v>0</v>
      </c>
      <c r="AX83" s="1551">
        <f t="shared" si="32"/>
        <v>0</v>
      </c>
      <c r="AY83" s="1551">
        <f t="shared" si="32"/>
        <v>0</v>
      </c>
      <c r="AZ83" s="1551">
        <f t="shared" si="32"/>
        <v>0</v>
      </c>
      <c r="BA83" s="1551">
        <f t="shared" si="32"/>
        <v>0</v>
      </c>
      <c r="BB83" s="1551">
        <f t="shared" si="32"/>
        <v>0</v>
      </c>
      <c r="BC83" s="1551">
        <f t="shared" si="32"/>
        <v>0</v>
      </c>
      <c r="BD83" s="1551">
        <f t="shared" si="32"/>
        <v>0</v>
      </c>
      <c r="BE83" s="1552">
        <f t="shared" si="32"/>
        <v>0</v>
      </c>
      <c r="BF83" s="695"/>
    </row>
    <row r="84" spans="1:58" x14ac:dyDescent="0.45">
      <c r="A84" s="695"/>
      <c r="B84" s="863" t="s">
        <v>121</v>
      </c>
      <c r="C84" s="864"/>
      <c r="D84" s="864"/>
      <c r="E84" s="867"/>
      <c r="F84" s="867" t="s">
        <v>748</v>
      </c>
      <c r="G84" s="1551"/>
      <c r="H84" s="1551">
        <f>(H441+H442)</f>
        <v>0</v>
      </c>
      <c r="I84" s="1551">
        <f>I442</f>
        <v>0</v>
      </c>
      <c r="J84" s="1551">
        <f t="shared" ref="J84:BE84" si="33">J442</f>
        <v>0</v>
      </c>
      <c r="K84" s="1551">
        <f t="shared" si="33"/>
        <v>0</v>
      </c>
      <c r="L84" s="1551">
        <f t="shared" si="33"/>
        <v>0</v>
      </c>
      <c r="M84" s="1551">
        <f t="shared" si="33"/>
        <v>0</v>
      </c>
      <c r="N84" s="1551">
        <f t="shared" si="33"/>
        <v>0</v>
      </c>
      <c r="O84" s="1551">
        <f t="shared" si="33"/>
        <v>0</v>
      </c>
      <c r="P84" s="1551">
        <f t="shared" si="33"/>
        <v>0</v>
      </c>
      <c r="Q84" s="1551">
        <f t="shared" si="33"/>
        <v>0</v>
      </c>
      <c r="R84" s="1551">
        <f t="shared" si="33"/>
        <v>0</v>
      </c>
      <c r="S84" s="1551">
        <f t="shared" si="33"/>
        <v>0</v>
      </c>
      <c r="T84" s="1551">
        <f t="shared" si="33"/>
        <v>0</v>
      </c>
      <c r="U84" s="1551">
        <f t="shared" si="33"/>
        <v>0</v>
      </c>
      <c r="V84" s="1551">
        <f t="shared" si="33"/>
        <v>0</v>
      </c>
      <c r="W84" s="1551">
        <f t="shared" si="33"/>
        <v>0</v>
      </c>
      <c r="X84" s="1551">
        <f t="shared" si="33"/>
        <v>0</v>
      </c>
      <c r="Y84" s="1551">
        <f t="shared" si="33"/>
        <v>0</v>
      </c>
      <c r="Z84" s="1551">
        <f t="shared" si="33"/>
        <v>0</v>
      </c>
      <c r="AA84" s="1551">
        <f t="shared" si="33"/>
        <v>0</v>
      </c>
      <c r="AB84" s="1551">
        <f t="shared" si="33"/>
        <v>0</v>
      </c>
      <c r="AC84" s="1551">
        <f t="shared" si="33"/>
        <v>0</v>
      </c>
      <c r="AD84" s="1551">
        <f t="shared" si="33"/>
        <v>0</v>
      </c>
      <c r="AE84" s="1551">
        <f t="shared" si="33"/>
        <v>0</v>
      </c>
      <c r="AF84" s="1551">
        <f t="shared" si="33"/>
        <v>0</v>
      </c>
      <c r="AG84" s="1551">
        <f t="shared" si="33"/>
        <v>0</v>
      </c>
      <c r="AH84" s="1551">
        <f t="shared" si="33"/>
        <v>0</v>
      </c>
      <c r="AI84" s="1551">
        <f t="shared" si="33"/>
        <v>0</v>
      </c>
      <c r="AJ84" s="1551">
        <f t="shared" si="33"/>
        <v>0</v>
      </c>
      <c r="AK84" s="1551">
        <f t="shared" si="33"/>
        <v>0</v>
      </c>
      <c r="AL84" s="1551">
        <f t="shared" si="33"/>
        <v>0</v>
      </c>
      <c r="AM84" s="1551">
        <f t="shared" si="33"/>
        <v>0</v>
      </c>
      <c r="AN84" s="1551">
        <f t="shared" si="33"/>
        <v>0</v>
      </c>
      <c r="AO84" s="1551">
        <f t="shared" si="33"/>
        <v>0</v>
      </c>
      <c r="AP84" s="1551">
        <f t="shared" si="33"/>
        <v>0</v>
      </c>
      <c r="AQ84" s="1551">
        <f t="shared" si="33"/>
        <v>0</v>
      </c>
      <c r="AR84" s="1551">
        <f t="shared" si="33"/>
        <v>0</v>
      </c>
      <c r="AS84" s="1551">
        <f t="shared" si="33"/>
        <v>0</v>
      </c>
      <c r="AT84" s="1551">
        <f t="shared" si="33"/>
        <v>0</v>
      </c>
      <c r="AU84" s="1551">
        <f t="shared" si="33"/>
        <v>0</v>
      </c>
      <c r="AV84" s="1551">
        <f t="shared" si="33"/>
        <v>0</v>
      </c>
      <c r="AW84" s="1551">
        <f t="shared" si="33"/>
        <v>0</v>
      </c>
      <c r="AX84" s="1551">
        <f t="shared" si="33"/>
        <v>0</v>
      </c>
      <c r="AY84" s="1551">
        <f t="shared" si="33"/>
        <v>0</v>
      </c>
      <c r="AZ84" s="1551">
        <f t="shared" si="33"/>
        <v>0</v>
      </c>
      <c r="BA84" s="1551">
        <f t="shared" si="33"/>
        <v>0</v>
      </c>
      <c r="BB84" s="1551">
        <f t="shared" si="33"/>
        <v>0</v>
      </c>
      <c r="BC84" s="1551">
        <f t="shared" si="33"/>
        <v>0</v>
      </c>
      <c r="BD84" s="1551">
        <f t="shared" si="33"/>
        <v>0</v>
      </c>
      <c r="BE84" s="1552">
        <f t="shared" si="33"/>
        <v>0</v>
      </c>
      <c r="BF84" s="695"/>
    </row>
    <row r="85" spans="1:58" x14ac:dyDescent="0.45">
      <c r="A85" s="695"/>
      <c r="B85" s="863"/>
      <c r="C85" s="864"/>
      <c r="D85" s="864"/>
      <c r="E85" s="867"/>
      <c r="F85" s="867"/>
      <c r="G85" s="1551"/>
      <c r="H85" s="1551"/>
      <c r="I85" s="1551"/>
      <c r="J85" s="1551"/>
      <c r="K85" s="1551"/>
      <c r="L85" s="1551"/>
      <c r="M85" s="1551"/>
      <c r="N85" s="1551"/>
      <c r="O85" s="1551"/>
      <c r="P85" s="1551"/>
      <c r="Q85" s="1551"/>
      <c r="R85" s="1551"/>
      <c r="S85" s="1551"/>
      <c r="T85" s="1551"/>
      <c r="U85" s="1551"/>
      <c r="V85" s="1551"/>
      <c r="W85" s="1551"/>
      <c r="X85" s="1551"/>
      <c r="Y85" s="1551"/>
      <c r="Z85" s="1551"/>
      <c r="AA85" s="1551"/>
      <c r="AB85" s="1551"/>
      <c r="AC85" s="1551"/>
      <c r="AD85" s="1551"/>
      <c r="AE85" s="1551"/>
      <c r="AF85" s="1551"/>
      <c r="AG85" s="1551"/>
      <c r="AH85" s="1551"/>
      <c r="AI85" s="1551"/>
      <c r="AJ85" s="1551"/>
      <c r="AK85" s="1551"/>
      <c r="AL85" s="1551"/>
      <c r="AM85" s="1551"/>
      <c r="AN85" s="1551"/>
      <c r="AO85" s="1551"/>
      <c r="AP85" s="1551"/>
      <c r="AQ85" s="1551"/>
      <c r="AR85" s="1551"/>
      <c r="AS85" s="1551"/>
      <c r="AT85" s="1551"/>
      <c r="AU85" s="1551"/>
      <c r="AV85" s="1551"/>
      <c r="AW85" s="1551"/>
      <c r="AX85" s="1551"/>
      <c r="AY85" s="1551"/>
      <c r="AZ85" s="1551"/>
      <c r="BA85" s="1551"/>
      <c r="BB85" s="1551"/>
      <c r="BC85" s="1551"/>
      <c r="BD85" s="1551"/>
      <c r="BE85" s="1552"/>
      <c r="BF85" s="695"/>
    </row>
    <row r="86" spans="1:58" x14ac:dyDescent="0.45">
      <c r="A86" s="695"/>
      <c r="B86" s="863"/>
      <c r="C86" s="864"/>
      <c r="D86" s="864"/>
      <c r="E86" s="867"/>
      <c r="F86" s="867"/>
      <c r="G86" s="1551"/>
      <c r="H86" s="1551"/>
      <c r="I86" s="1551"/>
      <c r="J86" s="1551"/>
      <c r="K86" s="1551"/>
      <c r="L86" s="1551"/>
      <c r="M86" s="1551"/>
      <c r="N86" s="1551"/>
      <c r="O86" s="1551"/>
      <c r="P86" s="1551"/>
      <c r="Q86" s="1551"/>
      <c r="R86" s="1551"/>
      <c r="S86" s="1551"/>
      <c r="T86" s="1551"/>
      <c r="U86" s="1551"/>
      <c r="V86" s="1551"/>
      <c r="W86" s="1551"/>
      <c r="X86" s="1551"/>
      <c r="Y86" s="1551"/>
      <c r="Z86" s="1551"/>
      <c r="AA86" s="1551"/>
      <c r="AB86" s="1551"/>
      <c r="AC86" s="1551"/>
      <c r="AD86" s="1551"/>
      <c r="AE86" s="1551"/>
      <c r="AF86" s="1551"/>
      <c r="AG86" s="1551"/>
      <c r="AH86" s="1551"/>
      <c r="AI86" s="1551"/>
      <c r="AJ86" s="1551"/>
      <c r="AK86" s="1551"/>
      <c r="AL86" s="1551"/>
      <c r="AM86" s="1551"/>
      <c r="AN86" s="1551"/>
      <c r="AO86" s="1551"/>
      <c r="AP86" s="1551"/>
      <c r="AQ86" s="1551"/>
      <c r="AR86" s="1551"/>
      <c r="AS86" s="1551"/>
      <c r="AT86" s="1551"/>
      <c r="AU86" s="1551"/>
      <c r="AV86" s="1551"/>
      <c r="AW86" s="1551"/>
      <c r="AX86" s="1551"/>
      <c r="AY86" s="1551"/>
      <c r="AZ86" s="1551"/>
      <c r="BA86" s="1551"/>
      <c r="BB86" s="1551"/>
      <c r="BC86" s="1551"/>
      <c r="BD86" s="1551"/>
      <c r="BE86" s="1552"/>
      <c r="BF86" s="695"/>
    </row>
    <row r="87" spans="1:58" ht="13.15" x14ac:dyDescent="0.45">
      <c r="A87" s="695"/>
      <c r="B87" s="876" t="s">
        <v>460</v>
      </c>
      <c r="C87" s="864"/>
      <c r="D87" s="864"/>
      <c r="E87" s="867"/>
      <c r="F87" s="867"/>
      <c r="G87" s="1551"/>
      <c r="H87" s="1551"/>
      <c r="I87" s="1551"/>
      <c r="J87" s="1551"/>
      <c r="K87" s="1551"/>
      <c r="L87" s="1551"/>
      <c r="M87" s="1551"/>
      <c r="N87" s="1551"/>
      <c r="O87" s="1551"/>
      <c r="P87" s="1551"/>
      <c r="Q87" s="1551"/>
      <c r="R87" s="1551"/>
      <c r="S87" s="1551"/>
      <c r="T87" s="1551"/>
      <c r="U87" s="1551"/>
      <c r="V87" s="1551"/>
      <c r="W87" s="1551"/>
      <c r="X87" s="1551"/>
      <c r="Y87" s="1551"/>
      <c r="Z87" s="1551"/>
      <c r="AA87" s="1551"/>
      <c r="AB87" s="1551"/>
      <c r="AC87" s="1551"/>
      <c r="AD87" s="1551"/>
      <c r="AE87" s="1551"/>
      <c r="AF87" s="1551"/>
      <c r="AG87" s="1551"/>
      <c r="AH87" s="1551"/>
      <c r="AI87" s="1551"/>
      <c r="AJ87" s="1551"/>
      <c r="AK87" s="1551"/>
      <c r="AL87" s="1551"/>
      <c r="AM87" s="1551"/>
      <c r="AN87" s="1551"/>
      <c r="AO87" s="1551"/>
      <c r="AP87" s="1551"/>
      <c r="AQ87" s="1551"/>
      <c r="AR87" s="1551"/>
      <c r="AS87" s="1551"/>
      <c r="AT87" s="1551"/>
      <c r="AU87" s="1551"/>
      <c r="AV87" s="1551"/>
      <c r="AW87" s="1551"/>
      <c r="AX87" s="1551"/>
      <c r="AY87" s="1551"/>
      <c r="AZ87" s="1551"/>
      <c r="BA87" s="1551"/>
      <c r="BB87" s="1551"/>
      <c r="BC87" s="1551"/>
      <c r="BD87" s="1551"/>
      <c r="BE87" s="1552"/>
      <c r="BF87" s="695"/>
    </row>
    <row r="88" spans="1:58" x14ac:dyDescent="0.45">
      <c r="A88" s="695"/>
      <c r="B88" s="863"/>
      <c r="C88" s="864"/>
      <c r="D88" s="864"/>
      <c r="E88" s="867"/>
      <c r="F88" s="867"/>
      <c r="G88" s="1551"/>
      <c r="H88" s="1551"/>
      <c r="I88" s="1551"/>
      <c r="J88" s="1551"/>
      <c r="K88" s="1551"/>
      <c r="L88" s="1551"/>
      <c r="M88" s="1551"/>
      <c r="N88" s="1551"/>
      <c r="O88" s="1551"/>
      <c r="P88" s="1551"/>
      <c r="Q88" s="1551"/>
      <c r="R88" s="1551"/>
      <c r="S88" s="1551"/>
      <c r="T88" s="1551"/>
      <c r="U88" s="1551"/>
      <c r="V88" s="1551"/>
      <c r="W88" s="1551"/>
      <c r="X88" s="1551"/>
      <c r="Y88" s="1551"/>
      <c r="Z88" s="1551"/>
      <c r="AA88" s="1551"/>
      <c r="AB88" s="1551"/>
      <c r="AC88" s="1551"/>
      <c r="AD88" s="1551"/>
      <c r="AE88" s="1551"/>
      <c r="AF88" s="1551"/>
      <c r="AG88" s="1551"/>
      <c r="AH88" s="1551"/>
      <c r="AI88" s="1551"/>
      <c r="AJ88" s="1551"/>
      <c r="AK88" s="1551"/>
      <c r="AL88" s="1551"/>
      <c r="AM88" s="1551"/>
      <c r="AN88" s="1551"/>
      <c r="AO88" s="1551"/>
      <c r="AP88" s="1551"/>
      <c r="AQ88" s="1551"/>
      <c r="AR88" s="1551"/>
      <c r="AS88" s="1551"/>
      <c r="AT88" s="1551"/>
      <c r="AU88" s="1551"/>
      <c r="AV88" s="1551"/>
      <c r="AW88" s="1551"/>
      <c r="AX88" s="1551"/>
      <c r="AY88" s="1551"/>
      <c r="AZ88" s="1551"/>
      <c r="BA88" s="1551"/>
      <c r="BB88" s="1551"/>
      <c r="BC88" s="1551"/>
      <c r="BD88" s="1551"/>
      <c r="BE88" s="1552"/>
      <c r="BF88" s="695"/>
    </row>
    <row r="89" spans="1:58" x14ac:dyDescent="0.45">
      <c r="A89" s="695"/>
      <c r="B89" s="863" t="str">
        <f>B68</f>
        <v>Operations &amp; Maintenance Expenses, excluding fuel cost</v>
      </c>
      <c r="C89" s="864"/>
      <c r="D89" s="864"/>
      <c r="E89" s="867"/>
      <c r="F89" s="867" t="s">
        <v>748</v>
      </c>
      <c r="G89" s="1551"/>
      <c r="H89" s="1551">
        <f t="shared" ref="H89:AM89" si="34">-H68</f>
        <v>0</v>
      </c>
      <c r="I89" s="1551">
        <f t="shared" si="34"/>
        <v>0</v>
      </c>
      <c r="J89" s="1551">
        <f t="shared" si="34"/>
        <v>0</v>
      </c>
      <c r="K89" s="1551">
        <f t="shared" si="34"/>
        <v>0</v>
      </c>
      <c r="L89" s="1551">
        <f t="shared" si="34"/>
        <v>0</v>
      </c>
      <c r="M89" s="1551">
        <f t="shared" si="34"/>
        <v>0</v>
      </c>
      <c r="N89" s="1551">
        <f t="shared" si="34"/>
        <v>0</v>
      </c>
      <c r="O89" s="1551">
        <f t="shared" si="34"/>
        <v>0</v>
      </c>
      <c r="P89" s="1551">
        <f t="shared" si="34"/>
        <v>0</v>
      </c>
      <c r="Q89" s="1551">
        <f t="shared" si="34"/>
        <v>0</v>
      </c>
      <c r="R89" s="1551">
        <f t="shared" si="34"/>
        <v>0</v>
      </c>
      <c r="S89" s="1551">
        <f t="shared" si="34"/>
        <v>0</v>
      </c>
      <c r="T89" s="1551">
        <f t="shared" si="34"/>
        <v>0</v>
      </c>
      <c r="U89" s="1551">
        <f t="shared" si="34"/>
        <v>0</v>
      </c>
      <c r="V89" s="1551">
        <f t="shared" si="34"/>
        <v>0</v>
      </c>
      <c r="W89" s="1551">
        <f t="shared" si="34"/>
        <v>0</v>
      </c>
      <c r="X89" s="1551">
        <f t="shared" si="34"/>
        <v>0</v>
      </c>
      <c r="Y89" s="1551">
        <f t="shared" si="34"/>
        <v>0</v>
      </c>
      <c r="Z89" s="1551">
        <f t="shared" si="34"/>
        <v>0</v>
      </c>
      <c r="AA89" s="1551">
        <f t="shared" si="34"/>
        <v>0</v>
      </c>
      <c r="AB89" s="1551">
        <f t="shared" si="34"/>
        <v>0</v>
      </c>
      <c r="AC89" s="1551">
        <f t="shared" si="34"/>
        <v>0</v>
      </c>
      <c r="AD89" s="1551">
        <f t="shared" si="34"/>
        <v>0</v>
      </c>
      <c r="AE89" s="1551">
        <f t="shared" si="34"/>
        <v>0</v>
      </c>
      <c r="AF89" s="1551">
        <f t="shared" si="34"/>
        <v>0</v>
      </c>
      <c r="AG89" s="1551">
        <f t="shared" si="34"/>
        <v>0</v>
      </c>
      <c r="AH89" s="1551">
        <f t="shared" si="34"/>
        <v>0</v>
      </c>
      <c r="AI89" s="1551">
        <f t="shared" si="34"/>
        <v>0</v>
      </c>
      <c r="AJ89" s="1551">
        <f t="shared" si="34"/>
        <v>0</v>
      </c>
      <c r="AK89" s="1551">
        <f t="shared" si="34"/>
        <v>0</v>
      </c>
      <c r="AL89" s="1551">
        <f t="shared" si="34"/>
        <v>0</v>
      </c>
      <c r="AM89" s="1551">
        <f t="shared" si="34"/>
        <v>0</v>
      </c>
      <c r="AN89" s="1551">
        <f t="shared" ref="AN89:BE89" si="35">-AN68</f>
        <v>0</v>
      </c>
      <c r="AO89" s="1551">
        <f t="shared" si="35"/>
        <v>0</v>
      </c>
      <c r="AP89" s="1551">
        <f t="shared" si="35"/>
        <v>0</v>
      </c>
      <c r="AQ89" s="1551">
        <f t="shared" si="35"/>
        <v>0</v>
      </c>
      <c r="AR89" s="1551">
        <f t="shared" si="35"/>
        <v>0</v>
      </c>
      <c r="AS89" s="1551">
        <f t="shared" si="35"/>
        <v>0</v>
      </c>
      <c r="AT89" s="1551">
        <f t="shared" si="35"/>
        <v>0</v>
      </c>
      <c r="AU89" s="1551">
        <f t="shared" si="35"/>
        <v>0</v>
      </c>
      <c r="AV89" s="1551">
        <f t="shared" si="35"/>
        <v>0</v>
      </c>
      <c r="AW89" s="1551">
        <f t="shared" si="35"/>
        <v>0</v>
      </c>
      <c r="AX89" s="1551">
        <f t="shared" si="35"/>
        <v>0</v>
      </c>
      <c r="AY89" s="1551">
        <f t="shared" si="35"/>
        <v>0</v>
      </c>
      <c r="AZ89" s="1551">
        <f t="shared" si="35"/>
        <v>0</v>
      </c>
      <c r="BA89" s="1551">
        <f t="shared" si="35"/>
        <v>0</v>
      </c>
      <c r="BB89" s="1551">
        <f t="shared" si="35"/>
        <v>0</v>
      </c>
      <c r="BC89" s="1551">
        <f t="shared" si="35"/>
        <v>0</v>
      </c>
      <c r="BD89" s="1551">
        <f t="shared" si="35"/>
        <v>0</v>
      </c>
      <c r="BE89" s="1552">
        <f t="shared" si="35"/>
        <v>0</v>
      </c>
      <c r="BF89" s="695"/>
    </row>
    <row r="90" spans="1:58" x14ac:dyDescent="0.45">
      <c r="A90" s="695"/>
      <c r="B90" s="863" t="s">
        <v>35</v>
      </c>
      <c r="C90" s="864"/>
      <c r="D90" s="864"/>
      <c r="E90" s="867"/>
      <c r="F90" s="867" t="s">
        <v>748</v>
      </c>
      <c r="G90" s="1551"/>
      <c r="H90" s="1551">
        <f>-H75</f>
        <v>0</v>
      </c>
      <c r="I90" s="1551">
        <f>-I75</f>
        <v>0</v>
      </c>
      <c r="J90" s="1551">
        <f>-J75</f>
        <v>0</v>
      </c>
      <c r="K90" s="1551">
        <f t="shared" ref="K90:BE90" si="36">-K75</f>
        <v>0</v>
      </c>
      <c r="L90" s="1551">
        <f t="shared" si="36"/>
        <v>0</v>
      </c>
      <c r="M90" s="1551">
        <f t="shared" si="36"/>
        <v>0</v>
      </c>
      <c r="N90" s="1551">
        <f t="shared" si="36"/>
        <v>0</v>
      </c>
      <c r="O90" s="1551">
        <f t="shared" si="36"/>
        <v>0</v>
      </c>
      <c r="P90" s="1551">
        <f t="shared" si="36"/>
        <v>0</v>
      </c>
      <c r="Q90" s="1551">
        <f t="shared" si="36"/>
        <v>0</v>
      </c>
      <c r="R90" s="1551">
        <f t="shared" si="36"/>
        <v>0</v>
      </c>
      <c r="S90" s="1551">
        <f t="shared" si="36"/>
        <v>0</v>
      </c>
      <c r="T90" s="1551">
        <f t="shared" si="36"/>
        <v>0</v>
      </c>
      <c r="U90" s="1551">
        <f t="shared" si="36"/>
        <v>0</v>
      </c>
      <c r="V90" s="1551">
        <f t="shared" si="36"/>
        <v>0</v>
      </c>
      <c r="W90" s="1551">
        <f t="shared" si="36"/>
        <v>0</v>
      </c>
      <c r="X90" s="1551">
        <f t="shared" si="36"/>
        <v>0</v>
      </c>
      <c r="Y90" s="1551">
        <f t="shared" si="36"/>
        <v>0</v>
      </c>
      <c r="Z90" s="1551">
        <f t="shared" si="36"/>
        <v>0</v>
      </c>
      <c r="AA90" s="1551">
        <f t="shared" si="36"/>
        <v>0</v>
      </c>
      <c r="AB90" s="1551">
        <f t="shared" si="36"/>
        <v>0</v>
      </c>
      <c r="AC90" s="1551">
        <f t="shared" si="36"/>
        <v>0</v>
      </c>
      <c r="AD90" s="1551">
        <f t="shared" si="36"/>
        <v>0</v>
      </c>
      <c r="AE90" s="1551">
        <f t="shared" si="36"/>
        <v>0</v>
      </c>
      <c r="AF90" s="1551">
        <f t="shared" si="36"/>
        <v>0</v>
      </c>
      <c r="AG90" s="1551">
        <f t="shared" si="36"/>
        <v>0</v>
      </c>
      <c r="AH90" s="1551">
        <f t="shared" si="36"/>
        <v>0</v>
      </c>
      <c r="AI90" s="1551">
        <f t="shared" si="36"/>
        <v>0</v>
      </c>
      <c r="AJ90" s="1551">
        <f t="shared" si="36"/>
        <v>0</v>
      </c>
      <c r="AK90" s="1551">
        <f t="shared" si="36"/>
        <v>0</v>
      </c>
      <c r="AL90" s="1551">
        <f t="shared" si="36"/>
        <v>0</v>
      </c>
      <c r="AM90" s="1551">
        <f t="shared" si="36"/>
        <v>0</v>
      </c>
      <c r="AN90" s="1551">
        <f t="shared" si="36"/>
        <v>0</v>
      </c>
      <c r="AO90" s="1551">
        <f t="shared" si="36"/>
        <v>0</v>
      </c>
      <c r="AP90" s="1551">
        <f t="shared" si="36"/>
        <v>0</v>
      </c>
      <c r="AQ90" s="1551">
        <f t="shared" si="36"/>
        <v>0</v>
      </c>
      <c r="AR90" s="1551">
        <f t="shared" si="36"/>
        <v>0</v>
      </c>
      <c r="AS90" s="1551">
        <f t="shared" si="36"/>
        <v>0</v>
      </c>
      <c r="AT90" s="1551">
        <f t="shared" si="36"/>
        <v>0</v>
      </c>
      <c r="AU90" s="1551">
        <f t="shared" si="36"/>
        <v>0</v>
      </c>
      <c r="AV90" s="1551">
        <f t="shared" si="36"/>
        <v>0</v>
      </c>
      <c r="AW90" s="1551">
        <f t="shared" si="36"/>
        <v>0</v>
      </c>
      <c r="AX90" s="1551">
        <f t="shared" si="36"/>
        <v>0</v>
      </c>
      <c r="AY90" s="1551">
        <f t="shared" si="36"/>
        <v>0</v>
      </c>
      <c r="AZ90" s="1551">
        <f t="shared" si="36"/>
        <v>0</v>
      </c>
      <c r="BA90" s="1551">
        <f t="shared" si="36"/>
        <v>0</v>
      </c>
      <c r="BB90" s="1551">
        <f t="shared" si="36"/>
        <v>0</v>
      </c>
      <c r="BC90" s="1551">
        <f t="shared" si="36"/>
        <v>0</v>
      </c>
      <c r="BD90" s="1551">
        <f t="shared" si="36"/>
        <v>0</v>
      </c>
      <c r="BE90" s="1552">
        <f t="shared" si="36"/>
        <v>0</v>
      </c>
      <c r="BF90" s="695"/>
    </row>
    <row r="91" spans="1:58" x14ac:dyDescent="0.45">
      <c r="A91" s="695"/>
      <c r="B91" s="863" t="str">
        <f>B82</f>
        <v xml:space="preserve">Front-end Fees </v>
      </c>
      <c r="C91" s="864"/>
      <c r="D91" s="864"/>
      <c r="E91" s="867"/>
      <c r="F91" s="867" t="s">
        <v>748</v>
      </c>
      <c r="G91" s="1551"/>
      <c r="H91" s="1551">
        <f t="shared" ref="H91:J93" si="37">-H82</f>
        <v>0</v>
      </c>
      <c r="I91" s="1551">
        <f t="shared" si="37"/>
        <v>0</v>
      </c>
      <c r="J91" s="1551">
        <f t="shared" si="37"/>
        <v>0</v>
      </c>
      <c r="K91" s="1551">
        <f t="shared" ref="K91:BE91" si="38">-K82</f>
        <v>0</v>
      </c>
      <c r="L91" s="1551">
        <f t="shared" si="38"/>
        <v>0</v>
      </c>
      <c r="M91" s="1551">
        <f t="shared" si="38"/>
        <v>0</v>
      </c>
      <c r="N91" s="1551">
        <f t="shared" si="38"/>
        <v>0</v>
      </c>
      <c r="O91" s="1551">
        <f t="shared" si="38"/>
        <v>0</v>
      </c>
      <c r="P91" s="1551">
        <f t="shared" si="38"/>
        <v>0</v>
      </c>
      <c r="Q91" s="1551">
        <f t="shared" si="38"/>
        <v>0</v>
      </c>
      <c r="R91" s="1551">
        <f t="shared" si="38"/>
        <v>0</v>
      </c>
      <c r="S91" s="1551">
        <f t="shared" si="38"/>
        <v>0</v>
      </c>
      <c r="T91" s="1551">
        <f t="shared" si="38"/>
        <v>0</v>
      </c>
      <c r="U91" s="1551">
        <f t="shared" si="38"/>
        <v>0</v>
      </c>
      <c r="V91" s="1551">
        <f t="shared" si="38"/>
        <v>0</v>
      </c>
      <c r="W91" s="1551">
        <f t="shared" si="38"/>
        <v>0</v>
      </c>
      <c r="X91" s="1551">
        <f t="shared" si="38"/>
        <v>0</v>
      </c>
      <c r="Y91" s="1551">
        <f t="shared" si="38"/>
        <v>0</v>
      </c>
      <c r="Z91" s="1551">
        <f t="shared" si="38"/>
        <v>0</v>
      </c>
      <c r="AA91" s="1551">
        <f t="shared" si="38"/>
        <v>0</v>
      </c>
      <c r="AB91" s="1551">
        <f t="shared" si="38"/>
        <v>0</v>
      </c>
      <c r="AC91" s="1551">
        <f t="shared" si="38"/>
        <v>0</v>
      </c>
      <c r="AD91" s="1551">
        <f t="shared" si="38"/>
        <v>0</v>
      </c>
      <c r="AE91" s="1551">
        <f t="shared" si="38"/>
        <v>0</v>
      </c>
      <c r="AF91" s="1551">
        <f t="shared" si="38"/>
        <v>0</v>
      </c>
      <c r="AG91" s="1551">
        <f t="shared" si="38"/>
        <v>0</v>
      </c>
      <c r="AH91" s="1551">
        <f t="shared" si="38"/>
        <v>0</v>
      </c>
      <c r="AI91" s="1551">
        <f t="shared" si="38"/>
        <v>0</v>
      </c>
      <c r="AJ91" s="1551">
        <f t="shared" si="38"/>
        <v>0</v>
      </c>
      <c r="AK91" s="1551">
        <f t="shared" si="38"/>
        <v>0</v>
      </c>
      <c r="AL91" s="1551">
        <f t="shared" si="38"/>
        <v>0</v>
      </c>
      <c r="AM91" s="1551">
        <f t="shared" si="38"/>
        <v>0</v>
      </c>
      <c r="AN91" s="1551">
        <f t="shared" si="38"/>
        <v>0</v>
      </c>
      <c r="AO91" s="1551">
        <f t="shared" si="38"/>
        <v>0</v>
      </c>
      <c r="AP91" s="1551">
        <f t="shared" si="38"/>
        <v>0</v>
      </c>
      <c r="AQ91" s="1551">
        <f t="shared" si="38"/>
        <v>0</v>
      </c>
      <c r="AR91" s="1551">
        <f t="shared" si="38"/>
        <v>0</v>
      </c>
      <c r="AS91" s="1551">
        <f t="shared" si="38"/>
        <v>0</v>
      </c>
      <c r="AT91" s="1551">
        <f t="shared" si="38"/>
        <v>0</v>
      </c>
      <c r="AU91" s="1551">
        <f t="shared" si="38"/>
        <v>0</v>
      </c>
      <c r="AV91" s="1551">
        <f t="shared" si="38"/>
        <v>0</v>
      </c>
      <c r="AW91" s="1551">
        <f t="shared" si="38"/>
        <v>0</v>
      </c>
      <c r="AX91" s="1551">
        <f t="shared" si="38"/>
        <v>0</v>
      </c>
      <c r="AY91" s="1551">
        <f t="shared" si="38"/>
        <v>0</v>
      </c>
      <c r="AZ91" s="1551">
        <f t="shared" si="38"/>
        <v>0</v>
      </c>
      <c r="BA91" s="1551">
        <f t="shared" si="38"/>
        <v>0</v>
      </c>
      <c r="BB91" s="1551">
        <f t="shared" si="38"/>
        <v>0</v>
      </c>
      <c r="BC91" s="1551">
        <f t="shared" si="38"/>
        <v>0</v>
      </c>
      <c r="BD91" s="1551">
        <f t="shared" si="38"/>
        <v>0</v>
      </c>
      <c r="BE91" s="1552">
        <f t="shared" si="38"/>
        <v>0</v>
      </c>
      <c r="BF91" s="695"/>
    </row>
    <row r="92" spans="1:58" x14ac:dyDescent="0.45">
      <c r="A92" s="695"/>
      <c r="B92" s="863" t="str">
        <f>B83</f>
        <v xml:space="preserve">Public Guarantee Fees </v>
      </c>
      <c r="C92" s="864"/>
      <c r="D92" s="864"/>
      <c r="E92" s="867"/>
      <c r="F92" s="867" t="s">
        <v>748</v>
      </c>
      <c r="G92" s="1551"/>
      <c r="H92" s="1551">
        <f t="shared" si="37"/>
        <v>0</v>
      </c>
      <c r="I92" s="1551">
        <f t="shared" si="37"/>
        <v>0</v>
      </c>
      <c r="J92" s="1551">
        <f t="shared" si="37"/>
        <v>0</v>
      </c>
      <c r="K92" s="1551">
        <f t="shared" ref="K92:BE92" si="39">-K83</f>
        <v>0</v>
      </c>
      <c r="L92" s="1551">
        <f t="shared" si="39"/>
        <v>0</v>
      </c>
      <c r="M92" s="1551">
        <f t="shared" si="39"/>
        <v>0</v>
      </c>
      <c r="N92" s="1551">
        <f t="shared" si="39"/>
        <v>0</v>
      </c>
      <c r="O92" s="1551">
        <f t="shared" si="39"/>
        <v>0</v>
      </c>
      <c r="P92" s="1551">
        <f t="shared" si="39"/>
        <v>0</v>
      </c>
      <c r="Q92" s="1551">
        <f t="shared" si="39"/>
        <v>0</v>
      </c>
      <c r="R92" s="1551">
        <f t="shared" si="39"/>
        <v>0</v>
      </c>
      <c r="S92" s="1551">
        <f t="shared" si="39"/>
        <v>0</v>
      </c>
      <c r="T92" s="1551">
        <f t="shared" si="39"/>
        <v>0</v>
      </c>
      <c r="U92" s="1551">
        <f t="shared" si="39"/>
        <v>0</v>
      </c>
      <c r="V92" s="1551">
        <f t="shared" si="39"/>
        <v>0</v>
      </c>
      <c r="W92" s="1551">
        <f t="shared" si="39"/>
        <v>0</v>
      </c>
      <c r="X92" s="1551">
        <f t="shared" si="39"/>
        <v>0</v>
      </c>
      <c r="Y92" s="1551">
        <f t="shared" si="39"/>
        <v>0</v>
      </c>
      <c r="Z92" s="1551">
        <f t="shared" si="39"/>
        <v>0</v>
      </c>
      <c r="AA92" s="1551">
        <f t="shared" si="39"/>
        <v>0</v>
      </c>
      <c r="AB92" s="1551">
        <f t="shared" si="39"/>
        <v>0</v>
      </c>
      <c r="AC92" s="1551">
        <f t="shared" si="39"/>
        <v>0</v>
      </c>
      <c r="AD92" s="1551">
        <f t="shared" si="39"/>
        <v>0</v>
      </c>
      <c r="AE92" s="1551">
        <f t="shared" si="39"/>
        <v>0</v>
      </c>
      <c r="AF92" s="1551">
        <f t="shared" si="39"/>
        <v>0</v>
      </c>
      <c r="AG92" s="1551">
        <f t="shared" si="39"/>
        <v>0</v>
      </c>
      <c r="AH92" s="1551">
        <f t="shared" si="39"/>
        <v>0</v>
      </c>
      <c r="AI92" s="1551">
        <f t="shared" si="39"/>
        <v>0</v>
      </c>
      <c r="AJ92" s="1551">
        <f t="shared" si="39"/>
        <v>0</v>
      </c>
      <c r="AK92" s="1551">
        <f t="shared" si="39"/>
        <v>0</v>
      </c>
      <c r="AL92" s="1551">
        <f t="shared" si="39"/>
        <v>0</v>
      </c>
      <c r="AM92" s="1551">
        <f t="shared" si="39"/>
        <v>0</v>
      </c>
      <c r="AN92" s="1551">
        <f t="shared" si="39"/>
        <v>0</v>
      </c>
      <c r="AO92" s="1551">
        <f t="shared" si="39"/>
        <v>0</v>
      </c>
      <c r="AP92" s="1551">
        <f t="shared" si="39"/>
        <v>0</v>
      </c>
      <c r="AQ92" s="1551">
        <f t="shared" si="39"/>
        <v>0</v>
      </c>
      <c r="AR92" s="1551">
        <f t="shared" si="39"/>
        <v>0</v>
      </c>
      <c r="AS92" s="1551">
        <f t="shared" si="39"/>
        <v>0</v>
      </c>
      <c r="AT92" s="1551">
        <f t="shared" si="39"/>
        <v>0</v>
      </c>
      <c r="AU92" s="1551">
        <f t="shared" si="39"/>
        <v>0</v>
      </c>
      <c r="AV92" s="1551">
        <f t="shared" si="39"/>
        <v>0</v>
      </c>
      <c r="AW92" s="1551">
        <f t="shared" si="39"/>
        <v>0</v>
      </c>
      <c r="AX92" s="1551">
        <f t="shared" si="39"/>
        <v>0</v>
      </c>
      <c r="AY92" s="1551">
        <f t="shared" si="39"/>
        <v>0</v>
      </c>
      <c r="AZ92" s="1551">
        <f t="shared" si="39"/>
        <v>0</v>
      </c>
      <c r="BA92" s="1551">
        <f t="shared" si="39"/>
        <v>0</v>
      </c>
      <c r="BB92" s="1551">
        <f t="shared" si="39"/>
        <v>0</v>
      </c>
      <c r="BC92" s="1551">
        <f t="shared" si="39"/>
        <v>0</v>
      </c>
      <c r="BD92" s="1551">
        <f t="shared" si="39"/>
        <v>0</v>
      </c>
      <c r="BE92" s="1552">
        <f t="shared" si="39"/>
        <v>0</v>
      </c>
      <c r="BF92" s="695"/>
    </row>
    <row r="93" spans="1:58" x14ac:dyDescent="0.45">
      <c r="A93" s="695"/>
      <c r="B93" s="863" t="str">
        <f>B84</f>
        <v>Political Risk Insurance - Fees &amp; Annual Premium Payments</v>
      </c>
      <c r="C93" s="864"/>
      <c r="D93" s="864"/>
      <c r="E93" s="867"/>
      <c r="F93" s="867" t="s">
        <v>748</v>
      </c>
      <c r="G93" s="1551"/>
      <c r="H93" s="1551">
        <f t="shared" si="37"/>
        <v>0</v>
      </c>
      <c r="I93" s="1551">
        <f t="shared" si="37"/>
        <v>0</v>
      </c>
      <c r="J93" s="1551">
        <f t="shared" si="37"/>
        <v>0</v>
      </c>
      <c r="K93" s="1551">
        <f t="shared" ref="K93:BE93" si="40">-K84</f>
        <v>0</v>
      </c>
      <c r="L93" s="1551">
        <f t="shared" si="40"/>
        <v>0</v>
      </c>
      <c r="M93" s="1551">
        <f t="shared" si="40"/>
        <v>0</v>
      </c>
      <c r="N93" s="1551">
        <f t="shared" si="40"/>
        <v>0</v>
      </c>
      <c r="O93" s="1551">
        <f t="shared" si="40"/>
        <v>0</v>
      </c>
      <c r="P93" s="1551">
        <f t="shared" si="40"/>
        <v>0</v>
      </c>
      <c r="Q93" s="1551">
        <f t="shared" si="40"/>
        <v>0</v>
      </c>
      <c r="R93" s="1551">
        <f t="shared" si="40"/>
        <v>0</v>
      </c>
      <c r="S93" s="1551">
        <f t="shared" si="40"/>
        <v>0</v>
      </c>
      <c r="T93" s="1551">
        <f t="shared" si="40"/>
        <v>0</v>
      </c>
      <c r="U93" s="1551">
        <f t="shared" si="40"/>
        <v>0</v>
      </c>
      <c r="V93" s="1551">
        <f t="shared" si="40"/>
        <v>0</v>
      </c>
      <c r="W93" s="1551">
        <f t="shared" si="40"/>
        <v>0</v>
      </c>
      <c r="X93" s="1551">
        <f t="shared" si="40"/>
        <v>0</v>
      </c>
      <c r="Y93" s="1551">
        <f t="shared" si="40"/>
        <v>0</v>
      </c>
      <c r="Z93" s="1551">
        <f t="shared" si="40"/>
        <v>0</v>
      </c>
      <c r="AA93" s="1551">
        <f t="shared" si="40"/>
        <v>0</v>
      </c>
      <c r="AB93" s="1551">
        <f t="shared" si="40"/>
        <v>0</v>
      </c>
      <c r="AC93" s="1551">
        <f t="shared" si="40"/>
        <v>0</v>
      </c>
      <c r="AD93" s="1551">
        <f t="shared" si="40"/>
        <v>0</v>
      </c>
      <c r="AE93" s="1551">
        <f t="shared" si="40"/>
        <v>0</v>
      </c>
      <c r="AF93" s="1551">
        <f t="shared" si="40"/>
        <v>0</v>
      </c>
      <c r="AG93" s="1551">
        <f t="shared" si="40"/>
        <v>0</v>
      </c>
      <c r="AH93" s="1551">
        <f t="shared" si="40"/>
        <v>0</v>
      </c>
      <c r="AI93" s="1551">
        <f t="shared" si="40"/>
        <v>0</v>
      </c>
      <c r="AJ93" s="1551">
        <f t="shared" si="40"/>
        <v>0</v>
      </c>
      <c r="AK93" s="1551">
        <f t="shared" si="40"/>
        <v>0</v>
      </c>
      <c r="AL93" s="1551">
        <f t="shared" si="40"/>
        <v>0</v>
      </c>
      <c r="AM93" s="1551">
        <f t="shared" si="40"/>
        <v>0</v>
      </c>
      <c r="AN93" s="1551">
        <f t="shared" si="40"/>
        <v>0</v>
      </c>
      <c r="AO93" s="1551">
        <f t="shared" si="40"/>
        <v>0</v>
      </c>
      <c r="AP93" s="1551">
        <f t="shared" si="40"/>
        <v>0</v>
      </c>
      <c r="AQ93" s="1551">
        <f t="shared" si="40"/>
        <v>0</v>
      </c>
      <c r="AR93" s="1551">
        <f t="shared" si="40"/>
        <v>0</v>
      </c>
      <c r="AS93" s="1551">
        <f t="shared" si="40"/>
        <v>0</v>
      </c>
      <c r="AT93" s="1551">
        <f t="shared" si="40"/>
        <v>0</v>
      </c>
      <c r="AU93" s="1551">
        <f t="shared" si="40"/>
        <v>0</v>
      </c>
      <c r="AV93" s="1551">
        <f t="shared" si="40"/>
        <v>0</v>
      </c>
      <c r="AW93" s="1551">
        <f t="shared" si="40"/>
        <v>0</v>
      </c>
      <c r="AX93" s="1551">
        <f t="shared" si="40"/>
        <v>0</v>
      </c>
      <c r="AY93" s="1551">
        <f t="shared" si="40"/>
        <v>0</v>
      </c>
      <c r="AZ93" s="1551">
        <f t="shared" si="40"/>
        <v>0</v>
      </c>
      <c r="BA93" s="1551">
        <f t="shared" si="40"/>
        <v>0</v>
      </c>
      <c r="BB93" s="1551">
        <f t="shared" si="40"/>
        <v>0</v>
      </c>
      <c r="BC93" s="1551">
        <f t="shared" si="40"/>
        <v>0</v>
      </c>
      <c r="BD93" s="1551">
        <f t="shared" si="40"/>
        <v>0</v>
      </c>
      <c r="BE93" s="1552">
        <f t="shared" si="40"/>
        <v>0</v>
      </c>
      <c r="BF93" s="695"/>
    </row>
    <row r="94" spans="1:58" x14ac:dyDescent="0.45">
      <c r="A94" s="695"/>
      <c r="B94" s="863" t="s">
        <v>90</v>
      </c>
      <c r="C94" s="864"/>
      <c r="D94" s="864"/>
      <c r="E94" s="867"/>
      <c r="F94" s="867" t="s">
        <v>748</v>
      </c>
      <c r="G94" s="1551"/>
      <c r="H94" s="1551">
        <f>-(H380+H401+H422)</f>
        <v>0</v>
      </c>
      <c r="I94" s="1551">
        <f>-(I380+I401+I422)</f>
        <v>0</v>
      </c>
      <c r="J94" s="1551">
        <f>-(J380+J401+J422)</f>
        <v>0</v>
      </c>
      <c r="K94" s="1551">
        <f t="shared" ref="K94:BE94" si="41">-(K380+K401+K422)</f>
        <v>0</v>
      </c>
      <c r="L94" s="1551">
        <f t="shared" si="41"/>
        <v>0</v>
      </c>
      <c r="M94" s="1551">
        <f t="shared" si="41"/>
        <v>0</v>
      </c>
      <c r="N94" s="1551">
        <f t="shared" si="41"/>
        <v>0</v>
      </c>
      <c r="O94" s="1551">
        <f t="shared" si="41"/>
        <v>0</v>
      </c>
      <c r="P94" s="1551">
        <f t="shared" si="41"/>
        <v>0</v>
      </c>
      <c r="Q94" s="1551">
        <f t="shared" si="41"/>
        <v>0</v>
      </c>
      <c r="R94" s="1551">
        <f t="shared" si="41"/>
        <v>0</v>
      </c>
      <c r="S94" s="1551">
        <f t="shared" si="41"/>
        <v>0</v>
      </c>
      <c r="T94" s="1551">
        <f t="shared" si="41"/>
        <v>0</v>
      </c>
      <c r="U94" s="1551">
        <f t="shared" si="41"/>
        <v>0</v>
      </c>
      <c r="V94" s="1551">
        <f t="shared" si="41"/>
        <v>0</v>
      </c>
      <c r="W94" s="1551">
        <f t="shared" si="41"/>
        <v>0</v>
      </c>
      <c r="X94" s="1551">
        <f t="shared" si="41"/>
        <v>0</v>
      </c>
      <c r="Y94" s="1551">
        <f t="shared" si="41"/>
        <v>0</v>
      </c>
      <c r="Z94" s="1551">
        <f t="shared" si="41"/>
        <v>0</v>
      </c>
      <c r="AA94" s="1551">
        <f t="shared" si="41"/>
        <v>0</v>
      </c>
      <c r="AB94" s="1551">
        <f t="shared" si="41"/>
        <v>0</v>
      </c>
      <c r="AC94" s="1551">
        <f t="shared" si="41"/>
        <v>0</v>
      </c>
      <c r="AD94" s="1551">
        <f t="shared" si="41"/>
        <v>0</v>
      </c>
      <c r="AE94" s="1551">
        <f t="shared" si="41"/>
        <v>0</v>
      </c>
      <c r="AF94" s="1551">
        <f t="shared" si="41"/>
        <v>0</v>
      </c>
      <c r="AG94" s="1551">
        <f t="shared" si="41"/>
        <v>0</v>
      </c>
      <c r="AH94" s="1551">
        <f t="shared" si="41"/>
        <v>0</v>
      </c>
      <c r="AI94" s="1551">
        <f t="shared" si="41"/>
        <v>0</v>
      </c>
      <c r="AJ94" s="1551">
        <f t="shared" si="41"/>
        <v>0</v>
      </c>
      <c r="AK94" s="1551">
        <f t="shared" si="41"/>
        <v>0</v>
      </c>
      <c r="AL94" s="1551">
        <f t="shared" si="41"/>
        <v>0</v>
      </c>
      <c r="AM94" s="1551">
        <f t="shared" si="41"/>
        <v>0</v>
      </c>
      <c r="AN94" s="1551">
        <f t="shared" si="41"/>
        <v>0</v>
      </c>
      <c r="AO94" s="1551">
        <f t="shared" si="41"/>
        <v>0</v>
      </c>
      <c r="AP94" s="1551">
        <f t="shared" si="41"/>
        <v>0</v>
      </c>
      <c r="AQ94" s="1551">
        <f t="shared" si="41"/>
        <v>0</v>
      </c>
      <c r="AR94" s="1551">
        <f t="shared" si="41"/>
        <v>0</v>
      </c>
      <c r="AS94" s="1551">
        <f t="shared" si="41"/>
        <v>0</v>
      </c>
      <c r="AT94" s="1551">
        <f t="shared" si="41"/>
        <v>0</v>
      </c>
      <c r="AU94" s="1551">
        <f t="shared" si="41"/>
        <v>0</v>
      </c>
      <c r="AV94" s="1551">
        <f t="shared" si="41"/>
        <v>0</v>
      </c>
      <c r="AW94" s="1551">
        <f t="shared" si="41"/>
        <v>0</v>
      </c>
      <c r="AX94" s="1551">
        <f t="shared" si="41"/>
        <v>0</v>
      </c>
      <c r="AY94" s="1551">
        <f t="shared" si="41"/>
        <v>0</v>
      </c>
      <c r="AZ94" s="1551">
        <f t="shared" si="41"/>
        <v>0</v>
      </c>
      <c r="BA94" s="1551">
        <f t="shared" si="41"/>
        <v>0</v>
      </c>
      <c r="BB94" s="1551">
        <f t="shared" si="41"/>
        <v>0</v>
      </c>
      <c r="BC94" s="1551">
        <f t="shared" si="41"/>
        <v>0</v>
      </c>
      <c r="BD94" s="1551">
        <f t="shared" si="41"/>
        <v>0</v>
      </c>
      <c r="BE94" s="1552">
        <f t="shared" si="41"/>
        <v>0</v>
      </c>
      <c r="BF94" s="695"/>
    </row>
    <row r="95" spans="1:58" x14ac:dyDescent="0.45">
      <c r="A95" s="695"/>
      <c r="B95" s="877" t="s">
        <v>91</v>
      </c>
      <c r="C95" s="871"/>
      <c r="D95" s="871"/>
      <c r="E95" s="872"/>
      <c r="F95" s="872" t="s">
        <v>748</v>
      </c>
      <c r="G95" s="1553"/>
      <c r="H95" s="1553">
        <f>(H68+H75+H77+H82+H83+H84+H79+H80+H81)*'II. Inputs, Baseline Energy Mix'!$O$23</f>
        <v>0</v>
      </c>
      <c r="I95" s="1553">
        <f>(I68+I75+I77+I82+I83+I84+I79+I80+I81)*'II. Inputs, Baseline Energy Mix'!$O$23</f>
        <v>0</v>
      </c>
      <c r="J95" s="1553">
        <f>(J68+J75+J77+J82+J83+J84+J79+J80+J81)*'II. Inputs, Baseline Energy Mix'!$O$23</f>
        <v>0</v>
      </c>
      <c r="K95" s="1553">
        <f>(K68+K75+K77+K82+K83+K84+K79+K80+K81)*'II. Inputs, Baseline Energy Mix'!$O$23</f>
        <v>0</v>
      </c>
      <c r="L95" s="1553">
        <f>(L68+L75+L77+L82+L83+L84+L79+L80+L81)*'II. Inputs, Baseline Energy Mix'!$O$23</f>
        <v>0</v>
      </c>
      <c r="M95" s="1553">
        <f>(M68+M75+M77+M82+M83+M84+M79+M80+M81)*'II. Inputs, Baseline Energy Mix'!$O$23</f>
        <v>0</v>
      </c>
      <c r="N95" s="1553">
        <f>(N68+N75+N77+N82+N83+N84+N79+N80+N81)*'II. Inputs, Baseline Energy Mix'!$O$23</f>
        <v>0</v>
      </c>
      <c r="O95" s="1553">
        <f>(O68+O75+O77+O82+O83+O84+O79+O80+O81)*'II. Inputs, Baseline Energy Mix'!$O$23</f>
        <v>0</v>
      </c>
      <c r="P95" s="1553">
        <f>(P68+P75+P77+P82+P83+P84+P79+P80+P81)*'II. Inputs, Baseline Energy Mix'!$O$23</f>
        <v>0</v>
      </c>
      <c r="Q95" s="1553">
        <f>(Q68+Q75+Q77+Q82+Q83+Q84+Q79+Q80+Q81)*'II. Inputs, Baseline Energy Mix'!$O$23</f>
        <v>0</v>
      </c>
      <c r="R95" s="1553">
        <f>(R68+R75+R77+R82+R83+R84+R79+R80+R81)*'II. Inputs, Baseline Energy Mix'!$O$23</f>
        <v>0</v>
      </c>
      <c r="S95" s="1553">
        <f>(S68+S75+S77+S82+S83+S84+S79+S80+S81)*'II. Inputs, Baseline Energy Mix'!$O$23</f>
        <v>0</v>
      </c>
      <c r="T95" s="1553">
        <f>(T68+T75+T77+T82+T83+T84+T79+T80+T81)*'II. Inputs, Baseline Energy Mix'!$O$23</f>
        <v>0</v>
      </c>
      <c r="U95" s="1553">
        <f>(U68+U75+U77+U82+U83+U84+U79+U80+U81)*'II. Inputs, Baseline Energy Mix'!$O$23</f>
        <v>0</v>
      </c>
      <c r="V95" s="1553">
        <f>(V68+V75+V77+V82+V83+V84+V79+V80+V81)*'II. Inputs, Baseline Energy Mix'!$O$23</f>
        <v>0</v>
      </c>
      <c r="W95" s="1553">
        <f>(W68+W75+W77+W82+W83+W84+W79+W80+W81)*'II. Inputs, Baseline Energy Mix'!$O$23</f>
        <v>0</v>
      </c>
      <c r="X95" s="1553">
        <f>(X68+X75+X77+X82+X83+X84+X79+X80+X81)*'II. Inputs, Baseline Energy Mix'!$O$23</f>
        <v>0</v>
      </c>
      <c r="Y95" s="1553">
        <f>(Y68+Y75+Y77+Y82+Y83+Y84+Y79+Y80+Y81)*'II. Inputs, Baseline Energy Mix'!$O$23</f>
        <v>0</v>
      </c>
      <c r="Z95" s="1553">
        <f>(Z68+Z75+Z77+Z82+Z83+Z84+Z79+Z80+Z81)*'II. Inputs, Baseline Energy Mix'!$O$23</f>
        <v>0</v>
      </c>
      <c r="AA95" s="1553">
        <f>(AA68+AA75+AA77+AA82+AA83+AA84+AA79+AA80+AA81)*'II. Inputs, Baseline Energy Mix'!$O$23</f>
        <v>0</v>
      </c>
      <c r="AB95" s="1553">
        <f>(AB68+AB75+AB77+AB82+AB83+AB84+AB79+AB80+AB81)*'II. Inputs, Baseline Energy Mix'!$O$23</f>
        <v>0</v>
      </c>
      <c r="AC95" s="1553">
        <f>(AC68+AC75+AC77+AC82+AC83+AC84+AC79+AC80+AC81)*'II. Inputs, Baseline Energy Mix'!$O$23</f>
        <v>0</v>
      </c>
      <c r="AD95" s="1553">
        <f>(AD68+AD75+AD77+AD82+AD83+AD84+AD79+AD80+AD81)*'II. Inputs, Baseline Energy Mix'!$O$23</f>
        <v>0</v>
      </c>
      <c r="AE95" s="1553">
        <f>(AE68+AE75+AE77+AE82+AE83+AE84+AE79+AE80+AE81)*'II. Inputs, Baseline Energy Mix'!$O$23</f>
        <v>0</v>
      </c>
      <c r="AF95" s="1553">
        <f>(AF68+AF75+AF77+AF82+AF83+AF84+AF79+AF80+AF81)*'II. Inputs, Baseline Energy Mix'!$O$23</f>
        <v>0</v>
      </c>
      <c r="AG95" s="1553">
        <f>(AG68+AG75+AG77+AG82+AG83+AG84+AG79+AG80+AG81)*'II. Inputs, Baseline Energy Mix'!$O$23</f>
        <v>0</v>
      </c>
      <c r="AH95" s="1553">
        <f>(AH68+AH75+AH77+AH82+AH83+AH84+AH79+AH80+AH81)*'II. Inputs, Baseline Energy Mix'!$O$23</f>
        <v>0</v>
      </c>
      <c r="AI95" s="1553">
        <f>(AI68+AI75+AI77+AI82+AI83+AI84+AI79+AI80+AI81)*'II. Inputs, Baseline Energy Mix'!$O$23</f>
        <v>0</v>
      </c>
      <c r="AJ95" s="1553">
        <f>(AJ68+AJ75+AJ77+AJ82+AJ83+AJ84+AJ79+AJ80+AJ81)*'II. Inputs, Baseline Energy Mix'!$O$23</f>
        <v>0</v>
      </c>
      <c r="AK95" s="1553">
        <f>(AK68+AK75+AK77+AK82+AK83+AK84+AK79+AK80+AK81)*'II. Inputs, Baseline Energy Mix'!$O$23</f>
        <v>0</v>
      </c>
      <c r="AL95" s="1553">
        <f>(AL68+AL75+AL77+AL82+AL83+AL84+AL79+AL80+AL81)*'II. Inputs, Baseline Energy Mix'!$O$23</f>
        <v>0</v>
      </c>
      <c r="AM95" s="1553">
        <f>(AM68+AM75+AM77+AM82+AM83+AM84+AM79+AM80+AM81)*'II. Inputs, Baseline Energy Mix'!$O$23</f>
        <v>0</v>
      </c>
      <c r="AN95" s="1553">
        <f>(AN68+AN75+AN77+AN82+AN83+AN84+AN79+AN80+AN81)*'II. Inputs, Baseline Energy Mix'!$O$23</f>
        <v>0</v>
      </c>
      <c r="AO95" s="1553">
        <f>(AO68+AO75+AO77+AO82+AO83+AO84+AO79+AO80+AO81)*'II. Inputs, Baseline Energy Mix'!$O$23</f>
        <v>0</v>
      </c>
      <c r="AP95" s="1553">
        <f>(AP68+AP75+AP77+AP82+AP83+AP84+AP79+AP80+AP81)*'II. Inputs, Baseline Energy Mix'!$O$23</f>
        <v>0</v>
      </c>
      <c r="AQ95" s="1553">
        <f>(AQ68+AQ75+AQ77+AQ82+AQ83+AQ84+AQ79+AQ80+AQ81)*'II. Inputs, Baseline Energy Mix'!$O$23</f>
        <v>0</v>
      </c>
      <c r="AR95" s="1553">
        <f>(AR68+AR75+AR77+AR82+AR83+AR84+AR79+AR80+AR81)*'II. Inputs, Baseline Energy Mix'!$O$23</f>
        <v>0</v>
      </c>
      <c r="AS95" s="1553">
        <f>(AS68+AS75+AS77+AS82+AS83+AS84+AS79+AS80+AS81)*'II. Inputs, Baseline Energy Mix'!$O$23</f>
        <v>0</v>
      </c>
      <c r="AT95" s="1553">
        <f>(AT68+AT75+AT77+AT82+AT83+AT84+AT79+AT80+AT81)*'II. Inputs, Baseline Energy Mix'!$O$23</f>
        <v>0</v>
      </c>
      <c r="AU95" s="1553">
        <f>(AU68+AU75+AU77+AU82+AU83+AU84+AU79+AU80+AU81)*'II. Inputs, Baseline Energy Mix'!$O$23</f>
        <v>0</v>
      </c>
      <c r="AV95" s="1553">
        <f>(AV68+AV75+AV77+AV82+AV83+AV84+AV79+AV80+AV81)*'II. Inputs, Baseline Energy Mix'!$O$23</f>
        <v>0</v>
      </c>
      <c r="AW95" s="1553">
        <f>(AW68+AW75+AW77+AW82+AW83+AW84+AW79+AW80+AW81)*'II. Inputs, Baseline Energy Mix'!$O$23</f>
        <v>0</v>
      </c>
      <c r="AX95" s="1553">
        <f>(AX68+AX75+AX77+AX82+AX83+AX84+AX79+AX80+AX81)*'II. Inputs, Baseline Energy Mix'!$O$23</f>
        <v>0</v>
      </c>
      <c r="AY95" s="1553">
        <f>(AY68+AY75+AY77+AY82+AY83+AY84+AY79+AY80+AY81)*'II. Inputs, Baseline Energy Mix'!$O$23</f>
        <v>0</v>
      </c>
      <c r="AZ95" s="1553">
        <f>(AZ68+AZ75+AZ77+AZ82+AZ83+AZ84+AZ79+AZ80+AZ81)*'II. Inputs, Baseline Energy Mix'!$O$23</f>
        <v>0</v>
      </c>
      <c r="BA95" s="1553">
        <f>(BA68+BA75+BA77+BA82+BA83+BA84+BA79+BA80+BA81)*'II. Inputs, Baseline Energy Mix'!$O$23</f>
        <v>0</v>
      </c>
      <c r="BB95" s="1553">
        <f>(BB68+BB75+BB77+BB82+BB83+BB84+BB79+BB80+BB81)*'II. Inputs, Baseline Energy Mix'!$O$23</f>
        <v>0</v>
      </c>
      <c r="BC95" s="1553">
        <f>(BC68+BC75+BC77+BC82+BC83+BC84+BC79+BC80+BC81)*'II. Inputs, Baseline Energy Mix'!$O$23</f>
        <v>0</v>
      </c>
      <c r="BD95" s="1553">
        <f>(BD68+BD75+BD77+BD82+BD83+BD84+BD79+BD80+BD81)*'II. Inputs, Baseline Energy Mix'!$O$23</f>
        <v>0</v>
      </c>
      <c r="BE95" s="1554">
        <f>(BE68+BE75+BE77+BE82+BE83+BE84+BE79+BE80+BE81)*'II. Inputs, Baseline Energy Mix'!$O$23</f>
        <v>0</v>
      </c>
      <c r="BF95" s="695"/>
    </row>
    <row r="96" spans="1:58" x14ac:dyDescent="0.45">
      <c r="A96" s="695"/>
      <c r="B96" s="863" t="s">
        <v>92</v>
      </c>
      <c r="C96" s="864"/>
      <c r="D96" s="864"/>
      <c r="E96" s="867"/>
      <c r="F96" s="867" t="s">
        <v>748</v>
      </c>
      <c r="G96" s="1551">
        <f>-IF('II. Inputs, Baseline Energy Mix'!$O$19&gt;0, 'II. Inputs, Baseline Energy Mix'!$O$20*'II. Inputs, Baseline Energy Mix'!$O$21*'II. Inputs, Baseline Energy Mix'!$O$35,0)</f>
        <v>0</v>
      </c>
      <c r="H96" s="1551">
        <f>SUM(H89:H95)</f>
        <v>0</v>
      </c>
      <c r="I96" s="1551">
        <f>SUM(I89:I95)</f>
        <v>0</v>
      </c>
      <c r="J96" s="1551">
        <f>SUM(J89:J95)</f>
        <v>0</v>
      </c>
      <c r="K96" s="1551">
        <f t="shared" ref="K96:BE96" si="42">SUM(K89:K95)</f>
        <v>0</v>
      </c>
      <c r="L96" s="1551">
        <f t="shared" si="42"/>
        <v>0</v>
      </c>
      <c r="M96" s="1551">
        <f t="shared" si="42"/>
        <v>0</v>
      </c>
      <c r="N96" s="1551">
        <f t="shared" si="42"/>
        <v>0</v>
      </c>
      <c r="O96" s="1551">
        <f t="shared" si="42"/>
        <v>0</v>
      </c>
      <c r="P96" s="1551">
        <f t="shared" si="42"/>
        <v>0</v>
      </c>
      <c r="Q96" s="1551">
        <f t="shared" si="42"/>
        <v>0</v>
      </c>
      <c r="R96" s="1551">
        <f t="shared" si="42"/>
        <v>0</v>
      </c>
      <c r="S96" s="1551">
        <f t="shared" si="42"/>
        <v>0</v>
      </c>
      <c r="T96" s="1551">
        <f t="shared" si="42"/>
        <v>0</v>
      </c>
      <c r="U96" s="1551">
        <f t="shared" si="42"/>
        <v>0</v>
      </c>
      <c r="V96" s="1551">
        <f t="shared" si="42"/>
        <v>0</v>
      </c>
      <c r="W96" s="1551">
        <f t="shared" si="42"/>
        <v>0</v>
      </c>
      <c r="X96" s="1551">
        <f t="shared" si="42"/>
        <v>0</v>
      </c>
      <c r="Y96" s="1551">
        <f t="shared" si="42"/>
        <v>0</v>
      </c>
      <c r="Z96" s="1551">
        <f t="shared" si="42"/>
        <v>0</v>
      </c>
      <c r="AA96" s="1551">
        <f t="shared" si="42"/>
        <v>0</v>
      </c>
      <c r="AB96" s="1551">
        <f t="shared" si="42"/>
        <v>0</v>
      </c>
      <c r="AC96" s="1551">
        <f t="shared" si="42"/>
        <v>0</v>
      </c>
      <c r="AD96" s="1551">
        <f t="shared" si="42"/>
        <v>0</v>
      </c>
      <c r="AE96" s="1551">
        <f t="shared" si="42"/>
        <v>0</v>
      </c>
      <c r="AF96" s="1551">
        <f t="shared" si="42"/>
        <v>0</v>
      </c>
      <c r="AG96" s="1551">
        <f t="shared" si="42"/>
        <v>0</v>
      </c>
      <c r="AH96" s="1551">
        <f t="shared" si="42"/>
        <v>0</v>
      </c>
      <c r="AI96" s="1551">
        <f t="shared" si="42"/>
        <v>0</v>
      </c>
      <c r="AJ96" s="1551">
        <f t="shared" si="42"/>
        <v>0</v>
      </c>
      <c r="AK96" s="1551">
        <f t="shared" si="42"/>
        <v>0</v>
      </c>
      <c r="AL96" s="1551">
        <f t="shared" si="42"/>
        <v>0</v>
      </c>
      <c r="AM96" s="1551">
        <f t="shared" si="42"/>
        <v>0</v>
      </c>
      <c r="AN96" s="1551">
        <f t="shared" si="42"/>
        <v>0</v>
      </c>
      <c r="AO96" s="1551">
        <f t="shared" si="42"/>
        <v>0</v>
      </c>
      <c r="AP96" s="1551">
        <f t="shared" si="42"/>
        <v>0</v>
      </c>
      <c r="AQ96" s="1551">
        <f t="shared" si="42"/>
        <v>0</v>
      </c>
      <c r="AR96" s="1551">
        <f t="shared" si="42"/>
        <v>0</v>
      </c>
      <c r="AS96" s="1551">
        <f t="shared" si="42"/>
        <v>0</v>
      </c>
      <c r="AT96" s="1551">
        <f t="shared" si="42"/>
        <v>0</v>
      </c>
      <c r="AU96" s="1551">
        <f t="shared" si="42"/>
        <v>0</v>
      </c>
      <c r="AV96" s="1551">
        <f t="shared" si="42"/>
        <v>0</v>
      </c>
      <c r="AW96" s="1551">
        <f t="shared" si="42"/>
        <v>0</v>
      </c>
      <c r="AX96" s="1551">
        <f t="shared" si="42"/>
        <v>0</v>
      </c>
      <c r="AY96" s="1551">
        <f t="shared" si="42"/>
        <v>0</v>
      </c>
      <c r="AZ96" s="1551">
        <f t="shared" si="42"/>
        <v>0</v>
      </c>
      <c r="BA96" s="1551">
        <f t="shared" si="42"/>
        <v>0</v>
      </c>
      <c r="BB96" s="1551">
        <f t="shared" si="42"/>
        <v>0</v>
      </c>
      <c r="BC96" s="1551">
        <f t="shared" si="42"/>
        <v>0</v>
      </c>
      <c r="BD96" s="1551">
        <f t="shared" si="42"/>
        <v>0</v>
      </c>
      <c r="BE96" s="1552">
        <f t="shared" si="42"/>
        <v>0</v>
      </c>
      <c r="BF96" s="695"/>
    </row>
    <row r="97" spans="1:58" x14ac:dyDescent="0.45">
      <c r="A97" s="695"/>
      <c r="B97" s="863"/>
      <c r="C97" s="864"/>
      <c r="D97" s="864"/>
      <c r="E97" s="867"/>
      <c r="F97" s="864"/>
      <c r="G97" s="864"/>
      <c r="H97" s="864"/>
      <c r="I97" s="1551"/>
      <c r="J97" s="864"/>
      <c r="K97" s="864"/>
      <c r="L97" s="864"/>
      <c r="M97" s="864"/>
      <c r="N97" s="864"/>
      <c r="O97" s="864"/>
      <c r="P97" s="864"/>
      <c r="Q97" s="864"/>
      <c r="R97" s="864"/>
      <c r="S97" s="864"/>
      <c r="T97" s="864"/>
      <c r="U97" s="864"/>
      <c r="V97" s="864"/>
      <c r="W97" s="864"/>
      <c r="X97" s="864"/>
      <c r="Y97" s="864"/>
      <c r="Z97" s="864"/>
      <c r="AA97" s="864"/>
      <c r="AB97" s="864"/>
      <c r="AC97" s="864"/>
      <c r="AD97" s="864"/>
      <c r="AE97" s="864"/>
      <c r="AF97" s="864"/>
      <c r="AG97" s="864"/>
      <c r="AH97" s="864"/>
      <c r="AI97" s="864"/>
      <c r="AJ97" s="864"/>
      <c r="AK97" s="864"/>
      <c r="AL97" s="864"/>
      <c r="AM97" s="864"/>
      <c r="AN97" s="864"/>
      <c r="AO97" s="864"/>
      <c r="AP97" s="864"/>
      <c r="AQ97" s="864"/>
      <c r="AR97" s="864"/>
      <c r="AS97" s="864"/>
      <c r="AT97" s="864"/>
      <c r="AU97" s="864"/>
      <c r="AV97" s="864"/>
      <c r="AW97" s="864"/>
      <c r="AX97" s="864"/>
      <c r="AY97" s="864"/>
      <c r="AZ97" s="864"/>
      <c r="BA97" s="864"/>
      <c r="BB97" s="864"/>
      <c r="BC97" s="864"/>
      <c r="BD97" s="864"/>
      <c r="BE97" s="865"/>
      <c r="BF97" s="695"/>
    </row>
    <row r="98" spans="1:58" x14ac:dyDescent="0.45">
      <c r="A98" s="695"/>
      <c r="B98" s="863" t="s">
        <v>93</v>
      </c>
      <c r="C98" s="864"/>
      <c r="D98" s="864"/>
      <c r="E98" s="867"/>
      <c r="F98" s="864"/>
      <c r="G98" s="878">
        <f>'II. Inputs, Baseline Energy Mix'!$O$43</f>
        <v>0</v>
      </c>
      <c r="H98" s="864"/>
      <c r="I98" s="1551"/>
      <c r="J98" s="864"/>
      <c r="K98" s="864"/>
      <c r="L98" s="864"/>
      <c r="M98" s="864"/>
      <c r="N98" s="864"/>
      <c r="O98" s="864"/>
      <c r="P98" s="864"/>
      <c r="Q98" s="864"/>
      <c r="R98" s="864"/>
      <c r="S98" s="864"/>
      <c r="T98" s="864"/>
      <c r="U98" s="864"/>
      <c r="V98" s="864"/>
      <c r="W98" s="864"/>
      <c r="X98" s="864"/>
      <c r="Y98" s="864"/>
      <c r="Z98" s="864"/>
      <c r="AA98" s="864"/>
      <c r="AB98" s="864"/>
      <c r="AC98" s="864"/>
      <c r="AD98" s="864"/>
      <c r="AE98" s="864"/>
      <c r="AF98" s="864"/>
      <c r="AG98" s="864"/>
      <c r="AH98" s="864"/>
      <c r="AI98" s="864"/>
      <c r="AJ98" s="864"/>
      <c r="AK98" s="864"/>
      <c r="AL98" s="864"/>
      <c r="AM98" s="864"/>
      <c r="AN98" s="864"/>
      <c r="AO98" s="864"/>
      <c r="AP98" s="864"/>
      <c r="AQ98" s="864"/>
      <c r="AR98" s="864"/>
      <c r="AS98" s="864"/>
      <c r="AT98" s="864"/>
      <c r="AU98" s="864"/>
      <c r="AV98" s="864"/>
      <c r="AW98" s="864"/>
      <c r="AX98" s="864"/>
      <c r="AY98" s="864"/>
      <c r="AZ98" s="864"/>
      <c r="BA98" s="864"/>
      <c r="BB98" s="864"/>
      <c r="BC98" s="864"/>
      <c r="BD98" s="864"/>
      <c r="BE98" s="865"/>
      <c r="BF98" s="695"/>
    </row>
    <row r="99" spans="1:58" x14ac:dyDescent="0.45">
      <c r="A99" s="695"/>
      <c r="B99" s="863" t="s">
        <v>94</v>
      </c>
      <c r="C99" s="864"/>
      <c r="D99" s="864"/>
      <c r="E99" s="867"/>
      <c r="F99" s="864"/>
      <c r="G99" s="1551">
        <f>IF(G98="NA", "NA", NPV(G98,H96:BE96)+G96)</f>
        <v>0</v>
      </c>
      <c r="H99" s="864"/>
      <c r="I99" s="1551"/>
      <c r="J99" s="864"/>
      <c r="K99" s="864"/>
      <c r="L99" s="864"/>
      <c r="M99" s="864"/>
      <c r="N99" s="864"/>
      <c r="O99" s="864"/>
      <c r="P99" s="864"/>
      <c r="Q99" s="864"/>
      <c r="R99" s="864"/>
      <c r="S99" s="864"/>
      <c r="T99" s="864"/>
      <c r="U99" s="864"/>
      <c r="V99" s="864"/>
      <c r="W99" s="864"/>
      <c r="X99" s="864"/>
      <c r="Y99" s="864"/>
      <c r="Z99" s="864"/>
      <c r="AA99" s="864"/>
      <c r="AB99" s="864"/>
      <c r="AC99" s="864"/>
      <c r="AD99" s="864"/>
      <c r="AE99" s="864"/>
      <c r="AF99" s="864"/>
      <c r="AG99" s="864"/>
      <c r="AH99" s="864"/>
      <c r="AI99" s="864"/>
      <c r="AJ99" s="864"/>
      <c r="AK99" s="864"/>
      <c r="AL99" s="864"/>
      <c r="AM99" s="864"/>
      <c r="AN99" s="864"/>
      <c r="AO99" s="864"/>
      <c r="AP99" s="864"/>
      <c r="AQ99" s="864"/>
      <c r="AR99" s="864"/>
      <c r="AS99" s="864"/>
      <c r="AT99" s="864"/>
      <c r="AU99" s="864"/>
      <c r="AV99" s="864"/>
      <c r="AW99" s="864"/>
      <c r="AX99" s="864"/>
      <c r="AY99" s="864"/>
      <c r="AZ99" s="864"/>
      <c r="BA99" s="864"/>
      <c r="BB99" s="864"/>
      <c r="BC99" s="864"/>
      <c r="BD99" s="864"/>
      <c r="BE99" s="865"/>
      <c r="BF99" s="695"/>
    </row>
    <row r="100" spans="1:58" x14ac:dyDescent="0.45">
      <c r="A100" s="695"/>
      <c r="B100" s="863" t="s">
        <v>459</v>
      </c>
      <c r="C100" s="864"/>
      <c r="D100" s="864"/>
      <c r="E100" s="867"/>
      <c r="F100" s="864"/>
      <c r="G100" s="868">
        <f>IF(G98="NA", "NA", -NPV(G98,H64:BE64))</f>
        <v>0</v>
      </c>
      <c r="H100" s="864"/>
      <c r="I100" s="1551"/>
      <c r="J100" s="864"/>
      <c r="K100" s="864"/>
      <c r="L100" s="864"/>
      <c r="M100" s="864"/>
      <c r="N100" s="864"/>
      <c r="O100" s="864"/>
      <c r="P100" s="864"/>
      <c r="Q100" s="864"/>
      <c r="R100" s="864"/>
      <c r="S100" s="864"/>
      <c r="T100" s="864"/>
      <c r="U100" s="864"/>
      <c r="V100" s="864"/>
      <c r="W100" s="864"/>
      <c r="X100" s="864"/>
      <c r="Y100" s="864"/>
      <c r="Z100" s="864"/>
      <c r="AA100" s="864"/>
      <c r="AB100" s="864"/>
      <c r="AC100" s="864"/>
      <c r="AD100" s="864"/>
      <c r="AE100" s="864"/>
      <c r="AF100" s="864"/>
      <c r="AG100" s="864"/>
      <c r="AH100" s="864"/>
      <c r="AI100" s="864"/>
      <c r="AJ100" s="864"/>
      <c r="AK100" s="864"/>
      <c r="AL100" s="864"/>
      <c r="AM100" s="864"/>
      <c r="AN100" s="864"/>
      <c r="AO100" s="864"/>
      <c r="AP100" s="864"/>
      <c r="AQ100" s="864"/>
      <c r="AR100" s="864"/>
      <c r="AS100" s="864"/>
      <c r="AT100" s="864"/>
      <c r="AU100" s="864"/>
      <c r="AV100" s="864"/>
      <c r="AW100" s="864"/>
      <c r="AX100" s="864"/>
      <c r="AY100" s="864"/>
      <c r="AZ100" s="864"/>
      <c r="BA100" s="864"/>
      <c r="BB100" s="864"/>
      <c r="BC100" s="864"/>
      <c r="BD100" s="864"/>
      <c r="BE100" s="865"/>
      <c r="BF100" s="695"/>
    </row>
    <row r="101" spans="1:58" ht="13.15" thickBot="1" x14ac:dyDescent="0.5">
      <c r="A101" s="695"/>
      <c r="B101" s="863" t="s">
        <v>96</v>
      </c>
      <c r="C101" s="864"/>
      <c r="D101" s="864"/>
      <c r="E101" s="867"/>
      <c r="F101" s="867" t="s">
        <v>749</v>
      </c>
      <c r="G101" s="1776" t="str">
        <f>IF(OR(G100=0,G98="NA"), "NA", G99/G100)</f>
        <v>NA</v>
      </c>
      <c r="H101" s="864"/>
      <c r="I101" s="1551"/>
      <c r="J101" s="864"/>
      <c r="K101" s="864"/>
      <c r="L101" s="864"/>
      <c r="M101" s="864"/>
      <c r="N101" s="864"/>
      <c r="O101" s="864"/>
      <c r="P101" s="864"/>
      <c r="Q101" s="864"/>
      <c r="R101" s="864"/>
      <c r="S101" s="864"/>
      <c r="T101" s="864"/>
      <c r="U101" s="864"/>
      <c r="V101" s="864"/>
      <c r="W101" s="864"/>
      <c r="X101" s="864"/>
      <c r="Y101" s="864"/>
      <c r="Z101" s="864"/>
      <c r="AA101" s="864"/>
      <c r="AB101" s="864"/>
      <c r="AC101" s="864"/>
      <c r="AD101" s="864"/>
      <c r="AE101" s="864"/>
      <c r="AF101" s="864"/>
      <c r="AG101" s="864"/>
      <c r="AH101" s="864"/>
      <c r="AI101" s="864"/>
      <c r="AJ101" s="864"/>
      <c r="AK101" s="864"/>
      <c r="AL101" s="864"/>
      <c r="AM101" s="864"/>
      <c r="AN101" s="864"/>
      <c r="AO101" s="864"/>
      <c r="AP101" s="864"/>
      <c r="AQ101" s="864"/>
      <c r="AR101" s="864"/>
      <c r="AS101" s="864"/>
      <c r="AT101" s="864"/>
      <c r="AU101" s="864"/>
      <c r="AV101" s="864"/>
      <c r="AW101" s="864"/>
      <c r="AX101" s="864"/>
      <c r="AY101" s="864"/>
      <c r="AZ101" s="864"/>
      <c r="BA101" s="864"/>
      <c r="BB101" s="864"/>
      <c r="BC101" s="864"/>
      <c r="BD101" s="864"/>
      <c r="BE101" s="865"/>
      <c r="BF101" s="695"/>
    </row>
    <row r="102" spans="1:58" ht="13.5" thickBot="1" x14ac:dyDescent="0.5">
      <c r="A102" s="695"/>
      <c r="B102" s="879" t="s">
        <v>97</v>
      </c>
      <c r="C102" s="880"/>
      <c r="D102" s="880"/>
      <c r="E102" s="881"/>
      <c r="F102" s="881" t="s">
        <v>749</v>
      </c>
      <c r="G102" s="1777" t="str">
        <f>IF(G101="NA", "NA", $G$101/(1-'II. Inputs, Baseline Energy Mix'!$O$23))</f>
        <v>NA</v>
      </c>
      <c r="H102" s="864"/>
      <c r="I102" s="1551"/>
      <c r="J102" s="864"/>
      <c r="K102" s="864"/>
      <c r="L102" s="864"/>
      <c r="M102" s="864"/>
      <c r="N102" s="864"/>
      <c r="O102" s="864"/>
      <c r="P102" s="864"/>
      <c r="Q102" s="864"/>
      <c r="R102" s="864"/>
      <c r="S102" s="864"/>
      <c r="T102" s="864"/>
      <c r="U102" s="864"/>
      <c r="V102" s="864"/>
      <c r="W102" s="864"/>
      <c r="X102" s="864"/>
      <c r="Y102" s="864"/>
      <c r="Z102" s="864"/>
      <c r="AA102" s="864"/>
      <c r="AB102" s="864"/>
      <c r="AC102" s="864"/>
      <c r="AD102" s="864"/>
      <c r="AE102" s="864"/>
      <c r="AF102" s="864"/>
      <c r="AG102" s="864"/>
      <c r="AH102" s="864"/>
      <c r="AI102" s="864"/>
      <c r="AJ102" s="864"/>
      <c r="AK102" s="864"/>
      <c r="AL102" s="864"/>
      <c r="AM102" s="864"/>
      <c r="AN102" s="864"/>
      <c r="AO102" s="864"/>
      <c r="AP102" s="864"/>
      <c r="AQ102" s="864"/>
      <c r="AR102" s="864"/>
      <c r="AS102" s="864"/>
      <c r="AT102" s="864"/>
      <c r="AU102" s="864"/>
      <c r="AV102" s="864"/>
      <c r="AW102" s="864"/>
      <c r="AX102" s="864"/>
      <c r="AY102" s="864"/>
      <c r="AZ102" s="864"/>
      <c r="BA102" s="864"/>
      <c r="BB102" s="864"/>
      <c r="BC102" s="864"/>
      <c r="BD102" s="864"/>
      <c r="BE102" s="865"/>
      <c r="BF102" s="695"/>
    </row>
    <row r="103" spans="1:58" ht="13.15" thickBot="1" x14ac:dyDescent="0.5">
      <c r="A103" s="695"/>
      <c r="B103" s="882"/>
      <c r="C103" s="883"/>
      <c r="D103" s="883"/>
      <c r="E103" s="883"/>
      <c r="F103" s="883"/>
      <c r="G103" s="883"/>
      <c r="H103" s="883"/>
      <c r="I103" s="1555"/>
      <c r="J103" s="883"/>
      <c r="K103" s="883"/>
      <c r="L103" s="883"/>
      <c r="M103" s="883"/>
      <c r="N103" s="883"/>
      <c r="O103" s="883"/>
      <c r="P103" s="883"/>
      <c r="Q103" s="883"/>
      <c r="R103" s="883"/>
      <c r="S103" s="883"/>
      <c r="T103" s="883"/>
      <c r="U103" s="883"/>
      <c r="V103" s="883"/>
      <c r="W103" s="883"/>
      <c r="X103" s="883"/>
      <c r="Y103" s="883"/>
      <c r="Z103" s="883"/>
      <c r="AA103" s="883"/>
      <c r="AB103" s="883"/>
      <c r="AC103" s="883"/>
      <c r="AD103" s="883"/>
      <c r="AE103" s="883"/>
      <c r="AF103" s="883"/>
      <c r="AG103" s="883"/>
      <c r="AH103" s="883"/>
      <c r="AI103" s="883"/>
      <c r="AJ103" s="883"/>
      <c r="AK103" s="883"/>
      <c r="AL103" s="883"/>
      <c r="AM103" s="883"/>
      <c r="AN103" s="883"/>
      <c r="AO103" s="883"/>
      <c r="AP103" s="883"/>
      <c r="AQ103" s="883"/>
      <c r="AR103" s="883"/>
      <c r="AS103" s="883"/>
      <c r="AT103" s="883"/>
      <c r="AU103" s="883"/>
      <c r="AV103" s="883"/>
      <c r="AW103" s="883"/>
      <c r="AX103" s="883"/>
      <c r="AY103" s="883"/>
      <c r="AZ103" s="883"/>
      <c r="BA103" s="883"/>
      <c r="BB103" s="883"/>
      <c r="BC103" s="883"/>
      <c r="BD103" s="883"/>
      <c r="BE103" s="884"/>
      <c r="BF103" s="695"/>
    </row>
    <row r="104" spans="1:58" x14ac:dyDescent="0.45">
      <c r="A104" s="695"/>
      <c r="B104" s="695"/>
      <c r="C104" s="695"/>
      <c r="D104" s="695"/>
      <c r="E104" s="695"/>
      <c r="F104" s="695"/>
      <c r="G104" s="695"/>
      <c r="H104" s="695"/>
      <c r="I104" s="1548"/>
      <c r="J104" s="695"/>
      <c r="K104" s="695"/>
      <c r="L104" s="695"/>
      <c r="M104" s="695"/>
      <c r="N104" s="695"/>
      <c r="O104" s="695"/>
      <c r="P104" s="695"/>
      <c r="Q104" s="695"/>
      <c r="R104" s="695"/>
      <c r="S104" s="695"/>
      <c r="T104" s="695"/>
      <c r="U104" s="695"/>
      <c r="V104" s="695"/>
      <c r="W104" s="695"/>
      <c r="X104" s="695"/>
      <c r="Y104" s="695"/>
      <c r="Z104" s="695"/>
      <c r="AA104" s="695"/>
      <c r="AB104" s="695"/>
      <c r="AC104" s="695"/>
      <c r="AD104" s="695"/>
      <c r="AE104" s="695"/>
      <c r="AF104" s="695"/>
      <c r="AG104" s="695"/>
      <c r="AH104" s="695"/>
      <c r="AI104" s="695"/>
      <c r="AJ104" s="695"/>
      <c r="AK104" s="695"/>
      <c r="AL104" s="695"/>
      <c r="AM104" s="695"/>
      <c r="AN104" s="695"/>
      <c r="AO104" s="695"/>
      <c r="AP104" s="695"/>
      <c r="AQ104" s="695"/>
      <c r="AR104" s="695"/>
      <c r="AS104" s="695"/>
      <c r="AT104" s="695"/>
      <c r="AU104" s="695"/>
      <c r="AV104" s="695"/>
      <c r="AW104" s="695"/>
      <c r="AX104" s="695"/>
      <c r="AY104" s="695"/>
      <c r="AZ104" s="695"/>
      <c r="BA104" s="695"/>
      <c r="BB104" s="695"/>
      <c r="BC104" s="695"/>
      <c r="BD104" s="695"/>
      <c r="BE104" s="695"/>
      <c r="BF104" s="695"/>
    </row>
    <row r="105" spans="1:58" ht="13.15" x14ac:dyDescent="0.45">
      <c r="A105" s="695"/>
      <c r="B105" s="1171" t="s">
        <v>51</v>
      </c>
      <c r="C105" s="1172"/>
      <c r="D105" s="1172"/>
      <c r="E105" s="1173"/>
      <c r="F105" s="1172"/>
      <c r="G105" s="1173">
        <v>0</v>
      </c>
      <c r="H105" s="1173">
        <v>1</v>
      </c>
      <c r="I105" s="1173">
        <v>2</v>
      </c>
      <c r="J105" s="1173">
        <v>3</v>
      </c>
      <c r="K105" s="1173">
        <v>4</v>
      </c>
      <c r="L105" s="1173">
        <v>5</v>
      </c>
      <c r="M105" s="1173">
        <v>6</v>
      </c>
      <c r="N105" s="1173">
        <v>7</v>
      </c>
      <c r="O105" s="1173">
        <v>8</v>
      </c>
      <c r="P105" s="1173">
        <v>9</v>
      </c>
      <c r="Q105" s="1173">
        <v>10</v>
      </c>
      <c r="R105" s="1173">
        <v>11</v>
      </c>
      <c r="S105" s="1173">
        <v>12</v>
      </c>
      <c r="T105" s="1173">
        <v>13</v>
      </c>
      <c r="U105" s="1173">
        <v>14</v>
      </c>
      <c r="V105" s="1173">
        <v>15</v>
      </c>
      <c r="W105" s="1173">
        <v>16</v>
      </c>
      <c r="X105" s="1173">
        <v>17</v>
      </c>
      <c r="Y105" s="1173">
        <v>18</v>
      </c>
      <c r="Z105" s="1173">
        <v>19</v>
      </c>
      <c r="AA105" s="1173">
        <v>20</v>
      </c>
      <c r="AB105" s="1173">
        <v>21</v>
      </c>
      <c r="AC105" s="1173">
        <v>22</v>
      </c>
      <c r="AD105" s="1173">
        <v>23</v>
      </c>
      <c r="AE105" s="1173">
        <v>24</v>
      </c>
      <c r="AF105" s="1173">
        <v>25</v>
      </c>
      <c r="AG105" s="1173">
        <v>26</v>
      </c>
      <c r="AH105" s="1173">
        <v>27</v>
      </c>
      <c r="AI105" s="1173">
        <v>28</v>
      </c>
      <c r="AJ105" s="1173">
        <v>29</v>
      </c>
      <c r="AK105" s="1173">
        <v>30</v>
      </c>
      <c r="AL105" s="1173">
        <v>31</v>
      </c>
      <c r="AM105" s="1173">
        <v>32</v>
      </c>
      <c r="AN105" s="1173">
        <v>33</v>
      </c>
      <c r="AO105" s="1173">
        <v>34</v>
      </c>
      <c r="AP105" s="1173">
        <v>35</v>
      </c>
      <c r="AQ105" s="1173">
        <v>36</v>
      </c>
      <c r="AR105" s="1173">
        <v>37</v>
      </c>
      <c r="AS105" s="1173">
        <v>38</v>
      </c>
      <c r="AT105" s="1173">
        <v>39</v>
      </c>
      <c r="AU105" s="1173">
        <v>40</v>
      </c>
      <c r="AV105" s="1173">
        <v>41</v>
      </c>
      <c r="AW105" s="1173">
        <v>42</v>
      </c>
      <c r="AX105" s="1173">
        <v>43</v>
      </c>
      <c r="AY105" s="1173">
        <v>44</v>
      </c>
      <c r="AZ105" s="1173">
        <v>45</v>
      </c>
      <c r="BA105" s="1173">
        <v>46</v>
      </c>
      <c r="BB105" s="1173">
        <v>47</v>
      </c>
      <c r="BC105" s="1173">
        <v>48</v>
      </c>
      <c r="BD105" s="1173">
        <v>49</v>
      </c>
      <c r="BE105" s="1173">
        <v>50</v>
      </c>
      <c r="BF105" s="695"/>
    </row>
    <row r="106" spans="1:58" ht="13.5" thickBot="1" x14ac:dyDescent="0.5">
      <c r="A106" s="695"/>
      <c r="B106" s="1176"/>
      <c r="C106" s="696"/>
      <c r="D106" s="696"/>
      <c r="E106" s="697"/>
      <c r="F106" s="696"/>
      <c r="G106" s="697"/>
      <c r="H106" s="697"/>
      <c r="I106" s="697"/>
      <c r="J106" s="697"/>
      <c r="K106" s="697"/>
      <c r="L106" s="697"/>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697"/>
      <c r="AI106" s="697"/>
      <c r="AJ106" s="697"/>
      <c r="AK106" s="697"/>
      <c r="AL106" s="697"/>
      <c r="AM106" s="697"/>
      <c r="AN106" s="697"/>
      <c r="AO106" s="697"/>
      <c r="AP106" s="697"/>
      <c r="AQ106" s="697"/>
      <c r="AR106" s="697"/>
      <c r="AS106" s="697"/>
      <c r="AT106" s="697"/>
      <c r="AU106" s="697"/>
      <c r="AV106" s="697"/>
      <c r="AW106" s="697"/>
      <c r="AX106" s="697"/>
      <c r="AY106" s="697"/>
      <c r="AZ106" s="697"/>
      <c r="BA106" s="697"/>
      <c r="BB106" s="697"/>
      <c r="BC106" s="697"/>
      <c r="BD106" s="697"/>
      <c r="BE106" s="697"/>
      <c r="BF106" s="695"/>
    </row>
    <row r="107" spans="1:58" s="479" customFormat="1" ht="13.15" x14ac:dyDescent="0.45">
      <c r="A107" s="704"/>
      <c r="B107" s="885" t="str">
        <f>'II. Inputs, Baseline Energy Mix'!P18</f>
        <v>Technology #3</v>
      </c>
      <c r="C107" s="886"/>
      <c r="D107" s="886"/>
      <c r="E107" s="886"/>
      <c r="F107" s="886"/>
      <c r="G107" s="886"/>
      <c r="H107" s="886"/>
      <c r="I107" s="886"/>
      <c r="J107" s="886"/>
      <c r="K107" s="886"/>
      <c r="L107" s="886"/>
      <c r="M107" s="886"/>
      <c r="N107" s="886"/>
      <c r="O107" s="886"/>
      <c r="P107" s="886"/>
      <c r="Q107" s="886"/>
      <c r="R107" s="886"/>
      <c r="S107" s="886"/>
      <c r="T107" s="886"/>
      <c r="U107" s="886"/>
      <c r="V107" s="886"/>
      <c r="W107" s="886"/>
      <c r="X107" s="886"/>
      <c r="Y107" s="886"/>
      <c r="Z107" s="886"/>
      <c r="AA107" s="886"/>
      <c r="AB107" s="886"/>
      <c r="AC107" s="886"/>
      <c r="AD107" s="886"/>
      <c r="AE107" s="886"/>
      <c r="AF107" s="886"/>
      <c r="AG107" s="886"/>
      <c r="AH107" s="886"/>
      <c r="AI107" s="886"/>
      <c r="AJ107" s="886"/>
      <c r="AK107" s="886"/>
      <c r="AL107" s="886"/>
      <c r="AM107" s="886"/>
      <c r="AN107" s="886"/>
      <c r="AO107" s="886"/>
      <c r="AP107" s="886"/>
      <c r="AQ107" s="886"/>
      <c r="AR107" s="886"/>
      <c r="AS107" s="886"/>
      <c r="AT107" s="886"/>
      <c r="AU107" s="886"/>
      <c r="AV107" s="886"/>
      <c r="AW107" s="886"/>
      <c r="AX107" s="886"/>
      <c r="AY107" s="886"/>
      <c r="AZ107" s="886"/>
      <c r="BA107" s="886"/>
      <c r="BB107" s="886"/>
      <c r="BC107" s="886"/>
      <c r="BD107" s="886"/>
      <c r="BE107" s="887"/>
      <c r="BF107" s="704"/>
    </row>
    <row r="108" spans="1:58" x14ac:dyDescent="0.45">
      <c r="A108" s="695"/>
      <c r="B108" s="888"/>
      <c r="C108" s="889"/>
      <c r="D108" s="889"/>
      <c r="E108" s="889"/>
      <c r="F108" s="889"/>
      <c r="G108" s="889"/>
      <c r="H108" s="889"/>
      <c r="I108" s="889"/>
      <c r="J108" s="889"/>
      <c r="K108" s="889"/>
      <c r="L108" s="889"/>
      <c r="M108" s="889"/>
      <c r="N108" s="889"/>
      <c r="O108" s="889"/>
      <c r="P108" s="889"/>
      <c r="Q108" s="889"/>
      <c r="R108" s="889"/>
      <c r="S108" s="889"/>
      <c r="T108" s="889"/>
      <c r="U108" s="889"/>
      <c r="V108" s="889"/>
      <c r="W108" s="889"/>
      <c r="X108" s="889"/>
      <c r="Y108" s="889"/>
      <c r="Z108" s="889"/>
      <c r="AA108" s="889"/>
      <c r="AB108" s="889"/>
      <c r="AC108" s="889"/>
      <c r="AD108" s="889"/>
      <c r="AE108" s="889"/>
      <c r="AF108" s="889"/>
      <c r="AG108" s="889"/>
      <c r="AH108" s="889"/>
      <c r="AI108" s="889"/>
      <c r="AJ108" s="889"/>
      <c r="AK108" s="889"/>
      <c r="AL108" s="889"/>
      <c r="AM108" s="889"/>
      <c r="AN108" s="889"/>
      <c r="AO108" s="889"/>
      <c r="AP108" s="889"/>
      <c r="AQ108" s="889"/>
      <c r="AR108" s="889"/>
      <c r="AS108" s="889"/>
      <c r="AT108" s="889"/>
      <c r="AU108" s="889"/>
      <c r="AV108" s="889"/>
      <c r="AW108" s="889"/>
      <c r="AX108" s="889"/>
      <c r="AY108" s="889"/>
      <c r="AZ108" s="889"/>
      <c r="BA108" s="889"/>
      <c r="BB108" s="889"/>
      <c r="BC108" s="889"/>
      <c r="BD108" s="889"/>
      <c r="BE108" s="890"/>
      <c r="BF108" s="695"/>
    </row>
    <row r="109" spans="1:58" x14ac:dyDescent="0.45">
      <c r="A109" s="695"/>
      <c r="B109" s="888" t="s">
        <v>122</v>
      </c>
      <c r="C109" s="889"/>
      <c r="D109" s="889"/>
      <c r="E109" s="889"/>
      <c r="F109" s="889"/>
      <c r="G109" s="889"/>
      <c r="H109" s="891">
        <f>IF(H$13&gt;'II. Inputs, Baseline Energy Mix'!$P$22,0,1)</f>
        <v>0</v>
      </c>
      <c r="I109" s="889">
        <f>IF(I$13&gt;'II. Inputs, Baseline Energy Mix'!$P$22,0,1)</f>
        <v>0</v>
      </c>
      <c r="J109" s="889">
        <f>IF(J$13&gt;'II. Inputs, Baseline Energy Mix'!$P$22,0,1)</f>
        <v>0</v>
      </c>
      <c r="K109" s="889">
        <f>IF(K$13&gt;'II. Inputs, Baseline Energy Mix'!$P$22,0,1)</f>
        <v>0</v>
      </c>
      <c r="L109" s="889">
        <f>IF(L$13&gt;'II. Inputs, Baseline Energy Mix'!$P$22,0,1)</f>
        <v>0</v>
      </c>
      <c r="M109" s="889">
        <f>IF(M$13&gt;'II. Inputs, Baseline Energy Mix'!$P$22,0,1)</f>
        <v>0</v>
      </c>
      <c r="N109" s="889">
        <f>IF(N$13&gt;'II. Inputs, Baseline Energy Mix'!$P$22,0,1)</f>
        <v>0</v>
      </c>
      <c r="O109" s="889">
        <f>IF(O$13&gt;'II. Inputs, Baseline Energy Mix'!$P$22,0,1)</f>
        <v>0</v>
      </c>
      <c r="P109" s="889">
        <f>IF(P$13&gt;'II. Inputs, Baseline Energy Mix'!$P$22,0,1)</f>
        <v>0</v>
      </c>
      <c r="Q109" s="889">
        <f>IF(Q$13&gt;'II. Inputs, Baseline Energy Mix'!$P$22,0,1)</f>
        <v>0</v>
      </c>
      <c r="R109" s="889">
        <f>IF(R$13&gt;'II. Inputs, Baseline Energy Mix'!$P$22,0,1)</f>
        <v>0</v>
      </c>
      <c r="S109" s="889">
        <f>IF(S$13&gt;'II. Inputs, Baseline Energy Mix'!$P$22,0,1)</f>
        <v>0</v>
      </c>
      <c r="T109" s="889">
        <f>IF(T$13&gt;'II. Inputs, Baseline Energy Mix'!$P$22,0,1)</f>
        <v>0</v>
      </c>
      <c r="U109" s="889">
        <f>IF(U$13&gt;'II. Inputs, Baseline Energy Mix'!$P$22,0,1)</f>
        <v>0</v>
      </c>
      <c r="V109" s="889">
        <f>IF(V$13&gt;'II. Inputs, Baseline Energy Mix'!$P$22,0,1)</f>
        <v>0</v>
      </c>
      <c r="W109" s="889">
        <f>IF(W$13&gt;'II. Inputs, Baseline Energy Mix'!$P$22,0,1)</f>
        <v>0</v>
      </c>
      <c r="X109" s="889">
        <f>IF(X$13&gt;'II. Inputs, Baseline Energy Mix'!$P$22,0,1)</f>
        <v>0</v>
      </c>
      <c r="Y109" s="889">
        <f>IF(Y$13&gt;'II. Inputs, Baseline Energy Mix'!$P$22,0,1)</f>
        <v>0</v>
      </c>
      <c r="Z109" s="889">
        <f>IF(Z$13&gt;'II. Inputs, Baseline Energy Mix'!$P$22,0,1)</f>
        <v>0</v>
      </c>
      <c r="AA109" s="889">
        <f>IF(AA$13&gt;'II. Inputs, Baseline Energy Mix'!$P$22,0,1)</f>
        <v>0</v>
      </c>
      <c r="AB109" s="889">
        <f>IF(AB$13&gt;'II. Inputs, Baseline Energy Mix'!$P$22,0,1)</f>
        <v>0</v>
      </c>
      <c r="AC109" s="889">
        <f>IF(AC$13&gt;'II. Inputs, Baseline Energy Mix'!$P$22,0,1)</f>
        <v>0</v>
      </c>
      <c r="AD109" s="889">
        <f>IF(AD$13&gt;'II. Inputs, Baseline Energy Mix'!$P$22,0,1)</f>
        <v>0</v>
      </c>
      <c r="AE109" s="889">
        <f>IF(AE$13&gt;'II. Inputs, Baseline Energy Mix'!$P$22,0,1)</f>
        <v>0</v>
      </c>
      <c r="AF109" s="889">
        <f>IF(AF$13&gt;'II. Inputs, Baseline Energy Mix'!$P$22,0,1)</f>
        <v>0</v>
      </c>
      <c r="AG109" s="889">
        <f>IF(AG$13&gt;'II. Inputs, Baseline Energy Mix'!$P$22,0,1)</f>
        <v>0</v>
      </c>
      <c r="AH109" s="889">
        <f>IF(AH$13&gt;'II. Inputs, Baseline Energy Mix'!$P$22,0,1)</f>
        <v>0</v>
      </c>
      <c r="AI109" s="889">
        <f>IF(AI$13&gt;'II. Inputs, Baseline Energy Mix'!$P$22,0,1)</f>
        <v>0</v>
      </c>
      <c r="AJ109" s="889">
        <f>IF(AJ$13&gt;'II. Inputs, Baseline Energy Mix'!$P$22,0,1)</f>
        <v>0</v>
      </c>
      <c r="AK109" s="889">
        <f>IF(AK$13&gt;'II. Inputs, Baseline Energy Mix'!$P$22,0,1)</f>
        <v>0</v>
      </c>
      <c r="AL109" s="889">
        <f>IF(AL$13&gt;'II. Inputs, Baseline Energy Mix'!$P$22,0,1)</f>
        <v>0</v>
      </c>
      <c r="AM109" s="889">
        <f>IF(AM$13&gt;'II. Inputs, Baseline Energy Mix'!$P$22,0,1)</f>
        <v>0</v>
      </c>
      <c r="AN109" s="889">
        <f>IF(AN$13&gt;'II. Inputs, Baseline Energy Mix'!$P$22,0,1)</f>
        <v>0</v>
      </c>
      <c r="AO109" s="889">
        <f>IF(AO$13&gt;'II. Inputs, Baseline Energy Mix'!$P$22,0,1)</f>
        <v>0</v>
      </c>
      <c r="AP109" s="889">
        <f>IF(AP$13&gt;'II. Inputs, Baseline Energy Mix'!$P$22,0,1)</f>
        <v>0</v>
      </c>
      <c r="AQ109" s="889">
        <f>IF(AQ$13&gt;'II. Inputs, Baseline Energy Mix'!$P$22,0,1)</f>
        <v>0</v>
      </c>
      <c r="AR109" s="889">
        <f>IF(AR$13&gt;'II. Inputs, Baseline Energy Mix'!$P$22,0,1)</f>
        <v>0</v>
      </c>
      <c r="AS109" s="889">
        <f>IF(AS$13&gt;'II. Inputs, Baseline Energy Mix'!$P$22,0,1)</f>
        <v>0</v>
      </c>
      <c r="AT109" s="889">
        <f>IF(AT$13&gt;'II. Inputs, Baseline Energy Mix'!$P$22,0,1)</f>
        <v>0</v>
      </c>
      <c r="AU109" s="889">
        <f>IF(AU$13&gt;'II. Inputs, Baseline Energy Mix'!$P$22,0,1)</f>
        <v>0</v>
      </c>
      <c r="AV109" s="889">
        <f>IF(AV$13&gt;'II. Inputs, Baseline Energy Mix'!$P$22,0,1)</f>
        <v>0</v>
      </c>
      <c r="AW109" s="889">
        <f>IF(AW$13&gt;'II. Inputs, Baseline Energy Mix'!$P$22,0,1)</f>
        <v>0</v>
      </c>
      <c r="AX109" s="889">
        <f>IF(AX$13&gt;'II. Inputs, Baseline Energy Mix'!$P$22,0,1)</f>
        <v>0</v>
      </c>
      <c r="AY109" s="889">
        <f>IF(AY$13&gt;'II. Inputs, Baseline Energy Mix'!$P$22,0,1)</f>
        <v>0</v>
      </c>
      <c r="AZ109" s="889">
        <f>IF(AZ$13&gt;'II. Inputs, Baseline Energy Mix'!$P$22,0,1)</f>
        <v>0</v>
      </c>
      <c r="BA109" s="889">
        <f>IF(BA$13&gt;'II. Inputs, Baseline Energy Mix'!$P$22,0,1)</f>
        <v>0</v>
      </c>
      <c r="BB109" s="889">
        <f>IF(BB$13&gt;'II. Inputs, Baseline Energy Mix'!$P$22,0,1)</f>
        <v>0</v>
      </c>
      <c r="BC109" s="889">
        <f>IF(BC$13&gt;'II. Inputs, Baseline Energy Mix'!$P$22,0,1)</f>
        <v>0</v>
      </c>
      <c r="BD109" s="889">
        <f>IF(BD$13&gt;'II. Inputs, Baseline Energy Mix'!$P$22,0,1)</f>
        <v>0</v>
      </c>
      <c r="BE109" s="890">
        <f>IF(BE$13&gt;'II. Inputs, Baseline Energy Mix'!$P$22,0,1)</f>
        <v>0</v>
      </c>
      <c r="BF109" s="695"/>
    </row>
    <row r="110" spans="1:58" x14ac:dyDescent="0.45">
      <c r="A110" s="695"/>
      <c r="B110" s="888"/>
      <c r="C110" s="889"/>
      <c r="D110" s="889"/>
      <c r="E110" s="889"/>
      <c r="F110" s="889"/>
      <c r="G110" s="889"/>
      <c r="H110" s="891"/>
      <c r="I110" s="889"/>
      <c r="J110" s="889"/>
      <c r="K110" s="889"/>
      <c r="L110" s="889"/>
      <c r="M110" s="889"/>
      <c r="N110" s="889"/>
      <c r="O110" s="889"/>
      <c r="P110" s="889"/>
      <c r="Q110" s="889"/>
      <c r="R110" s="889"/>
      <c r="S110" s="889"/>
      <c r="T110" s="889"/>
      <c r="U110" s="889"/>
      <c r="V110" s="889"/>
      <c r="W110" s="889"/>
      <c r="X110" s="889"/>
      <c r="Y110" s="889"/>
      <c r="Z110" s="889"/>
      <c r="AA110" s="889"/>
      <c r="AB110" s="889"/>
      <c r="AC110" s="889"/>
      <c r="AD110" s="889"/>
      <c r="AE110" s="889"/>
      <c r="AF110" s="889"/>
      <c r="AG110" s="889"/>
      <c r="AH110" s="889"/>
      <c r="AI110" s="889"/>
      <c r="AJ110" s="889"/>
      <c r="AK110" s="889"/>
      <c r="AL110" s="889"/>
      <c r="AM110" s="889"/>
      <c r="AN110" s="889"/>
      <c r="AO110" s="889"/>
      <c r="AP110" s="889"/>
      <c r="AQ110" s="889"/>
      <c r="AR110" s="889"/>
      <c r="AS110" s="889"/>
      <c r="AT110" s="889"/>
      <c r="AU110" s="889"/>
      <c r="AV110" s="889"/>
      <c r="AW110" s="889"/>
      <c r="AX110" s="889"/>
      <c r="AY110" s="889"/>
      <c r="AZ110" s="889"/>
      <c r="BA110" s="889"/>
      <c r="BB110" s="889"/>
      <c r="BC110" s="889"/>
      <c r="BD110" s="889"/>
      <c r="BE110" s="890"/>
      <c r="BF110" s="695"/>
    </row>
    <row r="111" spans="1:58" x14ac:dyDescent="0.45">
      <c r="A111" s="695"/>
      <c r="B111" s="888" t="s">
        <v>85</v>
      </c>
      <c r="C111" s="889"/>
      <c r="D111" s="889"/>
      <c r="E111" s="889"/>
      <c r="F111" s="892" t="s">
        <v>86</v>
      </c>
      <c r="G111" s="889"/>
      <c r="H111" s="893">
        <f>IF('II. Inputs, Baseline Energy Mix'!$P$19=0,0,'II. Inputs, Baseline Energy Mix'!$P$105*'II. Inputs, Baseline Energy Mix'!$P$20*H109)</f>
        <v>0</v>
      </c>
      <c r="I111" s="893">
        <f>IF('II. Inputs, Baseline Energy Mix'!$P$19=0,0,'II. Inputs, Baseline Energy Mix'!$P$105*'II. Inputs, Baseline Energy Mix'!$P$20*I109)</f>
        <v>0</v>
      </c>
      <c r="J111" s="893">
        <f>IF('II. Inputs, Baseline Energy Mix'!$P$19=0,0,'II. Inputs, Baseline Energy Mix'!$P$105*'II. Inputs, Baseline Energy Mix'!$P$20*J109)</f>
        <v>0</v>
      </c>
      <c r="K111" s="893">
        <f>IF('II. Inputs, Baseline Energy Mix'!$P$19=0,0,'II. Inputs, Baseline Energy Mix'!$P$105*'II. Inputs, Baseline Energy Mix'!$P$20*K109)</f>
        <v>0</v>
      </c>
      <c r="L111" s="893">
        <f>IF('II. Inputs, Baseline Energy Mix'!$P$19=0,0,'II. Inputs, Baseline Energy Mix'!$P$105*'II. Inputs, Baseline Energy Mix'!$P$20*L109)</f>
        <v>0</v>
      </c>
      <c r="M111" s="893">
        <f>IF('II. Inputs, Baseline Energy Mix'!$P$19=0,0,'II. Inputs, Baseline Energy Mix'!$P$105*'II. Inputs, Baseline Energy Mix'!$P$20*M109)</f>
        <v>0</v>
      </c>
      <c r="N111" s="893">
        <f>IF('II. Inputs, Baseline Energy Mix'!$P$19=0,0,'II. Inputs, Baseline Energy Mix'!$P$105*'II. Inputs, Baseline Energy Mix'!$P$20*N109)</f>
        <v>0</v>
      </c>
      <c r="O111" s="893">
        <f>IF('II. Inputs, Baseline Energy Mix'!$P$19=0,0,'II. Inputs, Baseline Energy Mix'!$P$105*'II. Inputs, Baseline Energy Mix'!$P$20*O109)</f>
        <v>0</v>
      </c>
      <c r="P111" s="893">
        <f>IF('II. Inputs, Baseline Energy Mix'!$P$19=0,0,'II. Inputs, Baseline Energy Mix'!$P$105*'II. Inputs, Baseline Energy Mix'!$P$20*P109)</f>
        <v>0</v>
      </c>
      <c r="Q111" s="893">
        <f>IF('II. Inputs, Baseline Energy Mix'!$P$19=0,0,'II. Inputs, Baseline Energy Mix'!$P$105*'II. Inputs, Baseline Energy Mix'!$P$20*Q109)</f>
        <v>0</v>
      </c>
      <c r="R111" s="893">
        <f>IF('II. Inputs, Baseline Energy Mix'!$P$19=0,0,'II. Inputs, Baseline Energy Mix'!$P$105*'II. Inputs, Baseline Energy Mix'!$P$20*R109)</f>
        <v>0</v>
      </c>
      <c r="S111" s="893">
        <f>IF('II. Inputs, Baseline Energy Mix'!$P$19=0,0,'II. Inputs, Baseline Energy Mix'!$P$105*'II. Inputs, Baseline Energy Mix'!$P$20*S109)</f>
        <v>0</v>
      </c>
      <c r="T111" s="893">
        <f>IF('II. Inputs, Baseline Energy Mix'!$P$19=0,0,'II. Inputs, Baseline Energy Mix'!$P$105*'II. Inputs, Baseline Energy Mix'!$P$20*T109)</f>
        <v>0</v>
      </c>
      <c r="U111" s="893">
        <f>IF('II. Inputs, Baseline Energy Mix'!$P$19=0,0,'II. Inputs, Baseline Energy Mix'!$P$105*'II. Inputs, Baseline Energy Mix'!$P$20*U109)</f>
        <v>0</v>
      </c>
      <c r="V111" s="893">
        <f>IF('II. Inputs, Baseline Energy Mix'!$P$19=0,0,'II. Inputs, Baseline Energy Mix'!$P$105*'II. Inputs, Baseline Energy Mix'!$P$20*V109)</f>
        <v>0</v>
      </c>
      <c r="W111" s="893">
        <f>IF('II. Inputs, Baseline Energy Mix'!$P$19=0,0,'II. Inputs, Baseline Energy Mix'!$P$105*'II. Inputs, Baseline Energy Mix'!$P$20*W109)</f>
        <v>0</v>
      </c>
      <c r="X111" s="893">
        <f>IF('II. Inputs, Baseline Energy Mix'!$P$19=0,0,'II. Inputs, Baseline Energy Mix'!$P$105*'II. Inputs, Baseline Energy Mix'!$P$20*X109)</f>
        <v>0</v>
      </c>
      <c r="Y111" s="893">
        <f>IF('II. Inputs, Baseline Energy Mix'!$P$19=0,0,'II. Inputs, Baseline Energy Mix'!$P$105*'II. Inputs, Baseline Energy Mix'!$P$20*Y109)</f>
        <v>0</v>
      </c>
      <c r="Z111" s="893">
        <f>IF('II. Inputs, Baseline Energy Mix'!$P$19=0,0,'II. Inputs, Baseline Energy Mix'!$P$105*'II. Inputs, Baseline Energy Mix'!$P$20*Z109)</f>
        <v>0</v>
      </c>
      <c r="AA111" s="893">
        <f>IF('II. Inputs, Baseline Energy Mix'!$P$19=0,0,'II. Inputs, Baseline Energy Mix'!$P$105*'II. Inputs, Baseline Energy Mix'!$P$20*AA109)</f>
        <v>0</v>
      </c>
      <c r="AB111" s="893">
        <f>IF('II. Inputs, Baseline Energy Mix'!$P$19=0,0,'II. Inputs, Baseline Energy Mix'!$P$105*'II. Inputs, Baseline Energy Mix'!$P$20*AB109)</f>
        <v>0</v>
      </c>
      <c r="AC111" s="893">
        <f>IF('II. Inputs, Baseline Energy Mix'!$P$19=0,0,'II. Inputs, Baseline Energy Mix'!$P$105*'II. Inputs, Baseline Energy Mix'!$P$20*AC109)</f>
        <v>0</v>
      </c>
      <c r="AD111" s="893">
        <f>IF('II. Inputs, Baseline Energy Mix'!$P$19=0,0,'II. Inputs, Baseline Energy Mix'!$P$105*'II. Inputs, Baseline Energy Mix'!$P$20*AD109)</f>
        <v>0</v>
      </c>
      <c r="AE111" s="893">
        <f>IF('II. Inputs, Baseline Energy Mix'!$P$19=0,0,'II. Inputs, Baseline Energy Mix'!$P$105*'II. Inputs, Baseline Energy Mix'!$P$20*AE109)</f>
        <v>0</v>
      </c>
      <c r="AF111" s="893">
        <f>IF('II. Inputs, Baseline Energy Mix'!$P$19=0,0,'II. Inputs, Baseline Energy Mix'!$P$105*'II. Inputs, Baseline Energy Mix'!$P$20*AF109)</f>
        <v>0</v>
      </c>
      <c r="AG111" s="893">
        <f>IF('II. Inputs, Baseline Energy Mix'!$P$19=0,0,'II. Inputs, Baseline Energy Mix'!$P$105*'II. Inputs, Baseline Energy Mix'!$P$20*AG109)</f>
        <v>0</v>
      </c>
      <c r="AH111" s="893">
        <f>IF('II. Inputs, Baseline Energy Mix'!$P$19=0,0,'II. Inputs, Baseline Energy Mix'!$P$105*'II. Inputs, Baseline Energy Mix'!$P$20*AH109)</f>
        <v>0</v>
      </c>
      <c r="AI111" s="893">
        <f>IF('II. Inputs, Baseline Energy Mix'!$P$19=0,0,'II. Inputs, Baseline Energy Mix'!$P$105*'II. Inputs, Baseline Energy Mix'!$P$20*AI109)</f>
        <v>0</v>
      </c>
      <c r="AJ111" s="893">
        <f>IF('II. Inputs, Baseline Energy Mix'!$P$19=0,0,'II. Inputs, Baseline Energy Mix'!$P$105*'II. Inputs, Baseline Energy Mix'!$P$20*AJ109)</f>
        <v>0</v>
      </c>
      <c r="AK111" s="893">
        <f>IF('II. Inputs, Baseline Energy Mix'!$P$19=0,0,'II. Inputs, Baseline Energy Mix'!$P$105*'II. Inputs, Baseline Energy Mix'!$P$20*AK109)</f>
        <v>0</v>
      </c>
      <c r="AL111" s="893">
        <f>IF('II. Inputs, Baseline Energy Mix'!$P$19=0,0,'II. Inputs, Baseline Energy Mix'!$P$105*'II. Inputs, Baseline Energy Mix'!$P$20*AL109)</f>
        <v>0</v>
      </c>
      <c r="AM111" s="893">
        <f>IF('II. Inputs, Baseline Energy Mix'!$P$19=0,0,'II. Inputs, Baseline Energy Mix'!$P$105*'II. Inputs, Baseline Energy Mix'!$P$20*AM109)</f>
        <v>0</v>
      </c>
      <c r="AN111" s="893">
        <f>IF('II. Inputs, Baseline Energy Mix'!$P$19=0,0,'II. Inputs, Baseline Energy Mix'!$P$105*'II. Inputs, Baseline Energy Mix'!$P$20*AN109)</f>
        <v>0</v>
      </c>
      <c r="AO111" s="893">
        <f>IF('II. Inputs, Baseline Energy Mix'!$P$19=0,0,'II. Inputs, Baseline Energy Mix'!$P$105*'II. Inputs, Baseline Energy Mix'!$P$20*AO109)</f>
        <v>0</v>
      </c>
      <c r="AP111" s="893">
        <f>IF('II. Inputs, Baseline Energy Mix'!$P$19=0,0,'II. Inputs, Baseline Energy Mix'!$P$105*'II. Inputs, Baseline Energy Mix'!$P$20*AP109)</f>
        <v>0</v>
      </c>
      <c r="AQ111" s="893">
        <f>IF('II. Inputs, Baseline Energy Mix'!$P$19=0,0,'II. Inputs, Baseline Energy Mix'!$P$105*'II. Inputs, Baseline Energy Mix'!$P$20*AQ109)</f>
        <v>0</v>
      </c>
      <c r="AR111" s="893">
        <f>IF('II. Inputs, Baseline Energy Mix'!$P$19=0,0,'II. Inputs, Baseline Energy Mix'!$P$105*'II. Inputs, Baseline Energy Mix'!$P$20*AR109)</f>
        <v>0</v>
      </c>
      <c r="AS111" s="893">
        <f>IF('II. Inputs, Baseline Energy Mix'!$P$19=0,0,'II. Inputs, Baseline Energy Mix'!$P$105*'II. Inputs, Baseline Energy Mix'!$P$20*AS109)</f>
        <v>0</v>
      </c>
      <c r="AT111" s="893">
        <f>IF('II. Inputs, Baseline Energy Mix'!$P$19=0,0,'II. Inputs, Baseline Energy Mix'!$P$105*'II. Inputs, Baseline Energy Mix'!$P$20*AT109)</f>
        <v>0</v>
      </c>
      <c r="AU111" s="893">
        <f>IF('II. Inputs, Baseline Energy Mix'!$P$19=0,0,'II. Inputs, Baseline Energy Mix'!$P$105*'II. Inputs, Baseline Energy Mix'!$P$20*AU109)</f>
        <v>0</v>
      </c>
      <c r="AV111" s="893">
        <f>IF('II. Inputs, Baseline Energy Mix'!$P$19=0,0,'II. Inputs, Baseline Energy Mix'!$P$105*'II. Inputs, Baseline Energy Mix'!$P$20*AV109)</f>
        <v>0</v>
      </c>
      <c r="AW111" s="893">
        <f>IF('II. Inputs, Baseline Energy Mix'!$P$19=0,0,'II. Inputs, Baseline Energy Mix'!$P$105*'II. Inputs, Baseline Energy Mix'!$P$20*AW109)</f>
        <v>0</v>
      </c>
      <c r="AX111" s="893">
        <f>IF('II. Inputs, Baseline Energy Mix'!$P$19=0,0,'II. Inputs, Baseline Energy Mix'!$P$105*'II. Inputs, Baseline Energy Mix'!$P$20*AX109)</f>
        <v>0</v>
      </c>
      <c r="AY111" s="893">
        <f>IF('II. Inputs, Baseline Energy Mix'!$P$19=0,0,'II. Inputs, Baseline Energy Mix'!$P$105*'II. Inputs, Baseline Energy Mix'!$P$20*AY109)</f>
        <v>0</v>
      </c>
      <c r="AZ111" s="893">
        <f>IF('II. Inputs, Baseline Energy Mix'!$P$19=0,0,'II. Inputs, Baseline Energy Mix'!$P$105*'II. Inputs, Baseline Energy Mix'!$P$20*AZ109)</f>
        <v>0</v>
      </c>
      <c r="BA111" s="893">
        <f>IF('II. Inputs, Baseline Energy Mix'!$P$19=0,0,'II. Inputs, Baseline Energy Mix'!$P$105*'II. Inputs, Baseline Energy Mix'!$P$20*BA109)</f>
        <v>0</v>
      </c>
      <c r="BB111" s="893">
        <f>IF('II. Inputs, Baseline Energy Mix'!$P$19=0,0,'II. Inputs, Baseline Energy Mix'!$P$105*'II. Inputs, Baseline Energy Mix'!$P$20*BB109)</f>
        <v>0</v>
      </c>
      <c r="BC111" s="893">
        <f>IF('II. Inputs, Baseline Energy Mix'!$P$19=0,0,'II. Inputs, Baseline Energy Mix'!$P$105*'II. Inputs, Baseline Energy Mix'!$P$20*BC109)</f>
        <v>0</v>
      </c>
      <c r="BD111" s="893">
        <f>IF('II. Inputs, Baseline Energy Mix'!$P$19=0,0,'II. Inputs, Baseline Energy Mix'!$P$105*'II. Inputs, Baseline Energy Mix'!$P$20*BD109)</f>
        <v>0</v>
      </c>
      <c r="BE111" s="894">
        <f>IF('II. Inputs, Baseline Energy Mix'!$P$19=0,0,'II. Inputs, Baseline Energy Mix'!$P$105*'II. Inputs, Baseline Energy Mix'!$P$20*BE109)</f>
        <v>0</v>
      </c>
      <c r="BF111" s="695"/>
    </row>
    <row r="112" spans="1:58" x14ac:dyDescent="0.45">
      <c r="A112" s="695"/>
      <c r="B112" s="888"/>
      <c r="C112" s="889"/>
      <c r="D112" s="889"/>
      <c r="E112" s="892"/>
      <c r="F112" s="889"/>
      <c r="G112" s="889"/>
      <c r="H112" s="889"/>
      <c r="I112" s="889"/>
      <c r="J112" s="889"/>
      <c r="K112" s="889"/>
      <c r="L112" s="889"/>
      <c r="M112" s="889"/>
      <c r="N112" s="889"/>
      <c r="O112" s="889"/>
      <c r="P112" s="889"/>
      <c r="Q112" s="889"/>
      <c r="R112" s="889"/>
      <c r="S112" s="889"/>
      <c r="T112" s="889"/>
      <c r="U112" s="889"/>
      <c r="V112" s="889"/>
      <c r="W112" s="889"/>
      <c r="X112" s="889"/>
      <c r="Y112" s="889"/>
      <c r="Z112" s="889"/>
      <c r="AA112" s="889"/>
      <c r="AB112" s="889"/>
      <c r="AC112" s="889"/>
      <c r="AD112" s="889"/>
      <c r="AE112" s="889"/>
      <c r="AF112" s="889"/>
      <c r="AG112" s="889"/>
      <c r="AH112" s="889"/>
      <c r="AI112" s="889"/>
      <c r="AJ112" s="889"/>
      <c r="AK112" s="889"/>
      <c r="AL112" s="889"/>
      <c r="AM112" s="889"/>
      <c r="AN112" s="889"/>
      <c r="AO112" s="889"/>
      <c r="AP112" s="889"/>
      <c r="AQ112" s="889"/>
      <c r="AR112" s="889"/>
      <c r="AS112" s="889"/>
      <c r="AT112" s="889"/>
      <c r="AU112" s="889"/>
      <c r="AV112" s="889"/>
      <c r="AW112" s="889"/>
      <c r="AX112" s="889"/>
      <c r="AY112" s="889"/>
      <c r="AZ112" s="889"/>
      <c r="BA112" s="889"/>
      <c r="BB112" s="889"/>
      <c r="BC112" s="889"/>
      <c r="BD112" s="889"/>
      <c r="BE112" s="890"/>
      <c r="BF112" s="695"/>
    </row>
    <row r="113" spans="1:58" ht="13.15" x14ac:dyDescent="0.45">
      <c r="A113" s="695"/>
      <c r="B113" s="895" t="s">
        <v>87</v>
      </c>
      <c r="C113" s="896"/>
      <c r="D113" s="896"/>
      <c r="E113" s="897"/>
      <c r="F113" s="897"/>
      <c r="G113" s="897"/>
      <c r="H113" s="897"/>
      <c r="I113" s="897"/>
      <c r="J113" s="897"/>
      <c r="K113" s="897"/>
      <c r="L113" s="897"/>
      <c r="M113" s="897"/>
      <c r="N113" s="897"/>
      <c r="O113" s="897"/>
      <c r="P113" s="897"/>
      <c r="Q113" s="897"/>
      <c r="R113" s="897"/>
      <c r="S113" s="897"/>
      <c r="T113" s="897"/>
      <c r="U113" s="897"/>
      <c r="V113" s="897"/>
      <c r="W113" s="897"/>
      <c r="X113" s="897"/>
      <c r="Y113" s="897"/>
      <c r="Z113" s="897"/>
      <c r="AA113" s="897"/>
      <c r="AB113" s="897"/>
      <c r="AC113" s="897"/>
      <c r="AD113" s="897"/>
      <c r="AE113" s="897"/>
      <c r="AF113" s="897"/>
      <c r="AG113" s="897"/>
      <c r="AH113" s="897"/>
      <c r="AI113" s="897"/>
      <c r="AJ113" s="897"/>
      <c r="AK113" s="897"/>
      <c r="AL113" s="897"/>
      <c r="AM113" s="897"/>
      <c r="AN113" s="897"/>
      <c r="AO113" s="897"/>
      <c r="AP113" s="897"/>
      <c r="AQ113" s="897"/>
      <c r="AR113" s="897"/>
      <c r="AS113" s="897"/>
      <c r="AT113" s="897"/>
      <c r="AU113" s="897"/>
      <c r="AV113" s="897"/>
      <c r="AW113" s="897"/>
      <c r="AX113" s="897"/>
      <c r="AY113" s="897"/>
      <c r="AZ113" s="897"/>
      <c r="BA113" s="897"/>
      <c r="BB113" s="897"/>
      <c r="BC113" s="897"/>
      <c r="BD113" s="897"/>
      <c r="BE113" s="898"/>
      <c r="BF113" s="695"/>
    </row>
    <row r="114" spans="1:58" x14ac:dyDescent="0.45">
      <c r="A114" s="695"/>
      <c r="B114" s="888"/>
      <c r="C114" s="889"/>
      <c r="D114" s="889"/>
      <c r="E114" s="892"/>
      <c r="F114" s="889"/>
      <c r="G114" s="889"/>
      <c r="H114" s="889"/>
      <c r="I114" s="889"/>
      <c r="J114" s="889"/>
      <c r="K114" s="889"/>
      <c r="L114" s="889"/>
      <c r="M114" s="889"/>
      <c r="N114" s="889"/>
      <c r="O114" s="889"/>
      <c r="P114" s="889"/>
      <c r="Q114" s="889"/>
      <c r="R114" s="889"/>
      <c r="S114" s="889"/>
      <c r="T114" s="889"/>
      <c r="U114" s="889"/>
      <c r="V114" s="889"/>
      <c r="W114" s="889"/>
      <c r="X114" s="889"/>
      <c r="Y114" s="889"/>
      <c r="Z114" s="889"/>
      <c r="AA114" s="889"/>
      <c r="AB114" s="889"/>
      <c r="AC114" s="889"/>
      <c r="AD114" s="889"/>
      <c r="AE114" s="889"/>
      <c r="AF114" s="889"/>
      <c r="AG114" s="889"/>
      <c r="AH114" s="889"/>
      <c r="AI114" s="889"/>
      <c r="AJ114" s="889"/>
      <c r="AK114" s="889"/>
      <c r="AL114" s="889"/>
      <c r="AM114" s="889"/>
      <c r="AN114" s="889"/>
      <c r="AO114" s="889"/>
      <c r="AP114" s="889"/>
      <c r="AQ114" s="889"/>
      <c r="AR114" s="889"/>
      <c r="AS114" s="889"/>
      <c r="AT114" s="889"/>
      <c r="AU114" s="889"/>
      <c r="AV114" s="889"/>
      <c r="AW114" s="889"/>
      <c r="AX114" s="889"/>
      <c r="AY114" s="889"/>
      <c r="AZ114" s="889"/>
      <c r="BA114" s="889"/>
      <c r="BB114" s="889"/>
      <c r="BC114" s="889"/>
      <c r="BD114" s="889"/>
      <c r="BE114" s="890"/>
      <c r="BF114" s="695"/>
    </row>
    <row r="115" spans="1:58" x14ac:dyDescent="0.45">
      <c r="A115" s="695"/>
      <c r="B115" s="888" t="s">
        <v>123</v>
      </c>
      <c r="C115" s="889"/>
      <c r="D115" s="889"/>
      <c r="E115" s="892"/>
      <c r="F115" s="892" t="s">
        <v>748</v>
      </c>
      <c r="G115" s="889"/>
      <c r="H115" s="1556">
        <f>IF('II. Inputs, Baseline Energy Mix'!$P$19=0,0,H109*'II. Inputs, Baseline Energy Mix'!$P$118*(1+'II. Inputs, Baseline Energy Mix'!$P$119)^('IV. LCOE, Baseline Energy Mix'!H$13-1))</f>
        <v>0</v>
      </c>
      <c r="I115" s="1556">
        <f>IF('II. Inputs, Baseline Energy Mix'!$P$19=0,0,I109*'II. Inputs, Baseline Energy Mix'!$P$118*(1+'II. Inputs, Baseline Energy Mix'!$P$119)^('IV. LCOE, Baseline Energy Mix'!I$13-1))</f>
        <v>0</v>
      </c>
      <c r="J115" s="1556">
        <f>IF('II. Inputs, Baseline Energy Mix'!$P$19=0,0,J109*'II. Inputs, Baseline Energy Mix'!$P$118*(1+'II. Inputs, Baseline Energy Mix'!$P$119)^('IV. LCOE, Baseline Energy Mix'!J$13-1))</f>
        <v>0</v>
      </c>
      <c r="K115" s="1556">
        <f>IF('II. Inputs, Baseline Energy Mix'!$P$19=0,0,K109*'II. Inputs, Baseline Energy Mix'!$P$118*(1+'II. Inputs, Baseline Energy Mix'!$P$119)^('IV. LCOE, Baseline Energy Mix'!K$13-1))</f>
        <v>0</v>
      </c>
      <c r="L115" s="1556">
        <f>IF('II. Inputs, Baseline Energy Mix'!$P$19=0,0,L109*'II. Inputs, Baseline Energy Mix'!$P$118*(1+'II. Inputs, Baseline Energy Mix'!$P$119)^('IV. LCOE, Baseline Energy Mix'!L$13-1))</f>
        <v>0</v>
      </c>
      <c r="M115" s="1556">
        <f>IF('II. Inputs, Baseline Energy Mix'!$P$19=0,0,M109*'II. Inputs, Baseline Energy Mix'!$P$118*(1+'II. Inputs, Baseline Energy Mix'!$P$119)^('IV. LCOE, Baseline Energy Mix'!M$13-1))</f>
        <v>0</v>
      </c>
      <c r="N115" s="1556">
        <f>IF('II. Inputs, Baseline Energy Mix'!$P$19=0,0,N109*'II. Inputs, Baseline Energy Mix'!$P$118*(1+'II. Inputs, Baseline Energy Mix'!$P$119)^('IV. LCOE, Baseline Energy Mix'!N$13-1))</f>
        <v>0</v>
      </c>
      <c r="O115" s="1556">
        <f>IF('II. Inputs, Baseline Energy Mix'!$P$19=0,0,O109*'II. Inputs, Baseline Energy Mix'!$P$118*(1+'II. Inputs, Baseline Energy Mix'!$P$119)^('IV. LCOE, Baseline Energy Mix'!O$13-1))</f>
        <v>0</v>
      </c>
      <c r="P115" s="1556">
        <f>IF('II. Inputs, Baseline Energy Mix'!$P$19=0,0,P109*'II. Inputs, Baseline Energy Mix'!$P$118*(1+'II. Inputs, Baseline Energy Mix'!$P$119)^('IV. LCOE, Baseline Energy Mix'!P$13-1))</f>
        <v>0</v>
      </c>
      <c r="Q115" s="1556">
        <f>IF('II. Inputs, Baseline Energy Mix'!$P$19=0,0,Q109*'II. Inputs, Baseline Energy Mix'!$P$118*(1+'II. Inputs, Baseline Energy Mix'!$P$119)^('IV. LCOE, Baseline Energy Mix'!Q$13-1))</f>
        <v>0</v>
      </c>
      <c r="R115" s="1556">
        <f>IF('II. Inputs, Baseline Energy Mix'!$P$19=0,0,R109*'II. Inputs, Baseline Energy Mix'!$P$118*(1+'II. Inputs, Baseline Energy Mix'!$P$119)^('IV. LCOE, Baseline Energy Mix'!R$13-1))</f>
        <v>0</v>
      </c>
      <c r="S115" s="1556">
        <f>IF('II. Inputs, Baseline Energy Mix'!$P$19=0,0,S109*'II. Inputs, Baseline Energy Mix'!$P$118*(1+'II. Inputs, Baseline Energy Mix'!$P$119)^('IV. LCOE, Baseline Energy Mix'!S$13-1))</f>
        <v>0</v>
      </c>
      <c r="T115" s="1556">
        <f>IF('II. Inputs, Baseline Energy Mix'!$P$19=0,0,T109*'II. Inputs, Baseline Energy Mix'!$P$118*(1+'II. Inputs, Baseline Energy Mix'!$P$119)^('IV. LCOE, Baseline Energy Mix'!T$13-1))</f>
        <v>0</v>
      </c>
      <c r="U115" s="1556">
        <f>IF('II. Inputs, Baseline Energy Mix'!$P$19=0,0,U109*'II. Inputs, Baseline Energy Mix'!$P$118*(1+'II. Inputs, Baseline Energy Mix'!$P$119)^('IV. LCOE, Baseline Energy Mix'!U$13-1))</f>
        <v>0</v>
      </c>
      <c r="V115" s="1556">
        <f>IF('II. Inputs, Baseline Energy Mix'!$P$19=0,0,V109*'II. Inputs, Baseline Energy Mix'!$P$118*(1+'II. Inputs, Baseline Energy Mix'!$P$119)^('IV. LCOE, Baseline Energy Mix'!V$13-1))</f>
        <v>0</v>
      </c>
      <c r="W115" s="1556">
        <f>IF('II. Inputs, Baseline Energy Mix'!$P$19=0,0,W109*'II. Inputs, Baseline Energy Mix'!$P$118*(1+'II. Inputs, Baseline Energy Mix'!$P$119)^('IV. LCOE, Baseline Energy Mix'!W$13-1))</f>
        <v>0</v>
      </c>
      <c r="X115" s="1556">
        <f>IF('II. Inputs, Baseline Energy Mix'!$P$19=0,0,X109*'II. Inputs, Baseline Energy Mix'!$P$118*(1+'II. Inputs, Baseline Energy Mix'!$P$119)^('IV. LCOE, Baseline Energy Mix'!X$13-1))</f>
        <v>0</v>
      </c>
      <c r="Y115" s="1556">
        <f>IF('II. Inputs, Baseline Energy Mix'!$P$19=0,0,Y109*'II. Inputs, Baseline Energy Mix'!$P$118*(1+'II. Inputs, Baseline Energy Mix'!$P$119)^('IV. LCOE, Baseline Energy Mix'!Y$13-1))</f>
        <v>0</v>
      </c>
      <c r="Z115" s="1556">
        <f>IF('II. Inputs, Baseline Energy Mix'!$P$19=0,0,Z109*'II. Inputs, Baseline Energy Mix'!$P$118*(1+'II. Inputs, Baseline Energy Mix'!$P$119)^('IV. LCOE, Baseline Energy Mix'!Z$13-1))</f>
        <v>0</v>
      </c>
      <c r="AA115" s="1556">
        <f>IF('II. Inputs, Baseline Energy Mix'!$P$19=0,0,AA109*'II. Inputs, Baseline Energy Mix'!$P$118*(1+'II. Inputs, Baseline Energy Mix'!$P$119)^('IV. LCOE, Baseline Energy Mix'!AA$13-1))</f>
        <v>0</v>
      </c>
      <c r="AB115" s="1556">
        <f>IF('II. Inputs, Baseline Energy Mix'!$P$19=0,0,AB109*'II. Inputs, Baseline Energy Mix'!$P$118*(1+'II. Inputs, Baseline Energy Mix'!$P$119)^('IV. LCOE, Baseline Energy Mix'!AB$13-1))</f>
        <v>0</v>
      </c>
      <c r="AC115" s="1556">
        <f>IF('II. Inputs, Baseline Energy Mix'!$P$19=0,0,AC109*'II. Inputs, Baseline Energy Mix'!$P$118*(1+'II. Inputs, Baseline Energy Mix'!$P$119)^('IV. LCOE, Baseline Energy Mix'!AC$13-1))</f>
        <v>0</v>
      </c>
      <c r="AD115" s="1556">
        <f>IF('II. Inputs, Baseline Energy Mix'!$P$19=0,0,AD109*'II. Inputs, Baseline Energy Mix'!$P$118*(1+'II. Inputs, Baseline Energy Mix'!$P$119)^('IV. LCOE, Baseline Energy Mix'!AD$13-1))</f>
        <v>0</v>
      </c>
      <c r="AE115" s="1556">
        <f>IF('II. Inputs, Baseline Energy Mix'!$P$19=0,0,AE109*'II. Inputs, Baseline Energy Mix'!$P$118*(1+'II. Inputs, Baseline Energy Mix'!$P$119)^('IV. LCOE, Baseline Energy Mix'!AE$13-1))</f>
        <v>0</v>
      </c>
      <c r="AF115" s="1556">
        <f>IF('II. Inputs, Baseline Energy Mix'!$P$19=0,0,AF109*'II. Inputs, Baseline Energy Mix'!$P$118*(1+'II. Inputs, Baseline Energy Mix'!$P$119)^('IV. LCOE, Baseline Energy Mix'!AF$13-1))</f>
        <v>0</v>
      </c>
      <c r="AG115" s="1556">
        <f>IF('II. Inputs, Baseline Energy Mix'!$P$19=0,0,AG109*'II. Inputs, Baseline Energy Mix'!$P$118*(1+'II. Inputs, Baseline Energy Mix'!$P$119)^('IV. LCOE, Baseline Energy Mix'!AG$13-1))</f>
        <v>0</v>
      </c>
      <c r="AH115" s="1556">
        <f>IF('II. Inputs, Baseline Energy Mix'!$P$19=0,0,AH109*'II. Inputs, Baseline Energy Mix'!$P$118*(1+'II. Inputs, Baseline Energy Mix'!$P$119)^('IV. LCOE, Baseline Energy Mix'!AH$13-1))</f>
        <v>0</v>
      </c>
      <c r="AI115" s="1556">
        <f>IF('II. Inputs, Baseline Energy Mix'!$P$19=0,0,AI109*'II. Inputs, Baseline Energy Mix'!$P$118*(1+'II. Inputs, Baseline Energy Mix'!$P$119)^('IV. LCOE, Baseline Energy Mix'!AI$13-1))</f>
        <v>0</v>
      </c>
      <c r="AJ115" s="1556">
        <f>IF('II. Inputs, Baseline Energy Mix'!$P$19=0,0,AJ109*'II. Inputs, Baseline Energy Mix'!$P$118*(1+'II. Inputs, Baseline Energy Mix'!$P$119)^('IV. LCOE, Baseline Energy Mix'!AJ$13-1))</f>
        <v>0</v>
      </c>
      <c r="AK115" s="1556">
        <f>IF('II. Inputs, Baseline Energy Mix'!$P$19=0,0,AK109*'II. Inputs, Baseline Energy Mix'!$P$118*(1+'II. Inputs, Baseline Energy Mix'!$P$119)^('IV. LCOE, Baseline Energy Mix'!AK$13-1))</f>
        <v>0</v>
      </c>
      <c r="AL115" s="1556">
        <f>IF('II. Inputs, Baseline Energy Mix'!$P$19=0,0,AL109*'II. Inputs, Baseline Energy Mix'!$P$118*(1+'II. Inputs, Baseline Energy Mix'!$P$119)^('IV. LCOE, Baseline Energy Mix'!AL$13-1))</f>
        <v>0</v>
      </c>
      <c r="AM115" s="1556">
        <f>IF('II. Inputs, Baseline Energy Mix'!$P$19=0,0,AM109*'II. Inputs, Baseline Energy Mix'!$P$118*(1+'II. Inputs, Baseline Energy Mix'!$P$119)^('IV. LCOE, Baseline Energy Mix'!AM$13-1))</f>
        <v>0</v>
      </c>
      <c r="AN115" s="1556">
        <f>IF('II. Inputs, Baseline Energy Mix'!$P$19=0,0,AN109*'II. Inputs, Baseline Energy Mix'!$P$118*(1+'II. Inputs, Baseline Energy Mix'!$P$119)^('IV. LCOE, Baseline Energy Mix'!AN$13-1))</f>
        <v>0</v>
      </c>
      <c r="AO115" s="1556">
        <f>IF('II. Inputs, Baseline Energy Mix'!$P$19=0,0,AO109*'II. Inputs, Baseline Energy Mix'!$P$118*(1+'II. Inputs, Baseline Energy Mix'!$P$119)^('IV. LCOE, Baseline Energy Mix'!AO$13-1))</f>
        <v>0</v>
      </c>
      <c r="AP115" s="1556">
        <f>IF('II. Inputs, Baseline Energy Mix'!$P$19=0,0,AP109*'II. Inputs, Baseline Energy Mix'!$P$118*(1+'II. Inputs, Baseline Energy Mix'!$P$119)^('IV. LCOE, Baseline Energy Mix'!AP$13-1))</f>
        <v>0</v>
      </c>
      <c r="AQ115" s="1556">
        <f>IF('II. Inputs, Baseline Energy Mix'!$P$19=0,0,AQ109*'II. Inputs, Baseline Energy Mix'!$P$118*(1+'II. Inputs, Baseline Energy Mix'!$P$119)^('IV. LCOE, Baseline Energy Mix'!AQ$13-1))</f>
        <v>0</v>
      </c>
      <c r="AR115" s="1556">
        <f>IF('II. Inputs, Baseline Energy Mix'!$P$19=0,0,AR109*'II. Inputs, Baseline Energy Mix'!$P$118*(1+'II. Inputs, Baseline Energy Mix'!$P$119)^('IV. LCOE, Baseline Energy Mix'!AR$13-1))</f>
        <v>0</v>
      </c>
      <c r="AS115" s="1556">
        <f>IF('II. Inputs, Baseline Energy Mix'!$P$19=0,0,AS109*'II. Inputs, Baseline Energy Mix'!$P$118*(1+'II. Inputs, Baseline Energy Mix'!$P$119)^('IV. LCOE, Baseline Energy Mix'!AS$13-1))</f>
        <v>0</v>
      </c>
      <c r="AT115" s="1556">
        <f>IF('II. Inputs, Baseline Energy Mix'!$P$19=0,0,AT109*'II. Inputs, Baseline Energy Mix'!$P$118*(1+'II. Inputs, Baseline Energy Mix'!$P$119)^('IV. LCOE, Baseline Energy Mix'!AT$13-1))</f>
        <v>0</v>
      </c>
      <c r="AU115" s="1556">
        <f>IF('II. Inputs, Baseline Energy Mix'!$P$19=0,0,AU109*'II. Inputs, Baseline Energy Mix'!$P$118*(1+'II. Inputs, Baseline Energy Mix'!$P$119)^('IV. LCOE, Baseline Energy Mix'!AU$13-1))</f>
        <v>0</v>
      </c>
      <c r="AV115" s="1556">
        <f>IF('II. Inputs, Baseline Energy Mix'!$P$19=0,0,AV109*'II. Inputs, Baseline Energy Mix'!$P$118*(1+'II. Inputs, Baseline Energy Mix'!$P$119)^('IV. LCOE, Baseline Energy Mix'!AV$13-1))</f>
        <v>0</v>
      </c>
      <c r="AW115" s="1556">
        <f>IF('II. Inputs, Baseline Energy Mix'!$P$19=0,0,AW109*'II. Inputs, Baseline Energy Mix'!$P$118*(1+'II. Inputs, Baseline Energy Mix'!$P$119)^('IV. LCOE, Baseline Energy Mix'!AW$13-1))</f>
        <v>0</v>
      </c>
      <c r="AX115" s="1556">
        <f>IF('II. Inputs, Baseline Energy Mix'!$P$19=0,0,AX109*'II. Inputs, Baseline Energy Mix'!$P$118*(1+'II. Inputs, Baseline Energy Mix'!$P$119)^('IV. LCOE, Baseline Energy Mix'!AX$13-1))</f>
        <v>0</v>
      </c>
      <c r="AY115" s="1556">
        <f>IF('II. Inputs, Baseline Energy Mix'!$P$19=0,0,AY109*'II. Inputs, Baseline Energy Mix'!$P$118*(1+'II. Inputs, Baseline Energy Mix'!$P$119)^('IV. LCOE, Baseline Energy Mix'!AY$13-1))</f>
        <v>0</v>
      </c>
      <c r="AZ115" s="1556">
        <f>IF('II. Inputs, Baseline Energy Mix'!$P$19=0,0,AZ109*'II. Inputs, Baseline Energy Mix'!$P$118*(1+'II. Inputs, Baseline Energy Mix'!$P$119)^('IV. LCOE, Baseline Energy Mix'!AZ$13-1))</f>
        <v>0</v>
      </c>
      <c r="BA115" s="1556">
        <f>IF('II. Inputs, Baseline Energy Mix'!$P$19=0,0,BA109*'II. Inputs, Baseline Energy Mix'!$P$118*(1+'II. Inputs, Baseline Energy Mix'!$P$119)^('IV. LCOE, Baseline Energy Mix'!BA$13-1))</f>
        <v>0</v>
      </c>
      <c r="BB115" s="1556">
        <f>IF('II. Inputs, Baseline Energy Mix'!$P$19=0,0,BB109*'II. Inputs, Baseline Energy Mix'!$P$118*(1+'II. Inputs, Baseline Energy Mix'!$P$119)^('IV. LCOE, Baseline Energy Mix'!BB$13-1))</f>
        <v>0</v>
      </c>
      <c r="BC115" s="1556">
        <f>IF('II. Inputs, Baseline Energy Mix'!$P$19=0,0,BC109*'II. Inputs, Baseline Energy Mix'!$P$118*(1+'II. Inputs, Baseline Energy Mix'!$P$119)^('IV. LCOE, Baseline Energy Mix'!BC$13-1))</f>
        <v>0</v>
      </c>
      <c r="BD115" s="1556">
        <f>IF('II. Inputs, Baseline Energy Mix'!$P$19=0,0,BD109*'II. Inputs, Baseline Energy Mix'!$P$118*(1+'II. Inputs, Baseline Energy Mix'!$P$119)^('IV. LCOE, Baseline Energy Mix'!BD$13-1))</f>
        <v>0</v>
      </c>
      <c r="BE115" s="1557">
        <f>IF('II. Inputs, Baseline Energy Mix'!$P$19=0,0,BE109*'II. Inputs, Baseline Energy Mix'!$P$118*(1+'II. Inputs, Baseline Energy Mix'!$P$119)^('IV. LCOE, Baseline Energy Mix'!BE$13-1))</f>
        <v>0</v>
      </c>
      <c r="BF115" s="695"/>
    </row>
    <row r="116" spans="1:58" x14ac:dyDescent="0.45">
      <c r="A116" s="695"/>
      <c r="B116" s="888"/>
      <c r="C116" s="889"/>
      <c r="D116" s="889"/>
      <c r="E116" s="892"/>
      <c r="F116" s="892"/>
      <c r="G116" s="889"/>
      <c r="H116" s="899"/>
      <c r="I116" s="899"/>
      <c r="J116" s="899"/>
      <c r="K116" s="899"/>
      <c r="L116" s="899"/>
      <c r="M116" s="899"/>
      <c r="N116" s="899"/>
      <c r="O116" s="899"/>
      <c r="P116" s="899"/>
      <c r="Q116" s="899"/>
      <c r="R116" s="899"/>
      <c r="S116" s="899"/>
      <c r="T116" s="899"/>
      <c r="U116" s="899"/>
      <c r="V116" s="899"/>
      <c r="W116" s="899"/>
      <c r="X116" s="899"/>
      <c r="Y116" s="899"/>
      <c r="Z116" s="899"/>
      <c r="AA116" s="899"/>
      <c r="AB116" s="899"/>
      <c r="AC116" s="899"/>
      <c r="AD116" s="899"/>
      <c r="AE116" s="899"/>
      <c r="AF116" s="899"/>
      <c r="AG116" s="899"/>
      <c r="AH116" s="899"/>
      <c r="AI116" s="899"/>
      <c r="AJ116" s="899"/>
      <c r="AK116" s="899"/>
      <c r="AL116" s="899"/>
      <c r="AM116" s="899"/>
      <c r="AN116" s="899"/>
      <c r="AO116" s="899"/>
      <c r="AP116" s="899"/>
      <c r="AQ116" s="899"/>
      <c r="AR116" s="899"/>
      <c r="AS116" s="899"/>
      <c r="AT116" s="899"/>
      <c r="AU116" s="899"/>
      <c r="AV116" s="899"/>
      <c r="AW116" s="899"/>
      <c r="AX116" s="899"/>
      <c r="AY116" s="899"/>
      <c r="AZ116" s="899"/>
      <c r="BA116" s="899"/>
      <c r="BB116" s="899"/>
      <c r="BC116" s="899"/>
      <c r="BD116" s="899"/>
      <c r="BE116" s="900"/>
      <c r="BF116" s="695"/>
    </row>
    <row r="117" spans="1:58" x14ac:dyDescent="0.45">
      <c r="A117" s="695"/>
      <c r="B117" s="888" t="s">
        <v>33</v>
      </c>
      <c r="C117" s="889"/>
      <c r="D117" s="889"/>
      <c r="E117" s="892"/>
      <c r="F117" s="892" t="s">
        <v>749</v>
      </c>
      <c r="G117" s="889"/>
      <c r="H117" s="1778">
        <f>IF('II. Inputs, Baseline Energy Mix'!$P$109="User-defined, annually adjusted",H118,IF('II. Inputs, Baseline Energy Mix'!$P$109="Manual Entry",H120,H119))</f>
        <v>0</v>
      </c>
      <c r="I117" s="1778">
        <f>IF('II. Inputs, Baseline Energy Mix'!$P$109="User-defined, annually adjusted",I118,IF('II. Inputs, Baseline Energy Mix'!$P$109="Manual Entry",I120,I119))</f>
        <v>0</v>
      </c>
      <c r="J117" s="1778">
        <f>IF('II. Inputs, Baseline Energy Mix'!$P$109="User-defined, annually adjusted",J118,IF('II. Inputs, Baseline Energy Mix'!$P$109="Manual Entry",J120,J119))</f>
        <v>0</v>
      </c>
      <c r="K117" s="1778">
        <f>IF('II. Inputs, Baseline Energy Mix'!$P$109="User-defined, annually adjusted",K118,IF('II. Inputs, Baseline Energy Mix'!$P$109="Manual Entry",K120,K119))</f>
        <v>0</v>
      </c>
      <c r="L117" s="1778">
        <f>IF('II. Inputs, Baseline Energy Mix'!$P$109="User-defined, annually adjusted",L118,IF('II. Inputs, Baseline Energy Mix'!$P$109="Manual Entry",L120,L119))</f>
        <v>0</v>
      </c>
      <c r="M117" s="1778">
        <f>IF('II. Inputs, Baseline Energy Mix'!$P$109="User-defined, annually adjusted",M118,IF('II. Inputs, Baseline Energy Mix'!$P$109="Manual Entry",M120,M119))</f>
        <v>0</v>
      </c>
      <c r="N117" s="1778">
        <f>IF('II. Inputs, Baseline Energy Mix'!$P$109="User-defined, annually adjusted",N118,IF('II. Inputs, Baseline Energy Mix'!$P$109="Manual Entry",N120,N119))</f>
        <v>0</v>
      </c>
      <c r="O117" s="1778">
        <f>IF('II. Inputs, Baseline Energy Mix'!$P$109="User-defined, annually adjusted",O118,IF('II. Inputs, Baseline Energy Mix'!$P$109="Manual Entry",O120,O119))</f>
        <v>0</v>
      </c>
      <c r="P117" s="1778">
        <f>IF('II. Inputs, Baseline Energy Mix'!$P$109="User-defined, annually adjusted",P118,IF('II. Inputs, Baseline Energy Mix'!$P$109="Manual Entry",P120,P119))</f>
        <v>0</v>
      </c>
      <c r="Q117" s="1778">
        <f>IF('II. Inputs, Baseline Energy Mix'!$P$109="User-defined, annually adjusted",Q118,IF('II. Inputs, Baseline Energy Mix'!$P$109="Manual Entry",Q120,Q119))</f>
        <v>0</v>
      </c>
      <c r="R117" s="1778">
        <f>IF('II. Inputs, Baseline Energy Mix'!$P$109="User-defined, annually adjusted",R118,IF('II. Inputs, Baseline Energy Mix'!$P$109="Manual Entry",R120,R119))</f>
        <v>0</v>
      </c>
      <c r="S117" s="1778">
        <f>IF('II. Inputs, Baseline Energy Mix'!$P$109="User-defined, annually adjusted",S118,IF('II. Inputs, Baseline Energy Mix'!$P$109="Manual Entry",S120,S119))</f>
        <v>0</v>
      </c>
      <c r="T117" s="1778">
        <f>IF('II. Inputs, Baseline Energy Mix'!$P$109="User-defined, annually adjusted",T118,IF('II. Inputs, Baseline Energy Mix'!$P$109="Manual Entry",T120,T119))</f>
        <v>0</v>
      </c>
      <c r="U117" s="1778">
        <f>IF('II. Inputs, Baseline Energy Mix'!$P$109="User-defined, annually adjusted",U118,IF('II. Inputs, Baseline Energy Mix'!$P$109="Manual Entry",U120,U119))</f>
        <v>0</v>
      </c>
      <c r="V117" s="1778">
        <f>IF('II. Inputs, Baseline Energy Mix'!$P$109="User-defined, annually adjusted",V118,IF('II. Inputs, Baseline Energy Mix'!$P$109="Manual Entry",V120,V119))</f>
        <v>0</v>
      </c>
      <c r="W117" s="1778">
        <f>IF('II. Inputs, Baseline Energy Mix'!$P$109="User-defined, annually adjusted",W118,IF('II. Inputs, Baseline Energy Mix'!$P$109="Manual Entry",W120,W119))</f>
        <v>0</v>
      </c>
      <c r="X117" s="1778">
        <f>IF('II. Inputs, Baseline Energy Mix'!$P$109="User-defined, annually adjusted",X118,IF('II. Inputs, Baseline Energy Mix'!$P$109="Manual Entry",X120,X119))</f>
        <v>0</v>
      </c>
      <c r="Y117" s="1778">
        <f>IF('II. Inputs, Baseline Energy Mix'!$P$109="User-defined, annually adjusted",Y118,IF('II. Inputs, Baseline Energy Mix'!$P$109="Manual Entry",Y120,Y119))</f>
        <v>0</v>
      </c>
      <c r="Z117" s="1778">
        <f>IF('II. Inputs, Baseline Energy Mix'!$P$109="User-defined, annually adjusted",Z118,IF('II. Inputs, Baseline Energy Mix'!$P$109="Manual Entry",Z120,Z119))</f>
        <v>0</v>
      </c>
      <c r="AA117" s="1778">
        <f>IF('II. Inputs, Baseline Energy Mix'!$P$109="User-defined, annually adjusted",AA118,IF('II. Inputs, Baseline Energy Mix'!$P$109="Manual Entry",AA120,AA119))</f>
        <v>0</v>
      </c>
      <c r="AB117" s="1778">
        <f>IF('II. Inputs, Baseline Energy Mix'!$P$109="User-defined, annually adjusted",AB118,IF('II. Inputs, Baseline Energy Mix'!$P$109="Manual Entry",AB120,AB119))</f>
        <v>0</v>
      </c>
      <c r="AC117" s="1778">
        <f>IF('II. Inputs, Baseline Energy Mix'!$P$109="User-defined, annually adjusted",AC118,IF('II. Inputs, Baseline Energy Mix'!$P$109="Manual Entry",AC120,AC119))</f>
        <v>0</v>
      </c>
      <c r="AD117" s="1778">
        <f>IF('II. Inputs, Baseline Energy Mix'!$P$109="User-defined, annually adjusted",AD118,IF('II. Inputs, Baseline Energy Mix'!$P$109="Manual Entry",AD120,AD119))</f>
        <v>0</v>
      </c>
      <c r="AE117" s="1778">
        <f>IF('II. Inputs, Baseline Energy Mix'!$P$109="User-defined, annually adjusted",AE118,IF('II. Inputs, Baseline Energy Mix'!$P$109="Manual Entry",AE120,AE119))</f>
        <v>0</v>
      </c>
      <c r="AF117" s="1778">
        <f>IF('II. Inputs, Baseline Energy Mix'!$P$109="User-defined, annually adjusted",AF118,IF('II. Inputs, Baseline Energy Mix'!$P$109="Manual Entry",AF120,AF119))</f>
        <v>0</v>
      </c>
      <c r="AG117" s="1778">
        <f>IF('II. Inputs, Baseline Energy Mix'!$P$109="User-defined, annually adjusted",AG118,IF('II. Inputs, Baseline Energy Mix'!$P$109="Manual Entry",AG120,AG119))</f>
        <v>0</v>
      </c>
      <c r="AH117" s="1778">
        <f>IF('II. Inputs, Baseline Energy Mix'!$P$109="User-defined, annually adjusted",AH118,IF('II. Inputs, Baseline Energy Mix'!$P$109="Manual Entry",AH120,AH119))</f>
        <v>0</v>
      </c>
      <c r="AI117" s="1778">
        <f>IF('II. Inputs, Baseline Energy Mix'!$P$109="User-defined, annually adjusted",AI118,IF('II. Inputs, Baseline Energy Mix'!$P$109="Manual Entry",AI120,AI119))</f>
        <v>0</v>
      </c>
      <c r="AJ117" s="1778">
        <f>IF('II. Inputs, Baseline Energy Mix'!$P$109="User-defined, annually adjusted",AJ118,IF('II. Inputs, Baseline Energy Mix'!$P$109="Manual Entry",AJ120,AJ119))</f>
        <v>0</v>
      </c>
      <c r="AK117" s="1778">
        <f>IF('II. Inputs, Baseline Energy Mix'!$P$109="User-defined, annually adjusted",AK118,IF('II. Inputs, Baseline Energy Mix'!$P$109="Manual Entry",AK120,AK119))</f>
        <v>0</v>
      </c>
      <c r="AL117" s="1778">
        <f>IF('II. Inputs, Baseline Energy Mix'!$P$109="User-defined, annually adjusted",AL118,IF('II. Inputs, Baseline Energy Mix'!$P$109="Manual Entry",AL120,AL119))</f>
        <v>0</v>
      </c>
      <c r="AM117" s="1778">
        <f>IF('II. Inputs, Baseline Energy Mix'!$P$109="User-defined, annually adjusted",AM118,IF('II. Inputs, Baseline Energy Mix'!$P$109="Manual Entry",AM120,AM119))</f>
        <v>0</v>
      </c>
      <c r="AN117" s="1778">
        <f>IF('II. Inputs, Baseline Energy Mix'!$P$109="User-defined, annually adjusted",AN118,IF('II. Inputs, Baseline Energy Mix'!$P$109="Manual Entry",AN120,AN119))</f>
        <v>0</v>
      </c>
      <c r="AO117" s="1778">
        <f>IF('II. Inputs, Baseline Energy Mix'!$P$109="User-defined, annually adjusted",AO118,IF('II. Inputs, Baseline Energy Mix'!$P$109="Manual Entry",AO120,AO119))</f>
        <v>0</v>
      </c>
      <c r="AP117" s="1778">
        <f>IF('II. Inputs, Baseline Energy Mix'!$P$109="User-defined, annually adjusted",AP118,IF('II. Inputs, Baseline Energy Mix'!$P$109="Manual Entry",AP120,AP119))</f>
        <v>0</v>
      </c>
      <c r="AQ117" s="1778">
        <f>IF('II. Inputs, Baseline Energy Mix'!$P$109="User-defined, annually adjusted",AQ118,IF('II. Inputs, Baseline Energy Mix'!$P$109="Manual Entry",AQ120,AQ119))</f>
        <v>0</v>
      </c>
      <c r="AR117" s="1778">
        <f>IF('II. Inputs, Baseline Energy Mix'!$P$109="User-defined, annually adjusted",AR118,IF('II. Inputs, Baseline Energy Mix'!$P$109="Manual Entry",AR120,AR119))</f>
        <v>0</v>
      </c>
      <c r="AS117" s="1778">
        <f>IF('II. Inputs, Baseline Energy Mix'!$P$109="User-defined, annually adjusted",AS118,IF('II. Inputs, Baseline Energy Mix'!$P$109="Manual Entry",AS120,AS119))</f>
        <v>0</v>
      </c>
      <c r="AT117" s="1778">
        <f>IF('II. Inputs, Baseline Energy Mix'!$P$109="User-defined, annually adjusted",AT118,IF('II. Inputs, Baseline Energy Mix'!$P$109="Manual Entry",AT120,AT119))</f>
        <v>0</v>
      </c>
      <c r="AU117" s="1778">
        <f>IF('II. Inputs, Baseline Energy Mix'!$P$109="User-defined, annually adjusted",AU118,IF('II. Inputs, Baseline Energy Mix'!$P$109="Manual Entry",AU120,AU119))</f>
        <v>0</v>
      </c>
      <c r="AV117" s="1778">
        <f>IF('II. Inputs, Baseline Energy Mix'!$P$109="User-defined, annually adjusted",AV118,IF('II. Inputs, Baseline Energy Mix'!$P$109="Manual Entry",AV120,AV119))</f>
        <v>0</v>
      </c>
      <c r="AW117" s="1778">
        <f>IF('II. Inputs, Baseline Energy Mix'!$P$109="User-defined, annually adjusted",AW118,IF('II. Inputs, Baseline Energy Mix'!$P$109="Manual Entry",AW120,AW119))</f>
        <v>0</v>
      </c>
      <c r="AX117" s="1778">
        <f>IF('II. Inputs, Baseline Energy Mix'!$P$109="User-defined, annually adjusted",AX118,IF('II. Inputs, Baseline Energy Mix'!$P$109="Manual Entry",AX120,AX119))</f>
        <v>0</v>
      </c>
      <c r="AY117" s="1778">
        <f>IF('II. Inputs, Baseline Energy Mix'!$P$109="User-defined, annually adjusted",AY118,IF('II. Inputs, Baseline Energy Mix'!$P$109="Manual Entry",AY120,AY119))</f>
        <v>0</v>
      </c>
      <c r="AZ117" s="1778">
        <f>IF('II. Inputs, Baseline Energy Mix'!$P$109="User-defined, annually adjusted",AZ118,IF('II. Inputs, Baseline Energy Mix'!$P$109="Manual Entry",AZ120,AZ119))</f>
        <v>0</v>
      </c>
      <c r="BA117" s="1778">
        <f>IF('II. Inputs, Baseline Energy Mix'!$P$109="User-defined, annually adjusted",BA118,IF('II. Inputs, Baseline Energy Mix'!$P$109="Manual Entry",BA120,BA119))</f>
        <v>0</v>
      </c>
      <c r="BB117" s="1778">
        <f>IF('II. Inputs, Baseline Energy Mix'!$P$109="User-defined, annually adjusted",BB118,IF('II. Inputs, Baseline Energy Mix'!$P$109="Manual Entry",BB120,BB119))</f>
        <v>0</v>
      </c>
      <c r="BC117" s="1778">
        <f>IF('II. Inputs, Baseline Energy Mix'!$P$109="User-defined, annually adjusted",BC118,IF('II. Inputs, Baseline Energy Mix'!$P$109="Manual Entry",BC120,BC119))</f>
        <v>0</v>
      </c>
      <c r="BD117" s="1778">
        <f>IF('II. Inputs, Baseline Energy Mix'!$P$109="User-defined, annually adjusted",BD118,IF('II. Inputs, Baseline Energy Mix'!$P$109="Manual Entry",BD120,BD119))</f>
        <v>0</v>
      </c>
      <c r="BE117" s="1779">
        <f>IF('II. Inputs, Baseline Energy Mix'!$P$109="User-defined, annually adjusted",BE118,IF('II. Inputs, Baseline Energy Mix'!$P$109="Manual Entry",BE120,BE119))</f>
        <v>0</v>
      </c>
      <c r="BF117" s="695"/>
    </row>
    <row r="118" spans="1:58" outlineLevel="1" x14ac:dyDescent="0.45">
      <c r="A118" s="695"/>
      <c r="B118" s="888"/>
      <c r="C118" s="889" t="s">
        <v>620</v>
      </c>
      <c r="D118" s="889"/>
      <c r="E118" s="892"/>
      <c r="F118" s="892"/>
      <c r="G118" s="889"/>
      <c r="H118" s="1778">
        <f xml:space="preserve"> H$109*VLOOKUP(H$13,'II. Inputs, Baseline Energy Mix'!$F$133:$Y$182,5, FALSE)</f>
        <v>0</v>
      </c>
      <c r="I118" s="1778">
        <f xml:space="preserve"> I$109*VLOOKUP(I$13,'II. Inputs, Baseline Energy Mix'!$F$133:$Y$182,5, FALSE)</f>
        <v>0</v>
      </c>
      <c r="J118" s="1778">
        <f xml:space="preserve"> J$109*VLOOKUP(J$13,'II. Inputs, Baseline Energy Mix'!$F$133:$Y$182,5, FALSE)</f>
        <v>0</v>
      </c>
      <c r="K118" s="1778">
        <f xml:space="preserve"> K$109*VLOOKUP(K$13,'II. Inputs, Baseline Energy Mix'!$F$133:$Y$182,5, FALSE)</f>
        <v>0</v>
      </c>
      <c r="L118" s="1778">
        <f xml:space="preserve"> L$109*VLOOKUP(L$13,'II. Inputs, Baseline Energy Mix'!$F$133:$Y$182,5, FALSE)</f>
        <v>0</v>
      </c>
      <c r="M118" s="1778">
        <f xml:space="preserve"> M$109*VLOOKUP(M$13,'II. Inputs, Baseline Energy Mix'!$F$133:$Y$182,5, FALSE)</f>
        <v>0</v>
      </c>
      <c r="N118" s="1778">
        <f xml:space="preserve"> N$109*VLOOKUP(N$13,'II. Inputs, Baseline Energy Mix'!$F$133:$Y$182,5, FALSE)</f>
        <v>0</v>
      </c>
      <c r="O118" s="1778">
        <f xml:space="preserve"> O$109*VLOOKUP(O$13,'II. Inputs, Baseline Energy Mix'!$F$133:$Y$182,5, FALSE)</f>
        <v>0</v>
      </c>
      <c r="P118" s="1778">
        <f xml:space="preserve"> P$109*VLOOKUP(P$13,'II. Inputs, Baseline Energy Mix'!$F$133:$Y$182,5, FALSE)</f>
        <v>0</v>
      </c>
      <c r="Q118" s="1778">
        <f xml:space="preserve"> Q$109*VLOOKUP(Q$13,'II. Inputs, Baseline Energy Mix'!$F$133:$Y$182,5, FALSE)</f>
        <v>0</v>
      </c>
      <c r="R118" s="1778">
        <f xml:space="preserve"> R$109*VLOOKUP(R$13,'II. Inputs, Baseline Energy Mix'!$F$133:$Y$182,5, FALSE)</f>
        <v>0</v>
      </c>
      <c r="S118" s="1778">
        <f xml:space="preserve"> S$109*VLOOKUP(S$13,'II. Inputs, Baseline Energy Mix'!$F$133:$Y$182,5, FALSE)</f>
        <v>0</v>
      </c>
      <c r="T118" s="1778">
        <f xml:space="preserve"> T$109*VLOOKUP(T$13,'II. Inputs, Baseline Energy Mix'!$F$133:$Y$182,5, FALSE)</f>
        <v>0</v>
      </c>
      <c r="U118" s="1778">
        <f xml:space="preserve"> U$109*VLOOKUP(U$13,'II. Inputs, Baseline Energy Mix'!$F$133:$Y$182,5, FALSE)</f>
        <v>0</v>
      </c>
      <c r="V118" s="1778">
        <f xml:space="preserve"> V$109*VLOOKUP(V$13,'II. Inputs, Baseline Energy Mix'!$F$133:$Y$182,5, FALSE)</f>
        <v>0</v>
      </c>
      <c r="W118" s="1778">
        <f xml:space="preserve"> W$109*VLOOKUP(W$13,'II. Inputs, Baseline Energy Mix'!$F$133:$Y$182,5, FALSE)</f>
        <v>0</v>
      </c>
      <c r="X118" s="1778">
        <f xml:space="preserve"> X$109*VLOOKUP(X$13,'II. Inputs, Baseline Energy Mix'!$F$133:$Y$182,5, FALSE)</f>
        <v>0</v>
      </c>
      <c r="Y118" s="1778">
        <f xml:space="preserve"> Y$109*VLOOKUP(Y$13,'II. Inputs, Baseline Energy Mix'!$F$133:$Y$182,5, FALSE)</f>
        <v>0</v>
      </c>
      <c r="Z118" s="1778">
        <f xml:space="preserve"> Z$109*VLOOKUP(Z$13,'II. Inputs, Baseline Energy Mix'!$F$133:$Y$182,5, FALSE)</f>
        <v>0</v>
      </c>
      <c r="AA118" s="1778">
        <f xml:space="preserve"> AA$109*VLOOKUP(AA$13,'II. Inputs, Baseline Energy Mix'!$F$133:$Y$182,5, FALSE)</f>
        <v>0</v>
      </c>
      <c r="AB118" s="1778">
        <f xml:space="preserve"> AB$109*VLOOKUP(AB$13,'II. Inputs, Baseline Energy Mix'!$F$133:$Y$182,5, FALSE)</f>
        <v>0</v>
      </c>
      <c r="AC118" s="1778">
        <f xml:space="preserve"> AC$109*VLOOKUP(AC$13,'II. Inputs, Baseline Energy Mix'!$F$133:$Y$182,5, FALSE)</f>
        <v>0</v>
      </c>
      <c r="AD118" s="1778">
        <f xml:space="preserve"> AD$109*VLOOKUP(AD$13,'II. Inputs, Baseline Energy Mix'!$F$133:$Y$182,5, FALSE)</f>
        <v>0</v>
      </c>
      <c r="AE118" s="1778">
        <f xml:space="preserve"> AE$109*VLOOKUP(AE$13,'II. Inputs, Baseline Energy Mix'!$F$133:$Y$182,5, FALSE)</f>
        <v>0</v>
      </c>
      <c r="AF118" s="1778">
        <f xml:space="preserve"> AF$109*VLOOKUP(AF$13,'II. Inputs, Baseline Energy Mix'!$F$133:$Y$182,5, FALSE)</f>
        <v>0</v>
      </c>
      <c r="AG118" s="1778">
        <f xml:space="preserve"> AG$109*VLOOKUP(AG$13,'II. Inputs, Baseline Energy Mix'!$F$133:$Y$182,5, FALSE)</f>
        <v>0</v>
      </c>
      <c r="AH118" s="1778">
        <f xml:space="preserve"> AH$109*VLOOKUP(AH$13,'II. Inputs, Baseline Energy Mix'!$F$133:$Y$182,5, FALSE)</f>
        <v>0</v>
      </c>
      <c r="AI118" s="1778">
        <f xml:space="preserve"> AI$109*VLOOKUP(AI$13,'II. Inputs, Baseline Energy Mix'!$F$133:$Y$182,5, FALSE)</f>
        <v>0</v>
      </c>
      <c r="AJ118" s="1778">
        <f xml:space="preserve"> AJ$109*VLOOKUP(AJ$13,'II. Inputs, Baseline Energy Mix'!$F$133:$Y$182,5, FALSE)</f>
        <v>0</v>
      </c>
      <c r="AK118" s="1778">
        <f xml:space="preserve"> AK$109*VLOOKUP(AK$13,'II. Inputs, Baseline Energy Mix'!$F$133:$Y$182,5, FALSE)</f>
        <v>0</v>
      </c>
      <c r="AL118" s="1778">
        <f xml:space="preserve"> AL$109*VLOOKUP(AL$13,'II. Inputs, Baseline Energy Mix'!$F$133:$Y$182,5, FALSE)</f>
        <v>0</v>
      </c>
      <c r="AM118" s="1778">
        <f xml:space="preserve"> AM$109*VLOOKUP(AM$13,'II. Inputs, Baseline Energy Mix'!$F$133:$Y$182,5, FALSE)</f>
        <v>0</v>
      </c>
      <c r="AN118" s="1778">
        <f xml:space="preserve"> AN$109*VLOOKUP(AN$13,'II. Inputs, Baseline Energy Mix'!$F$133:$Y$182,5, FALSE)</f>
        <v>0</v>
      </c>
      <c r="AO118" s="1778">
        <f xml:space="preserve"> AO$109*VLOOKUP(AO$13,'II. Inputs, Baseline Energy Mix'!$F$133:$Y$182,5, FALSE)</f>
        <v>0</v>
      </c>
      <c r="AP118" s="1778">
        <f xml:space="preserve"> AP$109*VLOOKUP(AP$13,'II. Inputs, Baseline Energy Mix'!$F$133:$Y$182,5, FALSE)</f>
        <v>0</v>
      </c>
      <c r="AQ118" s="1778">
        <f xml:space="preserve"> AQ$109*VLOOKUP(AQ$13,'II. Inputs, Baseline Energy Mix'!$F$133:$Y$182,5, FALSE)</f>
        <v>0</v>
      </c>
      <c r="AR118" s="1778">
        <f xml:space="preserve"> AR$109*VLOOKUP(AR$13,'II. Inputs, Baseline Energy Mix'!$F$133:$Y$182,5, FALSE)</f>
        <v>0</v>
      </c>
      <c r="AS118" s="1778">
        <f xml:space="preserve"> AS$109*VLOOKUP(AS$13,'II. Inputs, Baseline Energy Mix'!$F$133:$Y$182,5, FALSE)</f>
        <v>0</v>
      </c>
      <c r="AT118" s="1778">
        <f xml:space="preserve"> AT$109*VLOOKUP(AT$13,'II. Inputs, Baseline Energy Mix'!$F$133:$Y$182,5, FALSE)</f>
        <v>0</v>
      </c>
      <c r="AU118" s="1778">
        <f xml:space="preserve"> AU$109*VLOOKUP(AU$13,'II. Inputs, Baseline Energy Mix'!$F$133:$Y$182,5, FALSE)</f>
        <v>0</v>
      </c>
      <c r="AV118" s="1778">
        <f xml:space="preserve"> AV$109*VLOOKUP(AV$13,'II. Inputs, Baseline Energy Mix'!$F$133:$Y$182,5, FALSE)</f>
        <v>0</v>
      </c>
      <c r="AW118" s="1778">
        <f xml:space="preserve"> AW$109*VLOOKUP(AW$13,'II. Inputs, Baseline Energy Mix'!$F$133:$Y$182,5, FALSE)</f>
        <v>0</v>
      </c>
      <c r="AX118" s="1778">
        <f xml:space="preserve"> AX$109*VLOOKUP(AX$13,'II. Inputs, Baseline Energy Mix'!$F$133:$Y$182,5, FALSE)</f>
        <v>0</v>
      </c>
      <c r="AY118" s="1778">
        <f xml:space="preserve"> AY$109*VLOOKUP(AY$13,'II. Inputs, Baseline Energy Mix'!$F$133:$Y$182,5, FALSE)</f>
        <v>0</v>
      </c>
      <c r="AZ118" s="1778">
        <f xml:space="preserve"> AZ$109*VLOOKUP(AZ$13,'II. Inputs, Baseline Energy Mix'!$F$133:$Y$182,5, FALSE)</f>
        <v>0</v>
      </c>
      <c r="BA118" s="1778">
        <f xml:space="preserve"> BA$109*VLOOKUP(BA$13,'II. Inputs, Baseline Energy Mix'!$F$133:$Y$182,5, FALSE)</f>
        <v>0</v>
      </c>
      <c r="BB118" s="1778">
        <f xml:space="preserve"> BB$109*VLOOKUP(BB$13,'II. Inputs, Baseline Energy Mix'!$F$133:$Y$182,5, FALSE)</f>
        <v>0</v>
      </c>
      <c r="BC118" s="1778">
        <f xml:space="preserve"> BC$109*VLOOKUP(BC$13,'II. Inputs, Baseline Energy Mix'!$F$133:$Y$182,5, FALSE)</f>
        <v>0</v>
      </c>
      <c r="BD118" s="1778">
        <f xml:space="preserve"> BD$109*VLOOKUP(BD$13,'II. Inputs, Baseline Energy Mix'!$F$133:$Y$182,5, FALSE)</f>
        <v>0</v>
      </c>
      <c r="BE118" s="1779">
        <f xml:space="preserve"> BE$109*VLOOKUP(BE$13,'II. Inputs, Baseline Energy Mix'!$F$133:$Y$182,5, FALSE)</f>
        <v>0</v>
      </c>
      <c r="BF118" s="695"/>
    </row>
    <row r="119" spans="1:58" outlineLevel="1" x14ac:dyDescent="0.45">
      <c r="A119" s="695"/>
      <c r="B119" s="888"/>
      <c r="C119" s="889" t="s">
        <v>621</v>
      </c>
      <c r="D119" s="889"/>
      <c r="E119" s="892"/>
      <c r="F119" s="892"/>
      <c r="G119" s="889"/>
      <c r="H119" s="1778">
        <f xml:space="preserve"> H$109*VLOOKUP(H$13,'II. Inputs, Baseline Energy Mix'!$F$133:$Y$182,11, FALSE)</f>
        <v>0</v>
      </c>
      <c r="I119" s="1778">
        <f xml:space="preserve"> I$109*VLOOKUP(I$13,'II. Inputs, Baseline Energy Mix'!$F$133:$Y$182,11, FALSE)</f>
        <v>0</v>
      </c>
      <c r="J119" s="1778">
        <f xml:space="preserve"> J$109*VLOOKUP(J$13,'II. Inputs, Baseline Energy Mix'!$F$133:$Y$182,11, FALSE)</f>
        <v>0</v>
      </c>
      <c r="K119" s="1778">
        <f xml:space="preserve"> K$109*VLOOKUP(K$13,'II. Inputs, Baseline Energy Mix'!$F$133:$Y$182,11, FALSE)</f>
        <v>0</v>
      </c>
      <c r="L119" s="1778">
        <f xml:space="preserve"> L$109*VLOOKUP(L$13,'II. Inputs, Baseline Energy Mix'!$F$133:$Y$182,11, FALSE)</f>
        <v>0</v>
      </c>
      <c r="M119" s="1778">
        <f xml:space="preserve"> M$109*VLOOKUP(M$13,'II. Inputs, Baseline Energy Mix'!$F$133:$Y$182,11, FALSE)</f>
        <v>0</v>
      </c>
      <c r="N119" s="1778">
        <f xml:space="preserve"> N$109*VLOOKUP(N$13,'II. Inputs, Baseline Energy Mix'!$F$133:$Y$182,11, FALSE)</f>
        <v>0</v>
      </c>
      <c r="O119" s="1778">
        <f xml:space="preserve"> O$109*VLOOKUP(O$13,'II. Inputs, Baseline Energy Mix'!$F$133:$Y$182,11, FALSE)</f>
        <v>0</v>
      </c>
      <c r="P119" s="1778">
        <f xml:space="preserve"> P$109*VLOOKUP(P$13,'II. Inputs, Baseline Energy Mix'!$F$133:$Y$182,11, FALSE)</f>
        <v>0</v>
      </c>
      <c r="Q119" s="1778">
        <f xml:space="preserve"> Q$109*VLOOKUP(Q$13,'II. Inputs, Baseline Energy Mix'!$F$133:$Y$182,11, FALSE)</f>
        <v>0</v>
      </c>
      <c r="R119" s="1778">
        <f xml:space="preserve"> R$109*VLOOKUP(R$13,'II. Inputs, Baseline Energy Mix'!$F$133:$Y$182,11, FALSE)</f>
        <v>0</v>
      </c>
      <c r="S119" s="1778">
        <f xml:space="preserve"> S$109*VLOOKUP(S$13,'II. Inputs, Baseline Energy Mix'!$F$133:$Y$182,11, FALSE)</f>
        <v>0</v>
      </c>
      <c r="T119" s="1778">
        <f xml:space="preserve"> T$109*VLOOKUP(T$13,'II. Inputs, Baseline Energy Mix'!$F$133:$Y$182,11, FALSE)</f>
        <v>0</v>
      </c>
      <c r="U119" s="1778">
        <f xml:space="preserve"> U$109*VLOOKUP(U$13,'II. Inputs, Baseline Energy Mix'!$F$133:$Y$182,11, FALSE)</f>
        <v>0</v>
      </c>
      <c r="V119" s="1778">
        <f xml:space="preserve"> V$109*VLOOKUP(V$13,'II. Inputs, Baseline Energy Mix'!$F$133:$Y$182,11, FALSE)</f>
        <v>0</v>
      </c>
      <c r="W119" s="1778">
        <f xml:space="preserve"> W$109*VLOOKUP(W$13,'II. Inputs, Baseline Energy Mix'!$F$133:$Y$182,11, FALSE)</f>
        <v>0</v>
      </c>
      <c r="X119" s="1778">
        <f xml:space="preserve"> X$109*VLOOKUP(X$13,'II. Inputs, Baseline Energy Mix'!$F$133:$Y$182,11, FALSE)</f>
        <v>0</v>
      </c>
      <c r="Y119" s="1778">
        <f xml:space="preserve"> Y$109*VLOOKUP(Y$13,'II. Inputs, Baseline Energy Mix'!$F$133:$Y$182,11, FALSE)</f>
        <v>0</v>
      </c>
      <c r="Z119" s="1778">
        <f xml:space="preserve"> Z$109*VLOOKUP(Z$13,'II. Inputs, Baseline Energy Mix'!$F$133:$Y$182,11, FALSE)</f>
        <v>0</v>
      </c>
      <c r="AA119" s="1778">
        <f xml:space="preserve"> AA$109*VLOOKUP(AA$13,'II. Inputs, Baseline Energy Mix'!$F$133:$Y$182,11, FALSE)</f>
        <v>0</v>
      </c>
      <c r="AB119" s="1778">
        <f xml:space="preserve"> AB$109*VLOOKUP(AB$13,'II. Inputs, Baseline Energy Mix'!$F$133:$Y$182,11, FALSE)</f>
        <v>0</v>
      </c>
      <c r="AC119" s="1778">
        <f xml:space="preserve"> AC$109*VLOOKUP(AC$13,'II. Inputs, Baseline Energy Mix'!$F$133:$Y$182,11, FALSE)</f>
        <v>0</v>
      </c>
      <c r="AD119" s="1778">
        <f xml:space="preserve"> AD$109*VLOOKUP(AD$13,'II. Inputs, Baseline Energy Mix'!$F$133:$Y$182,11, FALSE)</f>
        <v>0</v>
      </c>
      <c r="AE119" s="1778">
        <f xml:space="preserve"> AE$109*VLOOKUP(AE$13,'II. Inputs, Baseline Energy Mix'!$F$133:$Y$182,11, FALSE)</f>
        <v>0</v>
      </c>
      <c r="AF119" s="1778">
        <f xml:space="preserve"> AF$109*VLOOKUP(AF$13,'II. Inputs, Baseline Energy Mix'!$F$133:$Y$182,11, FALSE)</f>
        <v>0</v>
      </c>
      <c r="AG119" s="1778">
        <f xml:space="preserve"> AG$109*VLOOKUP(AG$13,'II. Inputs, Baseline Energy Mix'!$F$133:$Y$182,11, FALSE)</f>
        <v>0</v>
      </c>
      <c r="AH119" s="1778">
        <f xml:space="preserve"> AH$109*VLOOKUP(AH$13,'II. Inputs, Baseline Energy Mix'!$F$133:$Y$182,11, FALSE)</f>
        <v>0</v>
      </c>
      <c r="AI119" s="1778">
        <f xml:space="preserve"> AI$109*VLOOKUP(AI$13,'II. Inputs, Baseline Energy Mix'!$F$133:$Y$182,11, FALSE)</f>
        <v>0</v>
      </c>
      <c r="AJ119" s="1778">
        <f xml:space="preserve"> AJ$109*VLOOKUP(AJ$13,'II. Inputs, Baseline Energy Mix'!$F$133:$Y$182,11, FALSE)</f>
        <v>0</v>
      </c>
      <c r="AK119" s="1778">
        <f xml:space="preserve"> AK$109*VLOOKUP(AK$13,'II. Inputs, Baseline Energy Mix'!$F$133:$Y$182,11, FALSE)</f>
        <v>0</v>
      </c>
      <c r="AL119" s="1778">
        <f xml:space="preserve"> AL$109*VLOOKUP(AL$13,'II. Inputs, Baseline Energy Mix'!$F$133:$Y$182,11, FALSE)</f>
        <v>0</v>
      </c>
      <c r="AM119" s="1778">
        <f xml:space="preserve"> AM$109*VLOOKUP(AM$13,'II. Inputs, Baseline Energy Mix'!$F$133:$Y$182,11, FALSE)</f>
        <v>0</v>
      </c>
      <c r="AN119" s="1778">
        <f xml:space="preserve"> AN$109*VLOOKUP(AN$13,'II. Inputs, Baseline Energy Mix'!$F$133:$Y$182,11, FALSE)</f>
        <v>0</v>
      </c>
      <c r="AO119" s="1778">
        <f xml:space="preserve"> AO$109*VLOOKUP(AO$13,'II. Inputs, Baseline Energy Mix'!$F$133:$Y$182,11, FALSE)</f>
        <v>0</v>
      </c>
      <c r="AP119" s="1778">
        <f xml:space="preserve"> AP$109*VLOOKUP(AP$13,'II. Inputs, Baseline Energy Mix'!$F$133:$Y$182,11, FALSE)</f>
        <v>0</v>
      </c>
      <c r="AQ119" s="1778">
        <f xml:space="preserve"> AQ$109*VLOOKUP(AQ$13,'II. Inputs, Baseline Energy Mix'!$F$133:$Y$182,11, FALSE)</f>
        <v>0</v>
      </c>
      <c r="AR119" s="1778">
        <f xml:space="preserve"> AR$109*VLOOKUP(AR$13,'II. Inputs, Baseline Energy Mix'!$F$133:$Y$182,11, FALSE)</f>
        <v>0</v>
      </c>
      <c r="AS119" s="1778">
        <f xml:space="preserve"> AS$109*VLOOKUP(AS$13,'II. Inputs, Baseline Energy Mix'!$F$133:$Y$182,11, FALSE)</f>
        <v>0</v>
      </c>
      <c r="AT119" s="1778">
        <f xml:space="preserve"> AT$109*VLOOKUP(AT$13,'II. Inputs, Baseline Energy Mix'!$F$133:$Y$182,11, FALSE)</f>
        <v>0</v>
      </c>
      <c r="AU119" s="1778">
        <f xml:space="preserve"> AU$109*VLOOKUP(AU$13,'II. Inputs, Baseline Energy Mix'!$F$133:$Y$182,11, FALSE)</f>
        <v>0</v>
      </c>
      <c r="AV119" s="1778">
        <f xml:space="preserve"> AV$109*VLOOKUP(AV$13,'II. Inputs, Baseline Energy Mix'!$F$133:$Y$182,11, FALSE)</f>
        <v>0</v>
      </c>
      <c r="AW119" s="1778">
        <f xml:space="preserve"> AW$109*VLOOKUP(AW$13,'II. Inputs, Baseline Energy Mix'!$F$133:$Y$182,11, FALSE)</f>
        <v>0</v>
      </c>
      <c r="AX119" s="1778">
        <f xml:space="preserve"> AX$109*VLOOKUP(AX$13,'II. Inputs, Baseline Energy Mix'!$F$133:$Y$182,11, FALSE)</f>
        <v>0</v>
      </c>
      <c r="AY119" s="1778">
        <f xml:space="preserve"> AY$109*VLOOKUP(AY$13,'II. Inputs, Baseline Energy Mix'!$F$133:$Y$182,11, FALSE)</f>
        <v>0</v>
      </c>
      <c r="AZ119" s="1778">
        <f xml:space="preserve"> AZ$109*VLOOKUP(AZ$13,'II. Inputs, Baseline Energy Mix'!$F$133:$Y$182,11, FALSE)</f>
        <v>0</v>
      </c>
      <c r="BA119" s="1778">
        <f xml:space="preserve"> BA$109*VLOOKUP(BA$13,'II. Inputs, Baseline Energy Mix'!$F$133:$Y$182,11, FALSE)</f>
        <v>0</v>
      </c>
      <c r="BB119" s="1778">
        <f xml:space="preserve"> BB$109*VLOOKUP(BB$13,'II. Inputs, Baseline Energy Mix'!$F$133:$Y$182,11, FALSE)</f>
        <v>0</v>
      </c>
      <c r="BC119" s="1778">
        <f xml:space="preserve"> BC$109*VLOOKUP(BC$13,'II. Inputs, Baseline Energy Mix'!$F$133:$Y$182,11, FALSE)</f>
        <v>0</v>
      </c>
      <c r="BD119" s="1778">
        <f xml:space="preserve"> BD$109*VLOOKUP(BD$13,'II. Inputs, Baseline Energy Mix'!$F$133:$Y$182,11, FALSE)</f>
        <v>0</v>
      </c>
      <c r="BE119" s="1779">
        <f xml:space="preserve"> BE$109*VLOOKUP(BE$13,'II. Inputs, Baseline Energy Mix'!$F$133:$Y$182,11, FALSE)</f>
        <v>0</v>
      </c>
      <c r="BF119" s="695"/>
    </row>
    <row r="120" spans="1:58" outlineLevel="1" x14ac:dyDescent="0.45">
      <c r="A120" s="695"/>
      <c r="B120" s="888"/>
      <c r="C120" s="889" t="s">
        <v>622</v>
      </c>
      <c r="D120" s="889"/>
      <c r="E120" s="892"/>
      <c r="F120" s="892"/>
      <c r="G120" s="889"/>
      <c r="H120" s="1778">
        <f xml:space="preserve"> H$109*VLOOKUP(H$13,'II. Inputs, Baseline Energy Mix'!$F$133:$Y$182,17, FALSE)</f>
        <v>0</v>
      </c>
      <c r="I120" s="1778">
        <f xml:space="preserve"> I$109*VLOOKUP(I$13,'II. Inputs, Baseline Energy Mix'!$F$133:$Y$182,17, FALSE)</f>
        <v>0</v>
      </c>
      <c r="J120" s="1778">
        <f xml:space="preserve"> J$109*VLOOKUP(J$13,'II. Inputs, Baseline Energy Mix'!$F$133:$Y$182,17, FALSE)</f>
        <v>0</v>
      </c>
      <c r="K120" s="1778">
        <f xml:space="preserve"> K$109*VLOOKUP(K$13,'II. Inputs, Baseline Energy Mix'!$F$133:$Y$182,17, FALSE)</f>
        <v>0</v>
      </c>
      <c r="L120" s="1778">
        <f xml:space="preserve"> L$109*VLOOKUP(L$13,'II. Inputs, Baseline Energy Mix'!$F$133:$Y$182,17, FALSE)</f>
        <v>0</v>
      </c>
      <c r="M120" s="1778">
        <f xml:space="preserve"> M$109*VLOOKUP(M$13,'II. Inputs, Baseline Energy Mix'!$F$133:$Y$182,17, FALSE)</f>
        <v>0</v>
      </c>
      <c r="N120" s="1778">
        <f xml:space="preserve"> N$109*VLOOKUP(N$13,'II. Inputs, Baseline Energy Mix'!$F$133:$Y$182,17, FALSE)</f>
        <v>0</v>
      </c>
      <c r="O120" s="1778">
        <f xml:space="preserve"> O$109*VLOOKUP(O$13,'II. Inputs, Baseline Energy Mix'!$F$133:$Y$182,17, FALSE)</f>
        <v>0</v>
      </c>
      <c r="P120" s="1778">
        <f xml:space="preserve"> P$109*VLOOKUP(P$13,'II. Inputs, Baseline Energy Mix'!$F$133:$Y$182,17, FALSE)</f>
        <v>0</v>
      </c>
      <c r="Q120" s="1778">
        <f xml:space="preserve"> Q$109*VLOOKUP(Q$13,'II. Inputs, Baseline Energy Mix'!$F$133:$Y$182,17, FALSE)</f>
        <v>0</v>
      </c>
      <c r="R120" s="1778">
        <f xml:space="preserve"> R$109*VLOOKUP(R$13,'II. Inputs, Baseline Energy Mix'!$F$133:$Y$182,17, FALSE)</f>
        <v>0</v>
      </c>
      <c r="S120" s="1778">
        <f xml:space="preserve"> S$109*VLOOKUP(S$13,'II. Inputs, Baseline Energy Mix'!$F$133:$Y$182,17, FALSE)</f>
        <v>0</v>
      </c>
      <c r="T120" s="1778">
        <f xml:space="preserve"> T$109*VLOOKUP(T$13,'II. Inputs, Baseline Energy Mix'!$F$133:$Y$182,17, FALSE)</f>
        <v>0</v>
      </c>
      <c r="U120" s="1778">
        <f xml:space="preserve"> U$109*VLOOKUP(U$13,'II. Inputs, Baseline Energy Mix'!$F$133:$Y$182,17, FALSE)</f>
        <v>0</v>
      </c>
      <c r="V120" s="1778">
        <f xml:space="preserve"> V$109*VLOOKUP(V$13,'II. Inputs, Baseline Energy Mix'!$F$133:$Y$182,17, FALSE)</f>
        <v>0</v>
      </c>
      <c r="W120" s="1778">
        <f xml:space="preserve"> W$109*VLOOKUP(W$13,'II. Inputs, Baseline Energy Mix'!$F$133:$Y$182,17, FALSE)</f>
        <v>0</v>
      </c>
      <c r="X120" s="1778">
        <f xml:space="preserve"> X$109*VLOOKUP(X$13,'II. Inputs, Baseline Energy Mix'!$F$133:$Y$182,17, FALSE)</f>
        <v>0</v>
      </c>
      <c r="Y120" s="1778">
        <f xml:space="preserve"> Y$109*VLOOKUP(Y$13,'II. Inputs, Baseline Energy Mix'!$F$133:$Y$182,17, FALSE)</f>
        <v>0</v>
      </c>
      <c r="Z120" s="1778">
        <f xml:space="preserve"> Z$109*VLOOKUP(Z$13,'II. Inputs, Baseline Energy Mix'!$F$133:$Y$182,17, FALSE)</f>
        <v>0</v>
      </c>
      <c r="AA120" s="1778">
        <f xml:space="preserve"> AA$109*VLOOKUP(AA$13,'II. Inputs, Baseline Energy Mix'!$F$133:$Y$182,17, FALSE)</f>
        <v>0</v>
      </c>
      <c r="AB120" s="1778">
        <f xml:space="preserve"> AB$109*VLOOKUP(AB$13,'II. Inputs, Baseline Energy Mix'!$F$133:$Y$182,17, FALSE)</f>
        <v>0</v>
      </c>
      <c r="AC120" s="1778">
        <f xml:space="preserve"> AC$109*VLOOKUP(AC$13,'II. Inputs, Baseline Energy Mix'!$F$133:$Y$182,17, FALSE)</f>
        <v>0</v>
      </c>
      <c r="AD120" s="1778">
        <f xml:space="preserve"> AD$109*VLOOKUP(AD$13,'II. Inputs, Baseline Energy Mix'!$F$133:$Y$182,17, FALSE)</f>
        <v>0</v>
      </c>
      <c r="AE120" s="1778">
        <f xml:space="preserve"> AE$109*VLOOKUP(AE$13,'II. Inputs, Baseline Energy Mix'!$F$133:$Y$182,17, FALSE)</f>
        <v>0</v>
      </c>
      <c r="AF120" s="1778">
        <f xml:space="preserve"> AF$109*VLOOKUP(AF$13,'II. Inputs, Baseline Energy Mix'!$F$133:$Y$182,17, FALSE)</f>
        <v>0</v>
      </c>
      <c r="AG120" s="1778">
        <f xml:space="preserve"> AG$109*VLOOKUP(AG$13,'II. Inputs, Baseline Energy Mix'!$F$133:$Y$182,17, FALSE)</f>
        <v>0</v>
      </c>
      <c r="AH120" s="1778">
        <f xml:space="preserve"> AH$109*VLOOKUP(AH$13,'II. Inputs, Baseline Energy Mix'!$F$133:$Y$182,17, FALSE)</f>
        <v>0</v>
      </c>
      <c r="AI120" s="1778">
        <f xml:space="preserve"> AI$109*VLOOKUP(AI$13,'II. Inputs, Baseline Energy Mix'!$F$133:$Y$182,17, FALSE)</f>
        <v>0</v>
      </c>
      <c r="AJ120" s="1778">
        <f xml:space="preserve"> AJ$109*VLOOKUP(AJ$13,'II. Inputs, Baseline Energy Mix'!$F$133:$Y$182,17, FALSE)</f>
        <v>0</v>
      </c>
      <c r="AK120" s="1778">
        <f xml:space="preserve"> AK$109*VLOOKUP(AK$13,'II. Inputs, Baseline Energy Mix'!$F$133:$Y$182,17, FALSE)</f>
        <v>0</v>
      </c>
      <c r="AL120" s="1778">
        <f xml:space="preserve"> AL$109*VLOOKUP(AL$13,'II. Inputs, Baseline Energy Mix'!$F$133:$Y$182,17, FALSE)</f>
        <v>0</v>
      </c>
      <c r="AM120" s="1778">
        <f xml:space="preserve"> AM$109*VLOOKUP(AM$13,'II. Inputs, Baseline Energy Mix'!$F$133:$Y$182,17, FALSE)</f>
        <v>0</v>
      </c>
      <c r="AN120" s="1778">
        <f xml:space="preserve"> AN$109*VLOOKUP(AN$13,'II. Inputs, Baseline Energy Mix'!$F$133:$Y$182,17, FALSE)</f>
        <v>0</v>
      </c>
      <c r="AO120" s="1778">
        <f xml:space="preserve"> AO$109*VLOOKUP(AO$13,'II. Inputs, Baseline Energy Mix'!$F$133:$Y$182,17, FALSE)</f>
        <v>0</v>
      </c>
      <c r="AP120" s="1778">
        <f xml:space="preserve"> AP$109*VLOOKUP(AP$13,'II. Inputs, Baseline Energy Mix'!$F$133:$Y$182,17, FALSE)</f>
        <v>0</v>
      </c>
      <c r="AQ120" s="1778">
        <f xml:space="preserve"> AQ$109*VLOOKUP(AQ$13,'II. Inputs, Baseline Energy Mix'!$F$133:$Y$182,17, FALSE)</f>
        <v>0</v>
      </c>
      <c r="AR120" s="1778">
        <f xml:space="preserve"> AR$109*VLOOKUP(AR$13,'II. Inputs, Baseline Energy Mix'!$F$133:$Y$182,17, FALSE)</f>
        <v>0</v>
      </c>
      <c r="AS120" s="1778">
        <f xml:space="preserve"> AS$109*VLOOKUP(AS$13,'II. Inputs, Baseline Energy Mix'!$F$133:$Y$182,17, FALSE)</f>
        <v>0</v>
      </c>
      <c r="AT120" s="1778">
        <f xml:space="preserve"> AT$109*VLOOKUP(AT$13,'II. Inputs, Baseline Energy Mix'!$F$133:$Y$182,17, FALSE)</f>
        <v>0</v>
      </c>
      <c r="AU120" s="1778">
        <f xml:space="preserve"> AU$109*VLOOKUP(AU$13,'II. Inputs, Baseline Energy Mix'!$F$133:$Y$182,17, FALSE)</f>
        <v>0</v>
      </c>
      <c r="AV120" s="1778">
        <f xml:space="preserve"> AV$109*VLOOKUP(AV$13,'II. Inputs, Baseline Energy Mix'!$F$133:$Y$182,17, FALSE)</f>
        <v>0</v>
      </c>
      <c r="AW120" s="1778">
        <f xml:space="preserve"> AW$109*VLOOKUP(AW$13,'II. Inputs, Baseline Energy Mix'!$F$133:$Y$182,17, FALSE)</f>
        <v>0</v>
      </c>
      <c r="AX120" s="1778">
        <f xml:space="preserve"> AX$109*VLOOKUP(AX$13,'II. Inputs, Baseline Energy Mix'!$F$133:$Y$182,17, FALSE)</f>
        <v>0</v>
      </c>
      <c r="AY120" s="1778">
        <f xml:space="preserve"> AY$109*VLOOKUP(AY$13,'II. Inputs, Baseline Energy Mix'!$F$133:$Y$182,17, FALSE)</f>
        <v>0</v>
      </c>
      <c r="AZ120" s="1778">
        <f xml:space="preserve"> AZ$109*VLOOKUP(AZ$13,'II. Inputs, Baseline Energy Mix'!$F$133:$Y$182,17, FALSE)</f>
        <v>0</v>
      </c>
      <c r="BA120" s="1778">
        <f xml:space="preserve"> BA$109*VLOOKUP(BA$13,'II. Inputs, Baseline Energy Mix'!$F$133:$Y$182,17, FALSE)</f>
        <v>0</v>
      </c>
      <c r="BB120" s="1778">
        <f xml:space="preserve"> BB$109*VLOOKUP(BB$13,'II. Inputs, Baseline Energy Mix'!$F$133:$Y$182,17, FALSE)</f>
        <v>0</v>
      </c>
      <c r="BC120" s="1778">
        <f xml:space="preserve"> BC$109*VLOOKUP(BC$13,'II. Inputs, Baseline Energy Mix'!$F$133:$Y$182,17, FALSE)</f>
        <v>0</v>
      </c>
      <c r="BD120" s="1778">
        <f xml:space="preserve"> BD$109*VLOOKUP(BD$13,'II. Inputs, Baseline Energy Mix'!$F$133:$Y$182,17, FALSE)</f>
        <v>0</v>
      </c>
      <c r="BE120" s="1779">
        <f xml:space="preserve"> BE$109*VLOOKUP(BE$13,'II. Inputs, Baseline Energy Mix'!$F$133:$Y$182,17, FALSE)</f>
        <v>0</v>
      </c>
      <c r="BF120" s="695"/>
    </row>
    <row r="121" spans="1:58" outlineLevel="1" x14ac:dyDescent="0.45">
      <c r="A121" s="695"/>
      <c r="B121" s="888"/>
      <c r="C121" s="889"/>
      <c r="D121" s="889"/>
      <c r="E121" s="892"/>
      <c r="F121" s="892"/>
      <c r="G121" s="889"/>
      <c r="H121" s="899"/>
      <c r="I121" s="899"/>
      <c r="J121" s="899"/>
      <c r="K121" s="899"/>
      <c r="L121" s="899"/>
      <c r="M121" s="899"/>
      <c r="N121" s="899"/>
      <c r="O121" s="899"/>
      <c r="P121" s="899"/>
      <c r="Q121" s="899"/>
      <c r="R121" s="899"/>
      <c r="S121" s="899"/>
      <c r="T121" s="899"/>
      <c r="U121" s="899"/>
      <c r="V121" s="899"/>
      <c r="W121" s="899"/>
      <c r="X121" s="899"/>
      <c r="Y121" s="899"/>
      <c r="Z121" s="899"/>
      <c r="AA121" s="899"/>
      <c r="AB121" s="899"/>
      <c r="AC121" s="899"/>
      <c r="AD121" s="899"/>
      <c r="AE121" s="899"/>
      <c r="AF121" s="899"/>
      <c r="AG121" s="899"/>
      <c r="AH121" s="899"/>
      <c r="AI121" s="899"/>
      <c r="AJ121" s="899"/>
      <c r="AK121" s="899"/>
      <c r="AL121" s="899"/>
      <c r="AM121" s="899"/>
      <c r="AN121" s="899"/>
      <c r="AO121" s="899"/>
      <c r="AP121" s="899"/>
      <c r="AQ121" s="899"/>
      <c r="AR121" s="899"/>
      <c r="AS121" s="899"/>
      <c r="AT121" s="899"/>
      <c r="AU121" s="899"/>
      <c r="AV121" s="899"/>
      <c r="AW121" s="899"/>
      <c r="AX121" s="899"/>
      <c r="AY121" s="899"/>
      <c r="AZ121" s="899"/>
      <c r="BA121" s="899"/>
      <c r="BB121" s="899"/>
      <c r="BC121" s="899"/>
      <c r="BD121" s="899"/>
      <c r="BE121" s="900"/>
      <c r="BF121" s="695"/>
    </row>
    <row r="122" spans="1:58" x14ac:dyDescent="0.45">
      <c r="A122" s="695"/>
      <c r="B122" s="888" t="s">
        <v>124</v>
      </c>
      <c r="C122" s="889"/>
      <c r="D122" s="889"/>
      <c r="E122" s="892"/>
      <c r="F122" s="892" t="s">
        <v>748</v>
      </c>
      <c r="G122" s="889"/>
      <c r="H122" s="1556">
        <f>H117*H111*H109/'II. Inputs, Baseline Energy Mix'!$P$104</f>
        <v>0</v>
      </c>
      <c r="I122" s="1556">
        <f>I117*I111*I109/'II. Inputs, Baseline Energy Mix'!$P$104</f>
        <v>0</v>
      </c>
      <c r="J122" s="1556">
        <f>J117*J111*J109/'II. Inputs, Baseline Energy Mix'!$P$104</f>
        <v>0</v>
      </c>
      <c r="K122" s="1556">
        <f>K117*K111*K109/'II. Inputs, Baseline Energy Mix'!$P$104</f>
        <v>0</v>
      </c>
      <c r="L122" s="1556">
        <f>L117*L111*L109/'II. Inputs, Baseline Energy Mix'!$P$104</f>
        <v>0</v>
      </c>
      <c r="M122" s="1556">
        <f>M117*M111*M109/'II. Inputs, Baseline Energy Mix'!$P$104</f>
        <v>0</v>
      </c>
      <c r="N122" s="1556">
        <f>N117*N111*N109/'II. Inputs, Baseline Energy Mix'!$P$104</f>
        <v>0</v>
      </c>
      <c r="O122" s="1556">
        <f>O117*O111*O109/'II. Inputs, Baseline Energy Mix'!$P$104</f>
        <v>0</v>
      </c>
      <c r="P122" s="1556">
        <f>P117*P111*P109/'II. Inputs, Baseline Energy Mix'!$P$104</f>
        <v>0</v>
      </c>
      <c r="Q122" s="1556">
        <f>Q117*Q111*Q109/'II. Inputs, Baseline Energy Mix'!$P$104</f>
        <v>0</v>
      </c>
      <c r="R122" s="1556">
        <f>R117*R111*R109/'II. Inputs, Baseline Energy Mix'!$P$104</f>
        <v>0</v>
      </c>
      <c r="S122" s="1556">
        <f>S117*S111*S109/'II. Inputs, Baseline Energy Mix'!$P$104</f>
        <v>0</v>
      </c>
      <c r="T122" s="1556">
        <f>T117*T111*T109/'II. Inputs, Baseline Energy Mix'!$P$104</f>
        <v>0</v>
      </c>
      <c r="U122" s="1556">
        <f>U117*U111*U109/'II. Inputs, Baseline Energy Mix'!$P$104</f>
        <v>0</v>
      </c>
      <c r="V122" s="1556">
        <f>V117*V111*V109/'II. Inputs, Baseline Energy Mix'!$P$104</f>
        <v>0</v>
      </c>
      <c r="W122" s="1556">
        <f>W117*W111*W109/'II. Inputs, Baseline Energy Mix'!$P$104</f>
        <v>0</v>
      </c>
      <c r="X122" s="1556">
        <f>X117*X111*X109/'II. Inputs, Baseline Energy Mix'!$P$104</f>
        <v>0</v>
      </c>
      <c r="Y122" s="1556">
        <f>Y117*Y111*Y109/'II. Inputs, Baseline Energy Mix'!$P$104</f>
        <v>0</v>
      </c>
      <c r="Z122" s="1556">
        <f>Z117*Z111*Z109/'II. Inputs, Baseline Energy Mix'!$P$104</f>
        <v>0</v>
      </c>
      <c r="AA122" s="1556">
        <f>AA117*AA111*AA109/'II. Inputs, Baseline Energy Mix'!$P$104</f>
        <v>0</v>
      </c>
      <c r="AB122" s="1556">
        <f>AB117*AB111*AB109/'II. Inputs, Baseline Energy Mix'!$P$104</f>
        <v>0</v>
      </c>
      <c r="AC122" s="1556">
        <f>AC117*AC111*AC109/'II. Inputs, Baseline Energy Mix'!$P$104</f>
        <v>0</v>
      </c>
      <c r="AD122" s="1556">
        <f>AD117*AD111*AD109/'II. Inputs, Baseline Energy Mix'!$P$104</f>
        <v>0</v>
      </c>
      <c r="AE122" s="1556">
        <f>AE117*AE111*AE109/'II. Inputs, Baseline Energy Mix'!$P$104</f>
        <v>0</v>
      </c>
      <c r="AF122" s="1556">
        <f>AF117*AF111*AF109/'II. Inputs, Baseline Energy Mix'!$P$104</f>
        <v>0</v>
      </c>
      <c r="AG122" s="1556">
        <f>AG117*AG111*AG109/'II. Inputs, Baseline Energy Mix'!$P$104</f>
        <v>0</v>
      </c>
      <c r="AH122" s="1556">
        <f>AH117*AH111*AH109/'II. Inputs, Baseline Energy Mix'!$P$104</f>
        <v>0</v>
      </c>
      <c r="AI122" s="1556">
        <f>AI117*AI111*AI109/'II. Inputs, Baseline Energy Mix'!$P$104</f>
        <v>0</v>
      </c>
      <c r="AJ122" s="1556">
        <f>AJ117*AJ111*AJ109/'II. Inputs, Baseline Energy Mix'!$P$104</f>
        <v>0</v>
      </c>
      <c r="AK122" s="1556">
        <f>AK117*AK111*AK109/'II. Inputs, Baseline Energy Mix'!$P$104</f>
        <v>0</v>
      </c>
      <c r="AL122" s="1556">
        <f>AL117*AL111*AL109/'II. Inputs, Baseline Energy Mix'!$P$104</f>
        <v>0</v>
      </c>
      <c r="AM122" s="1556">
        <f>AM117*AM111*AM109/'II. Inputs, Baseline Energy Mix'!$P$104</f>
        <v>0</v>
      </c>
      <c r="AN122" s="1556">
        <f>AN117*AN111*AN109/'II. Inputs, Baseline Energy Mix'!$P$104</f>
        <v>0</v>
      </c>
      <c r="AO122" s="1556">
        <f>AO117*AO111*AO109/'II. Inputs, Baseline Energy Mix'!$P$104</f>
        <v>0</v>
      </c>
      <c r="AP122" s="1556">
        <f>AP117*AP111*AP109/'II. Inputs, Baseline Energy Mix'!$P$104</f>
        <v>0</v>
      </c>
      <c r="AQ122" s="1556">
        <f>AQ117*AQ111*AQ109/'II. Inputs, Baseline Energy Mix'!$P$104</f>
        <v>0</v>
      </c>
      <c r="AR122" s="1556">
        <f>AR117*AR111*AR109/'II. Inputs, Baseline Energy Mix'!$P$104</f>
        <v>0</v>
      </c>
      <c r="AS122" s="1556">
        <f>AS117*AS111*AS109/'II. Inputs, Baseline Energy Mix'!$P$104</f>
        <v>0</v>
      </c>
      <c r="AT122" s="1556">
        <f>AT117*AT111*AT109/'II. Inputs, Baseline Energy Mix'!$P$104</f>
        <v>0</v>
      </c>
      <c r="AU122" s="1556">
        <f>AU117*AU111*AU109/'II. Inputs, Baseline Energy Mix'!$P$104</f>
        <v>0</v>
      </c>
      <c r="AV122" s="1556">
        <f>AV117*AV111*AV109/'II. Inputs, Baseline Energy Mix'!$P$104</f>
        <v>0</v>
      </c>
      <c r="AW122" s="1556">
        <f>AW117*AW111*AW109/'II. Inputs, Baseline Energy Mix'!$P$104</f>
        <v>0</v>
      </c>
      <c r="AX122" s="1556">
        <f>AX117*AX111*AX109/'II. Inputs, Baseline Energy Mix'!$P$104</f>
        <v>0</v>
      </c>
      <c r="AY122" s="1556">
        <f>AY117*AY111*AY109/'II. Inputs, Baseline Energy Mix'!$P$104</f>
        <v>0</v>
      </c>
      <c r="AZ122" s="1556">
        <f>AZ117*AZ111*AZ109/'II. Inputs, Baseline Energy Mix'!$P$104</f>
        <v>0</v>
      </c>
      <c r="BA122" s="1556">
        <f>BA117*BA111*BA109/'II. Inputs, Baseline Energy Mix'!$P$104</f>
        <v>0</v>
      </c>
      <c r="BB122" s="1556">
        <f>BB117*BB111*BB109/'II. Inputs, Baseline Energy Mix'!$P$104</f>
        <v>0</v>
      </c>
      <c r="BC122" s="1556">
        <f>BC117*BC111*BC109/'II. Inputs, Baseline Energy Mix'!$P$104</f>
        <v>0</v>
      </c>
      <c r="BD122" s="1556">
        <f>BD117*BD111*BD109/'II. Inputs, Baseline Energy Mix'!$P$104</f>
        <v>0</v>
      </c>
      <c r="BE122" s="1557">
        <f>BE117*BE111*BE109/'II. Inputs, Baseline Energy Mix'!$P$104</f>
        <v>0</v>
      </c>
      <c r="BF122" s="695"/>
    </row>
    <row r="123" spans="1:58" x14ac:dyDescent="0.45">
      <c r="A123" s="695"/>
      <c r="B123" s="888"/>
      <c r="C123" s="889"/>
      <c r="D123" s="889"/>
      <c r="E123" s="892"/>
      <c r="F123" s="892"/>
      <c r="G123" s="889"/>
      <c r="H123" s="899"/>
      <c r="I123" s="901"/>
      <c r="J123" s="901"/>
      <c r="K123" s="901"/>
      <c r="L123" s="901"/>
      <c r="M123" s="901"/>
      <c r="N123" s="901"/>
      <c r="O123" s="901"/>
      <c r="P123" s="901"/>
      <c r="Q123" s="901"/>
      <c r="R123" s="901"/>
      <c r="S123" s="901"/>
      <c r="T123" s="901"/>
      <c r="U123" s="901"/>
      <c r="V123" s="901"/>
      <c r="W123" s="901"/>
      <c r="X123" s="901"/>
      <c r="Y123" s="901"/>
      <c r="Z123" s="901"/>
      <c r="AA123" s="901"/>
      <c r="AB123" s="901"/>
      <c r="AC123" s="901"/>
      <c r="AD123" s="901"/>
      <c r="AE123" s="901"/>
      <c r="AF123" s="901"/>
      <c r="AG123" s="901"/>
      <c r="AH123" s="901"/>
      <c r="AI123" s="901"/>
      <c r="AJ123" s="901"/>
      <c r="AK123" s="901"/>
      <c r="AL123" s="901"/>
      <c r="AM123" s="901"/>
      <c r="AN123" s="901"/>
      <c r="AO123" s="901"/>
      <c r="AP123" s="901"/>
      <c r="AQ123" s="901"/>
      <c r="AR123" s="901"/>
      <c r="AS123" s="901"/>
      <c r="AT123" s="901"/>
      <c r="AU123" s="901"/>
      <c r="AV123" s="901"/>
      <c r="AW123" s="901"/>
      <c r="AX123" s="901"/>
      <c r="AY123" s="901"/>
      <c r="AZ123" s="901"/>
      <c r="BA123" s="901"/>
      <c r="BB123" s="901"/>
      <c r="BC123" s="901"/>
      <c r="BD123" s="901"/>
      <c r="BE123" s="902"/>
      <c r="BF123" s="695"/>
    </row>
    <row r="124" spans="1:58" x14ac:dyDescent="0.45">
      <c r="A124" s="695"/>
      <c r="B124" s="888" t="s">
        <v>89</v>
      </c>
      <c r="C124" s="889"/>
      <c r="D124" s="889"/>
      <c r="E124" s="892"/>
      <c r="F124" s="892" t="s">
        <v>748</v>
      </c>
      <c r="G124" s="1558"/>
      <c r="H124" s="1558">
        <f>H797</f>
        <v>0</v>
      </c>
      <c r="I124" s="1558">
        <f t="shared" ref="I124:BE124" si="43">I797</f>
        <v>0</v>
      </c>
      <c r="J124" s="1558">
        <f t="shared" si="43"/>
        <v>0</v>
      </c>
      <c r="K124" s="1558">
        <f t="shared" si="43"/>
        <v>0</v>
      </c>
      <c r="L124" s="1558">
        <f t="shared" si="43"/>
        <v>0</v>
      </c>
      <c r="M124" s="1558">
        <f t="shared" si="43"/>
        <v>0</v>
      </c>
      <c r="N124" s="1558">
        <f t="shared" si="43"/>
        <v>0</v>
      </c>
      <c r="O124" s="1558">
        <f t="shared" si="43"/>
        <v>0</v>
      </c>
      <c r="P124" s="1558">
        <f t="shared" si="43"/>
        <v>0</v>
      </c>
      <c r="Q124" s="1558">
        <f t="shared" si="43"/>
        <v>0</v>
      </c>
      <c r="R124" s="1558">
        <f t="shared" si="43"/>
        <v>0</v>
      </c>
      <c r="S124" s="1558">
        <f t="shared" si="43"/>
        <v>0</v>
      </c>
      <c r="T124" s="1558">
        <f t="shared" si="43"/>
        <v>0</v>
      </c>
      <c r="U124" s="1558">
        <f t="shared" si="43"/>
        <v>0</v>
      </c>
      <c r="V124" s="1558">
        <f t="shared" si="43"/>
        <v>0</v>
      </c>
      <c r="W124" s="1558">
        <f t="shared" si="43"/>
        <v>0</v>
      </c>
      <c r="X124" s="1558">
        <f t="shared" si="43"/>
        <v>0</v>
      </c>
      <c r="Y124" s="1558">
        <f t="shared" si="43"/>
        <v>0</v>
      </c>
      <c r="Z124" s="1558">
        <f t="shared" si="43"/>
        <v>0</v>
      </c>
      <c r="AA124" s="1558">
        <f t="shared" si="43"/>
        <v>0</v>
      </c>
      <c r="AB124" s="1558">
        <f t="shared" si="43"/>
        <v>0</v>
      </c>
      <c r="AC124" s="1558">
        <f t="shared" si="43"/>
        <v>0</v>
      </c>
      <c r="AD124" s="1558">
        <f t="shared" si="43"/>
        <v>0</v>
      </c>
      <c r="AE124" s="1558">
        <f t="shared" si="43"/>
        <v>0</v>
      </c>
      <c r="AF124" s="1558">
        <f t="shared" si="43"/>
        <v>0</v>
      </c>
      <c r="AG124" s="1558">
        <f t="shared" si="43"/>
        <v>0</v>
      </c>
      <c r="AH124" s="1558">
        <f t="shared" si="43"/>
        <v>0</v>
      </c>
      <c r="AI124" s="1558">
        <f t="shared" si="43"/>
        <v>0</v>
      </c>
      <c r="AJ124" s="1558">
        <f t="shared" si="43"/>
        <v>0</v>
      </c>
      <c r="AK124" s="1558">
        <f t="shared" si="43"/>
        <v>0</v>
      </c>
      <c r="AL124" s="1558">
        <f t="shared" si="43"/>
        <v>0</v>
      </c>
      <c r="AM124" s="1558">
        <f t="shared" si="43"/>
        <v>0</v>
      </c>
      <c r="AN124" s="1558">
        <f t="shared" si="43"/>
        <v>0</v>
      </c>
      <c r="AO124" s="1558">
        <f t="shared" si="43"/>
        <v>0</v>
      </c>
      <c r="AP124" s="1558">
        <f t="shared" si="43"/>
        <v>0</v>
      </c>
      <c r="AQ124" s="1558">
        <f t="shared" si="43"/>
        <v>0</v>
      </c>
      <c r="AR124" s="1558">
        <f t="shared" si="43"/>
        <v>0</v>
      </c>
      <c r="AS124" s="1558">
        <f t="shared" si="43"/>
        <v>0</v>
      </c>
      <c r="AT124" s="1558">
        <f t="shared" si="43"/>
        <v>0</v>
      </c>
      <c r="AU124" s="1558">
        <f t="shared" si="43"/>
        <v>0</v>
      </c>
      <c r="AV124" s="1558">
        <f t="shared" si="43"/>
        <v>0</v>
      </c>
      <c r="AW124" s="1558">
        <f t="shared" si="43"/>
        <v>0</v>
      </c>
      <c r="AX124" s="1558">
        <f t="shared" si="43"/>
        <v>0</v>
      </c>
      <c r="AY124" s="1558">
        <f t="shared" si="43"/>
        <v>0</v>
      </c>
      <c r="AZ124" s="1558">
        <f t="shared" si="43"/>
        <v>0</v>
      </c>
      <c r="BA124" s="1558">
        <f t="shared" si="43"/>
        <v>0</v>
      </c>
      <c r="BB124" s="1558">
        <f t="shared" si="43"/>
        <v>0</v>
      </c>
      <c r="BC124" s="1558">
        <f t="shared" si="43"/>
        <v>0</v>
      </c>
      <c r="BD124" s="1558">
        <f t="shared" si="43"/>
        <v>0</v>
      </c>
      <c r="BE124" s="1559">
        <f t="shared" si="43"/>
        <v>0</v>
      </c>
      <c r="BF124" s="695"/>
    </row>
    <row r="125" spans="1:58" x14ac:dyDescent="0.45">
      <c r="A125" s="695"/>
      <c r="B125" s="888"/>
      <c r="C125" s="889"/>
      <c r="D125" s="889"/>
      <c r="E125" s="892"/>
      <c r="F125" s="892"/>
      <c r="G125" s="1558"/>
      <c r="H125" s="1558"/>
      <c r="I125" s="1558"/>
      <c r="J125" s="1558"/>
      <c r="K125" s="1558"/>
      <c r="L125" s="1558"/>
      <c r="M125" s="1558"/>
      <c r="N125" s="1558"/>
      <c r="O125" s="1558"/>
      <c r="P125" s="1558"/>
      <c r="Q125" s="1558"/>
      <c r="R125" s="1558"/>
      <c r="S125" s="1558"/>
      <c r="T125" s="1558"/>
      <c r="U125" s="1558"/>
      <c r="V125" s="1558"/>
      <c r="W125" s="1558"/>
      <c r="X125" s="1558"/>
      <c r="Y125" s="1558"/>
      <c r="Z125" s="1558"/>
      <c r="AA125" s="1558"/>
      <c r="AB125" s="1558"/>
      <c r="AC125" s="1558"/>
      <c r="AD125" s="1558"/>
      <c r="AE125" s="1558"/>
      <c r="AF125" s="1558"/>
      <c r="AG125" s="1558"/>
      <c r="AH125" s="1558"/>
      <c r="AI125" s="1558"/>
      <c r="AJ125" s="1558"/>
      <c r="AK125" s="1558"/>
      <c r="AL125" s="1558"/>
      <c r="AM125" s="1558"/>
      <c r="AN125" s="1558"/>
      <c r="AO125" s="1558"/>
      <c r="AP125" s="1558"/>
      <c r="AQ125" s="1558"/>
      <c r="AR125" s="1558"/>
      <c r="AS125" s="1558"/>
      <c r="AT125" s="1558"/>
      <c r="AU125" s="1558"/>
      <c r="AV125" s="1558"/>
      <c r="AW125" s="1558"/>
      <c r="AX125" s="1558"/>
      <c r="AY125" s="1558"/>
      <c r="AZ125" s="1558"/>
      <c r="BA125" s="1558"/>
      <c r="BB125" s="1558"/>
      <c r="BC125" s="1558"/>
      <c r="BD125" s="1558"/>
      <c r="BE125" s="1559"/>
      <c r="BF125" s="695"/>
    </row>
    <row r="126" spans="1:58" x14ac:dyDescent="0.45">
      <c r="A126" s="695"/>
      <c r="B126" s="888" t="s">
        <v>219</v>
      </c>
      <c r="C126" s="889"/>
      <c r="D126" s="889"/>
      <c r="E126" s="892"/>
      <c r="F126" s="892" t="s">
        <v>748</v>
      </c>
      <c r="G126" s="1558"/>
      <c r="H126" s="1558">
        <f>H456</f>
        <v>0</v>
      </c>
      <c r="I126" s="1558">
        <f>I456</f>
        <v>0</v>
      </c>
      <c r="J126" s="1558">
        <f t="shared" ref="J126:BE126" si="44">J456</f>
        <v>0</v>
      </c>
      <c r="K126" s="1558">
        <f t="shared" si="44"/>
        <v>0</v>
      </c>
      <c r="L126" s="1558">
        <f t="shared" si="44"/>
        <v>0</v>
      </c>
      <c r="M126" s="1558">
        <f t="shared" si="44"/>
        <v>0</v>
      </c>
      <c r="N126" s="1558">
        <f t="shared" si="44"/>
        <v>0</v>
      </c>
      <c r="O126" s="1558">
        <f t="shared" si="44"/>
        <v>0</v>
      </c>
      <c r="P126" s="1558">
        <f t="shared" si="44"/>
        <v>0</v>
      </c>
      <c r="Q126" s="1558">
        <f t="shared" si="44"/>
        <v>0</v>
      </c>
      <c r="R126" s="1558">
        <f t="shared" si="44"/>
        <v>0</v>
      </c>
      <c r="S126" s="1558">
        <f t="shared" si="44"/>
        <v>0</v>
      </c>
      <c r="T126" s="1558">
        <f t="shared" si="44"/>
        <v>0</v>
      </c>
      <c r="U126" s="1558">
        <f t="shared" si="44"/>
        <v>0</v>
      </c>
      <c r="V126" s="1558">
        <f t="shared" si="44"/>
        <v>0</v>
      </c>
      <c r="W126" s="1558">
        <f t="shared" si="44"/>
        <v>0</v>
      </c>
      <c r="X126" s="1558">
        <f t="shared" si="44"/>
        <v>0</v>
      </c>
      <c r="Y126" s="1558">
        <f t="shared" si="44"/>
        <v>0</v>
      </c>
      <c r="Z126" s="1558">
        <f t="shared" si="44"/>
        <v>0</v>
      </c>
      <c r="AA126" s="1558">
        <f t="shared" si="44"/>
        <v>0</v>
      </c>
      <c r="AB126" s="1558">
        <f t="shared" si="44"/>
        <v>0</v>
      </c>
      <c r="AC126" s="1558">
        <f t="shared" si="44"/>
        <v>0</v>
      </c>
      <c r="AD126" s="1558">
        <f t="shared" si="44"/>
        <v>0</v>
      </c>
      <c r="AE126" s="1558">
        <f t="shared" si="44"/>
        <v>0</v>
      </c>
      <c r="AF126" s="1558">
        <f t="shared" si="44"/>
        <v>0</v>
      </c>
      <c r="AG126" s="1558">
        <f t="shared" si="44"/>
        <v>0</v>
      </c>
      <c r="AH126" s="1558">
        <f t="shared" si="44"/>
        <v>0</v>
      </c>
      <c r="AI126" s="1558">
        <f t="shared" si="44"/>
        <v>0</v>
      </c>
      <c r="AJ126" s="1558">
        <f t="shared" si="44"/>
        <v>0</v>
      </c>
      <c r="AK126" s="1558">
        <f t="shared" si="44"/>
        <v>0</v>
      </c>
      <c r="AL126" s="1558">
        <f t="shared" si="44"/>
        <v>0</v>
      </c>
      <c r="AM126" s="1558">
        <f t="shared" si="44"/>
        <v>0</v>
      </c>
      <c r="AN126" s="1558">
        <f t="shared" si="44"/>
        <v>0</v>
      </c>
      <c r="AO126" s="1558">
        <f t="shared" si="44"/>
        <v>0</v>
      </c>
      <c r="AP126" s="1558">
        <f t="shared" si="44"/>
        <v>0</v>
      </c>
      <c r="AQ126" s="1558">
        <f t="shared" si="44"/>
        <v>0</v>
      </c>
      <c r="AR126" s="1558">
        <f t="shared" si="44"/>
        <v>0</v>
      </c>
      <c r="AS126" s="1558">
        <f t="shared" si="44"/>
        <v>0</v>
      </c>
      <c r="AT126" s="1558">
        <f t="shared" si="44"/>
        <v>0</v>
      </c>
      <c r="AU126" s="1558">
        <f t="shared" si="44"/>
        <v>0</v>
      </c>
      <c r="AV126" s="1558">
        <f t="shared" si="44"/>
        <v>0</v>
      </c>
      <c r="AW126" s="1558">
        <f t="shared" si="44"/>
        <v>0</v>
      </c>
      <c r="AX126" s="1558">
        <f t="shared" si="44"/>
        <v>0</v>
      </c>
      <c r="AY126" s="1558">
        <f t="shared" si="44"/>
        <v>0</v>
      </c>
      <c r="AZ126" s="1558">
        <f t="shared" si="44"/>
        <v>0</v>
      </c>
      <c r="BA126" s="1558">
        <f t="shared" si="44"/>
        <v>0</v>
      </c>
      <c r="BB126" s="1558">
        <f t="shared" si="44"/>
        <v>0</v>
      </c>
      <c r="BC126" s="1558">
        <f t="shared" si="44"/>
        <v>0</v>
      </c>
      <c r="BD126" s="1558">
        <f t="shared" si="44"/>
        <v>0</v>
      </c>
      <c r="BE126" s="1559">
        <f t="shared" si="44"/>
        <v>0</v>
      </c>
      <c r="BF126" s="695"/>
    </row>
    <row r="127" spans="1:58" x14ac:dyDescent="0.45">
      <c r="A127" s="695"/>
      <c r="B127" s="888" t="s">
        <v>160</v>
      </c>
      <c r="C127" s="889"/>
      <c r="D127" s="889"/>
      <c r="E127" s="892"/>
      <c r="F127" s="892" t="s">
        <v>748</v>
      </c>
      <c r="G127" s="1558"/>
      <c r="H127" s="1558">
        <f>H477</f>
        <v>0</v>
      </c>
      <c r="I127" s="1558">
        <f>I477</f>
        <v>0</v>
      </c>
      <c r="J127" s="1558">
        <f t="shared" ref="J127:BE127" si="45">J477</f>
        <v>0</v>
      </c>
      <c r="K127" s="1558">
        <f t="shared" si="45"/>
        <v>0</v>
      </c>
      <c r="L127" s="1558">
        <f t="shared" si="45"/>
        <v>0</v>
      </c>
      <c r="M127" s="1558">
        <f t="shared" si="45"/>
        <v>0</v>
      </c>
      <c r="N127" s="1558">
        <f t="shared" si="45"/>
        <v>0</v>
      </c>
      <c r="O127" s="1558">
        <f t="shared" si="45"/>
        <v>0</v>
      </c>
      <c r="P127" s="1558">
        <f t="shared" si="45"/>
        <v>0</v>
      </c>
      <c r="Q127" s="1558">
        <f t="shared" si="45"/>
        <v>0</v>
      </c>
      <c r="R127" s="1558">
        <f t="shared" si="45"/>
        <v>0</v>
      </c>
      <c r="S127" s="1558">
        <f t="shared" si="45"/>
        <v>0</v>
      </c>
      <c r="T127" s="1558">
        <f t="shared" si="45"/>
        <v>0</v>
      </c>
      <c r="U127" s="1558">
        <f t="shared" si="45"/>
        <v>0</v>
      </c>
      <c r="V127" s="1558">
        <f t="shared" si="45"/>
        <v>0</v>
      </c>
      <c r="W127" s="1558">
        <f t="shared" si="45"/>
        <v>0</v>
      </c>
      <c r="X127" s="1558">
        <f t="shared" si="45"/>
        <v>0</v>
      </c>
      <c r="Y127" s="1558">
        <f t="shared" si="45"/>
        <v>0</v>
      </c>
      <c r="Z127" s="1558">
        <f t="shared" si="45"/>
        <v>0</v>
      </c>
      <c r="AA127" s="1558">
        <f t="shared" si="45"/>
        <v>0</v>
      </c>
      <c r="AB127" s="1558">
        <f t="shared" si="45"/>
        <v>0</v>
      </c>
      <c r="AC127" s="1558">
        <f t="shared" si="45"/>
        <v>0</v>
      </c>
      <c r="AD127" s="1558">
        <f t="shared" si="45"/>
        <v>0</v>
      </c>
      <c r="AE127" s="1558">
        <f t="shared" si="45"/>
        <v>0</v>
      </c>
      <c r="AF127" s="1558">
        <f t="shared" si="45"/>
        <v>0</v>
      </c>
      <c r="AG127" s="1558">
        <f t="shared" si="45"/>
        <v>0</v>
      </c>
      <c r="AH127" s="1558">
        <f t="shared" si="45"/>
        <v>0</v>
      </c>
      <c r="AI127" s="1558">
        <f t="shared" si="45"/>
        <v>0</v>
      </c>
      <c r="AJ127" s="1558">
        <f t="shared" si="45"/>
        <v>0</v>
      </c>
      <c r="AK127" s="1558">
        <f t="shared" si="45"/>
        <v>0</v>
      </c>
      <c r="AL127" s="1558">
        <f t="shared" si="45"/>
        <v>0</v>
      </c>
      <c r="AM127" s="1558">
        <f t="shared" si="45"/>
        <v>0</v>
      </c>
      <c r="AN127" s="1558">
        <f t="shared" si="45"/>
        <v>0</v>
      </c>
      <c r="AO127" s="1558">
        <f t="shared" si="45"/>
        <v>0</v>
      </c>
      <c r="AP127" s="1558">
        <f t="shared" si="45"/>
        <v>0</v>
      </c>
      <c r="AQ127" s="1558">
        <f t="shared" si="45"/>
        <v>0</v>
      </c>
      <c r="AR127" s="1558">
        <f t="shared" si="45"/>
        <v>0</v>
      </c>
      <c r="AS127" s="1558">
        <f t="shared" si="45"/>
        <v>0</v>
      </c>
      <c r="AT127" s="1558">
        <f t="shared" si="45"/>
        <v>0</v>
      </c>
      <c r="AU127" s="1558">
        <f t="shared" si="45"/>
        <v>0</v>
      </c>
      <c r="AV127" s="1558">
        <f t="shared" si="45"/>
        <v>0</v>
      </c>
      <c r="AW127" s="1558">
        <f t="shared" si="45"/>
        <v>0</v>
      </c>
      <c r="AX127" s="1558">
        <f t="shared" si="45"/>
        <v>0</v>
      </c>
      <c r="AY127" s="1558">
        <f t="shared" si="45"/>
        <v>0</v>
      </c>
      <c r="AZ127" s="1558">
        <f t="shared" si="45"/>
        <v>0</v>
      </c>
      <c r="BA127" s="1558">
        <f t="shared" si="45"/>
        <v>0</v>
      </c>
      <c r="BB127" s="1558">
        <f t="shared" si="45"/>
        <v>0</v>
      </c>
      <c r="BC127" s="1558">
        <f t="shared" si="45"/>
        <v>0</v>
      </c>
      <c r="BD127" s="1558">
        <f t="shared" si="45"/>
        <v>0</v>
      </c>
      <c r="BE127" s="1559">
        <f t="shared" si="45"/>
        <v>0</v>
      </c>
      <c r="BF127" s="695"/>
    </row>
    <row r="128" spans="1:58" x14ac:dyDescent="0.45">
      <c r="A128" s="695"/>
      <c r="B128" s="888" t="s">
        <v>161</v>
      </c>
      <c r="C128" s="889"/>
      <c r="D128" s="889"/>
      <c r="E128" s="892"/>
      <c r="F128" s="892" t="s">
        <v>748</v>
      </c>
      <c r="G128" s="1558"/>
      <c r="H128" s="1558">
        <f>H498</f>
        <v>0</v>
      </c>
      <c r="I128" s="1558">
        <f>I498</f>
        <v>0</v>
      </c>
      <c r="J128" s="1558">
        <f t="shared" ref="J128:BE128" si="46">J498</f>
        <v>0</v>
      </c>
      <c r="K128" s="1558">
        <f t="shared" si="46"/>
        <v>0</v>
      </c>
      <c r="L128" s="1558">
        <f t="shared" si="46"/>
        <v>0</v>
      </c>
      <c r="M128" s="1558">
        <f t="shared" si="46"/>
        <v>0</v>
      </c>
      <c r="N128" s="1558">
        <f t="shared" si="46"/>
        <v>0</v>
      </c>
      <c r="O128" s="1558">
        <f t="shared" si="46"/>
        <v>0</v>
      </c>
      <c r="P128" s="1558">
        <f t="shared" si="46"/>
        <v>0</v>
      </c>
      <c r="Q128" s="1558">
        <f t="shared" si="46"/>
        <v>0</v>
      </c>
      <c r="R128" s="1558">
        <f t="shared" si="46"/>
        <v>0</v>
      </c>
      <c r="S128" s="1558">
        <f t="shared" si="46"/>
        <v>0</v>
      </c>
      <c r="T128" s="1558">
        <f t="shared" si="46"/>
        <v>0</v>
      </c>
      <c r="U128" s="1558">
        <f t="shared" si="46"/>
        <v>0</v>
      </c>
      <c r="V128" s="1558">
        <f t="shared" si="46"/>
        <v>0</v>
      </c>
      <c r="W128" s="1558">
        <f t="shared" si="46"/>
        <v>0</v>
      </c>
      <c r="X128" s="1558">
        <f t="shared" si="46"/>
        <v>0</v>
      </c>
      <c r="Y128" s="1558">
        <f t="shared" si="46"/>
        <v>0</v>
      </c>
      <c r="Z128" s="1558">
        <f t="shared" si="46"/>
        <v>0</v>
      </c>
      <c r="AA128" s="1558">
        <f t="shared" si="46"/>
        <v>0</v>
      </c>
      <c r="AB128" s="1558">
        <f t="shared" si="46"/>
        <v>0</v>
      </c>
      <c r="AC128" s="1558">
        <f t="shared" si="46"/>
        <v>0</v>
      </c>
      <c r="AD128" s="1558">
        <f t="shared" si="46"/>
        <v>0</v>
      </c>
      <c r="AE128" s="1558">
        <f t="shared" si="46"/>
        <v>0</v>
      </c>
      <c r="AF128" s="1558">
        <f t="shared" si="46"/>
        <v>0</v>
      </c>
      <c r="AG128" s="1558">
        <f t="shared" si="46"/>
        <v>0</v>
      </c>
      <c r="AH128" s="1558">
        <f t="shared" si="46"/>
        <v>0</v>
      </c>
      <c r="AI128" s="1558">
        <f t="shared" si="46"/>
        <v>0</v>
      </c>
      <c r="AJ128" s="1558">
        <f t="shared" si="46"/>
        <v>0</v>
      </c>
      <c r="AK128" s="1558">
        <f t="shared" si="46"/>
        <v>0</v>
      </c>
      <c r="AL128" s="1558">
        <f t="shared" si="46"/>
        <v>0</v>
      </c>
      <c r="AM128" s="1558">
        <f t="shared" si="46"/>
        <v>0</v>
      </c>
      <c r="AN128" s="1558">
        <f t="shared" si="46"/>
        <v>0</v>
      </c>
      <c r="AO128" s="1558">
        <f t="shared" si="46"/>
        <v>0</v>
      </c>
      <c r="AP128" s="1558">
        <f t="shared" si="46"/>
        <v>0</v>
      </c>
      <c r="AQ128" s="1558">
        <f t="shared" si="46"/>
        <v>0</v>
      </c>
      <c r="AR128" s="1558">
        <f t="shared" si="46"/>
        <v>0</v>
      </c>
      <c r="AS128" s="1558">
        <f t="shared" si="46"/>
        <v>0</v>
      </c>
      <c r="AT128" s="1558">
        <f t="shared" si="46"/>
        <v>0</v>
      </c>
      <c r="AU128" s="1558">
        <f t="shared" si="46"/>
        <v>0</v>
      </c>
      <c r="AV128" s="1558">
        <f t="shared" si="46"/>
        <v>0</v>
      </c>
      <c r="AW128" s="1558">
        <f t="shared" si="46"/>
        <v>0</v>
      </c>
      <c r="AX128" s="1558">
        <f t="shared" si="46"/>
        <v>0</v>
      </c>
      <c r="AY128" s="1558">
        <f t="shared" si="46"/>
        <v>0</v>
      </c>
      <c r="AZ128" s="1558">
        <f t="shared" si="46"/>
        <v>0</v>
      </c>
      <c r="BA128" s="1558">
        <f t="shared" si="46"/>
        <v>0</v>
      </c>
      <c r="BB128" s="1558">
        <f t="shared" si="46"/>
        <v>0</v>
      </c>
      <c r="BC128" s="1558">
        <f t="shared" si="46"/>
        <v>0</v>
      </c>
      <c r="BD128" s="1558">
        <f t="shared" si="46"/>
        <v>0</v>
      </c>
      <c r="BE128" s="1559">
        <f t="shared" si="46"/>
        <v>0</v>
      </c>
      <c r="BF128" s="695"/>
    </row>
    <row r="129" spans="1:58" x14ac:dyDescent="0.45">
      <c r="A129" s="695"/>
      <c r="B129" s="888" t="s">
        <v>120</v>
      </c>
      <c r="C129" s="889"/>
      <c r="D129" s="889"/>
      <c r="E129" s="892"/>
      <c r="F129" s="892" t="s">
        <v>748</v>
      </c>
      <c r="G129" s="1558"/>
      <c r="H129" s="1558">
        <f>(H467+H488+H509)</f>
        <v>0</v>
      </c>
      <c r="I129" s="1558">
        <f>(I467+I488+I509)</f>
        <v>0</v>
      </c>
      <c r="J129" s="1558">
        <f t="shared" ref="J129:BE129" si="47">(J467+J488+J509)</f>
        <v>0</v>
      </c>
      <c r="K129" s="1558">
        <f t="shared" si="47"/>
        <v>0</v>
      </c>
      <c r="L129" s="1558">
        <f t="shared" si="47"/>
        <v>0</v>
      </c>
      <c r="M129" s="1558">
        <f t="shared" si="47"/>
        <v>0</v>
      </c>
      <c r="N129" s="1558">
        <f t="shared" si="47"/>
        <v>0</v>
      </c>
      <c r="O129" s="1558">
        <f t="shared" si="47"/>
        <v>0</v>
      </c>
      <c r="P129" s="1558">
        <f t="shared" si="47"/>
        <v>0</v>
      </c>
      <c r="Q129" s="1558">
        <f t="shared" si="47"/>
        <v>0</v>
      </c>
      <c r="R129" s="1558">
        <f t="shared" si="47"/>
        <v>0</v>
      </c>
      <c r="S129" s="1558">
        <f t="shared" si="47"/>
        <v>0</v>
      </c>
      <c r="T129" s="1558">
        <f t="shared" si="47"/>
        <v>0</v>
      </c>
      <c r="U129" s="1558">
        <f t="shared" si="47"/>
        <v>0</v>
      </c>
      <c r="V129" s="1558">
        <f t="shared" si="47"/>
        <v>0</v>
      </c>
      <c r="W129" s="1558">
        <f t="shared" si="47"/>
        <v>0</v>
      </c>
      <c r="X129" s="1558">
        <f t="shared" si="47"/>
        <v>0</v>
      </c>
      <c r="Y129" s="1558">
        <f t="shared" si="47"/>
        <v>0</v>
      </c>
      <c r="Z129" s="1558">
        <f t="shared" si="47"/>
        <v>0</v>
      </c>
      <c r="AA129" s="1558">
        <f t="shared" si="47"/>
        <v>0</v>
      </c>
      <c r="AB129" s="1558">
        <f t="shared" si="47"/>
        <v>0</v>
      </c>
      <c r="AC129" s="1558">
        <f t="shared" si="47"/>
        <v>0</v>
      </c>
      <c r="AD129" s="1558">
        <f t="shared" si="47"/>
        <v>0</v>
      </c>
      <c r="AE129" s="1558">
        <f t="shared" si="47"/>
        <v>0</v>
      </c>
      <c r="AF129" s="1558">
        <f t="shared" si="47"/>
        <v>0</v>
      </c>
      <c r="AG129" s="1558">
        <f t="shared" si="47"/>
        <v>0</v>
      </c>
      <c r="AH129" s="1558">
        <f t="shared" si="47"/>
        <v>0</v>
      </c>
      <c r="AI129" s="1558">
        <f t="shared" si="47"/>
        <v>0</v>
      </c>
      <c r="AJ129" s="1558">
        <f t="shared" si="47"/>
        <v>0</v>
      </c>
      <c r="AK129" s="1558">
        <f t="shared" si="47"/>
        <v>0</v>
      </c>
      <c r="AL129" s="1558">
        <f t="shared" si="47"/>
        <v>0</v>
      </c>
      <c r="AM129" s="1558">
        <f t="shared" si="47"/>
        <v>0</v>
      </c>
      <c r="AN129" s="1558">
        <f t="shared" si="47"/>
        <v>0</v>
      </c>
      <c r="AO129" s="1558">
        <f t="shared" si="47"/>
        <v>0</v>
      </c>
      <c r="AP129" s="1558">
        <f t="shared" si="47"/>
        <v>0</v>
      </c>
      <c r="AQ129" s="1558">
        <f t="shared" si="47"/>
        <v>0</v>
      </c>
      <c r="AR129" s="1558">
        <f t="shared" si="47"/>
        <v>0</v>
      </c>
      <c r="AS129" s="1558">
        <f t="shared" si="47"/>
        <v>0</v>
      </c>
      <c r="AT129" s="1558">
        <f t="shared" si="47"/>
        <v>0</v>
      </c>
      <c r="AU129" s="1558">
        <f t="shared" si="47"/>
        <v>0</v>
      </c>
      <c r="AV129" s="1558">
        <f t="shared" si="47"/>
        <v>0</v>
      </c>
      <c r="AW129" s="1558">
        <f t="shared" si="47"/>
        <v>0</v>
      </c>
      <c r="AX129" s="1558">
        <f t="shared" si="47"/>
        <v>0</v>
      </c>
      <c r="AY129" s="1558">
        <f t="shared" si="47"/>
        <v>0</v>
      </c>
      <c r="AZ129" s="1558">
        <f t="shared" si="47"/>
        <v>0</v>
      </c>
      <c r="BA129" s="1558">
        <f t="shared" si="47"/>
        <v>0</v>
      </c>
      <c r="BB129" s="1558">
        <f t="shared" si="47"/>
        <v>0</v>
      </c>
      <c r="BC129" s="1558">
        <f t="shared" si="47"/>
        <v>0</v>
      </c>
      <c r="BD129" s="1558">
        <f t="shared" si="47"/>
        <v>0</v>
      </c>
      <c r="BE129" s="1559">
        <f t="shared" si="47"/>
        <v>0</v>
      </c>
      <c r="BF129" s="695"/>
    </row>
    <row r="130" spans="1:58" x14ac:dyDescent="0.45">
      <c r="A130" s="695"/>
      <c r="B130" s="888" t="s">
        <v>162</v>
      </c>
      <c r="C130" s="889"/>
      <c r="D130" s="889"/>
      <c r="E130" s="892"/>
      <c r="F130" s="892" t="s">
        <v>748</v>
      </c>
      <c r="G130" s="1558"/>
      <c r="H130" s="1558">
        <f>(H489+H490)</f>
        <v>0</v>
      </c>
      <c r="I130" s="1558">
        <f>I490</f>
        <v>0</v>
      </c>
      <c r="J130" s="1558">
        <f t="shared" ref="J130:BE130" si="48">J490</f>
        <v>0</v>
      </c>
      <c r="K130" s="1558">
        <f t="shared" si="48"/>
        <v>0</v>
      </c>
      <c r="L130" s="1558">
        <f t="shared" si="48"/>
        <v>0</v>
      </c>
      <c r="M130" s="1558">
        <f t="shared" si="48"/>
        <v>0</v>
      </c>
      <c r="N130" s="1558">
        <f t="shared" si="48"/>
        <v>0</v>
      </c>
      <c r="O130" s="1558">
        <f t="shared" si="48"/>
        <v>0</v>
      </c>
      <c r="P130" s="1558">
        <f t="shared" si="48"/>
        <v>0</v>
      </c>
      <c r="Q130" s="1558">
        <f t="shared" si="48"/>
        <v>0</v>
      </c>
      <c r="R130" s="1558">
        <f t="shared" si="48"/>
        <v>0</v>
      </c>
      <c r="S130" s="1558">
        <f t="shared" si="48"/>
        <v>0</v>
      </c>
      <c r="T130" s="1558">
        <f t="shared" si="48"/>
        <v>0</v>
      </c>
      <c r="U130" s="1558">
        <f t="shared" si="48"/>
        <v>0</v>
      </c>
      <c r="V130" s="1558">
        <f t="shared" si="48"/>
        <v>0</v>
      </c>
      <c r="W130" s="1558">
        <f t="shared" si="48"/>
        <v>0</v>
      </c>
      <c r="X130" s="1558">
        <f t="shared" si="48"/>
        <v>0</v>
      </c>
      <c r="Y130" s="1558">
        <f t="shared" si="48"/>
        <v>0</v>
      </c>
      <c r="Z130" s="1558">
        <f t="shared" si="48"/>
        <v>0</v>
      </c>
      <c r="AA130" s="1558">
        <f t="shared" si="48"/>
        <v>0</v>
      </c>
      <c r="AB130" s="1558">
        <f t="shared" si="48"/>
        <v>0</v>
      </c>
      <c r="AC130" s="1558">
        <f t="shared" si="48"/>
        <v>0</v>
      </c>
      <c r="AD130" s="1558">
        <f t="shared" si="48"/>
        <v>0</v>
      </c>
      <c r="AE130" s="1558">
        <f t="shared" si="48"/>
        <v>0</v>
      </c>
      <c r="AF130" s="1558">
        <f t="shared" si="48"/>
        <v>0</v>
      </c>
      <c r="AG130" s="1558">
        <f t="shared" si="48"/>
        <v>0</v>
      </c>
      <c r="AH130" s="1558">
        <f t="shared" si="48"/>
        <v>0</v>
      </c>
      <c r="AI130" s="1558">
        <f t="shared" si="48"/>
        <v>0</v>
      </c>
      <c r="AJ130" s="1558">
        <f t="shared" si="48"/>
        <v>0</v>
      </c>
      <c r="AK130" s="1558">
        <f t="shared" si="48"/>
        <v>0</v>
      </c>
      <c r="AL130" s="1558">
        <f t="shared" si="48"/>
        <v>0</v>
      </c>
      <c r="AM130" s="1558">
        <f t="shared" si="48"/>
        <v>0</v>
      </c>
      <c r="AN130" s="1558">
        <f t="shared" si="48"/>
        <v>0</v>
      </c>
      <c r="AO130" s="1558">
        <f t="shared" si="48"/>
        <v>0</v>
      </c>
      <c r="AP130" s="1558">
        <f t="shared" si="48"/>
        <v>0</v>
      </c>
      <c r="AQ130" s="1558">
        <f t="shared" si="48"/>
        <v>0</v>
      </c>
      <c r="AR130" s="1558">
        <f t="shared" si="48"/>
        <v>0</v>
      </c>
      <c r="AS130" s="1558">
        <f t="shared" si="48"/>
        <v>0</v>
      </c>
      <c r="AT130" s="1558">
        <f t="shared" si="48"/>
        <v>0</v>
      </c>
      <c r="AU130" s="1558">
        <f t="shared" si="48"/>
        <v>0</v>
      </c>
      <c r="AV130" s="1558">
        <f t="shared" si="48"/>
        <v>0</v>
      </c>
      <c r="AW130" s="1558">
        <f t="shared" si="48"/>
        <v>0</v>
      </c>
      <c r="AX130" s="1558">
        <f t="shared" si="48"/>
        <v>0</v>
      </c>
      <c r="AY130" s="1558">
        <f t="shared" si="48"/>
        <v>0</v>
      </c>
      <c r="AZ130" s="1558">
        <f t="shared" si="48"/>
        <v>0</v>
      </c>
      <c r="BA130" s="1558">
        <f t="shared" si="48"/>
        <v>0</v>
      </c>
      <c r="BB130" s="1558">
        <f t="shared" si="48"/>
        <v>0</v>
      </c>
      <c r="BC130" s="1558">
        <f t="shared" si="48"/>
        <v>0</v>
      </c>
      <c r="BD130" s="1558">
        <f t="shared" si="48"/>
        <v>0</v>
      </c>
      <c r="BE130" s="1559">
        <f t="shared" si="48"/>
        <v>0</v>
      </c>
      <c r="BF130" s="695"/>
    </row>
    <row r="131" spans="1:58" x14ac:dyDescent="0.45">
      <c r="A131" s="695"/>
      <c r="B131" s="888" t="s">
        <v>121</v>
      </c>
      <c r="C131" s="889"/>
      <c r="D131" s="889"/>
      <c r="E131" s="892"/>
      <c r="F131" s="892" t="s">
        <v>748</v>
      </c>
      <c r="G131" s="1558"/>
      <c r="H131" s="1558">
        <f>(H519+H520)</f>
        <v>0</v>
      </c>
      <c r="I131" s="1558">
        <f>I520</f>
        <v>0</v>
      </c>
      <c r="J131" s="1558">
        <f t="shared" ref="J131:BE131" si="49">J520</f>
        <v>0</v>
      </c>
      <c r="K131" s="1558">
        <f t="shared" si="49"/>
        <v>0</v>
      </c>
      <c r="L131" s="1558">
        <f t="shared" si="49"/>
        <v>0</v>
      </c>
      <c r="M131" s="1558">
        <f t="shared" si="49"/>
        <v>0</v>
      </c>
      <c r="N131" s="1558">
        <f t="shared" si="49"/>
        <v>0</v>
      </c>
      <c r="O131" s="1558">
        <f t="shared" si="49"/>
        <v>0</v>
      </c>
      <c r="P131" s="1558">
        <f t="shared" si="49"/>
        <v>0</v>
      </c>
      <c r="Q131" s="1558">
        <f t="shared" si="49"/>
        <v>0</v>
      </c>
      <c r="R131" s="1558">
        <f t="shared" si="49"/>
        <v>0</v>
      </c>
      <c r="S131" s="1558">
        <f t="shared" si="49"/>
        <v>0</v>
      </c>
      <c r="T131" s="1558">
        <f t="shared" si="49"/>
        <v>0</v>
      </c>
      <c r="U131" s="1558">
        <f t="shared" si="49"/>
        <v>0</v>
      </c>
      <c r="V131" s="1558">
        <f t="shared" si="49"/>
        <v>0</v>
      </c>
      <c r="W131" s="1558">
        <f t="shared" si="49"/>
        <v>0</v>
      </c>
      <c r="X131" s="1558">
        <f t="shared" si="49"/>
        <v>0</v>
      </c>
      <c r="Y131" s="1558">
        <f t="shared" si="49"/>
        <v>0</v>
      </c>
      <c r="Z131" s="1558">
        <f t="shared" si="49"/>
        <v>0</v>
      </c>
      <c r="AA131" s="1558">
        <f t="shared" si="49"/>
        <v>0</v>
      </c>
      <c r="AB131" s="1558">
        <f t="shared" si="49"/>
        <v>0</v>
      </c>
      <c r="AC131" s="1558">
        <f t="shared" si="49"/>
        <v>0</v>
      </c>
      <c r="AD131" s="1558">
        <f t="shared" si="49"/>
        <v>0</v>
      </c>
      <c r="AE131" s="1558">
        <f t="shared" si="49"/>
        <v>0</v>
      </c>
      <c r="AF131" s="1558">
        <f t="shared" si="49"/>
        <v>0</v>
      </c>
      <c r="AG131" s="1558">
        <f t="shared" si="49"/>
        <v>0</v>
      </c>
      <c r="AH131" s="1558">
        <f t="shared" si="49"/>
        <v>0</v>
      </c>
      <c r="AI131" s="1558">
        <f t="shared" si="49"/>
        <v>0</v>
      </c>
      <c r="AJ131" s="1558">
        <f t="shared" si="49"/>
        <v>0</v>
      </c>
      <c r="AK131" s="1558">
        <f t="shared" si="49"/>
        <v>0</v>
      </c>
      <c r="AL131" s="1558">
        <f t="shared" si="49"/>
        <v>0</v>
      </c>
      <c r="AM131" s="1558">
        <f t="shared" si="49"/>
        <v>0</v>
      </c>
      <c r="AN131" s="1558">
        <f t="shared" si="49"/>
        <v>0</v>
      </c>
      <c r="AO131" s="1558">
        <f t="shared" si="49"/>
        <v>0</v>
      </c>
      <c r="AP131" s="1558">
        <f t="shared" si="49"/>
        <v>0</v>
      </c>
      <c r="AQ131" s="1558">
        <f t="shared" si="49"/>
        <v>0</v>
      </c>
      <c r="AR131" s="1558">
        <f t="shared" si="49"/>
        <v>0</v>
      </c>
      <c r="AS131" s="1558">
        <f t="shared" si="49"/>
        <v>0</v>
      </c>
      <c r="AT131" s="1558">
        <f t="shared" si="49"/>
        <v>0</v>
      </c>
      <c r="AU131" s="1558">
        <f t="shared" si="49"/>
        <v>0</v>
      </c>
      <c r="AV131" s="1558">
        <f t="shared" si="49"/>
        <v>0</v>
      </c>
      <c r="AW131" s="1558">
        <f t="shared" si="49"/>
        <v>0</v>
      </c>
      <c r="AX131" s="1558">
        <f t="shared" si="49"/>
        <v>0</v>
      </c>
      <c r="AY131" s="1558">
        <f t="shared" si="49"/>
        <v>0</v>
      </c>
      <c r="AZ131" s="1558">
        <f t="shared" si="49"/>
        <v>0</v>
      </c>
      <c r="BA131" s="1558">
        <f t="shared" si="49"/>
        <v>0</v>
      </c>
      <c r="BB131" s="1558">
        <f t="shared" si="49"/>
        <v>0</v>
      </c>
      <c r="BC131" s="1558">
        <f t="shared" si="49"/>
        <v>0</v>
      </c>
      <c r="BD131" s="1558">
        <f t="shared" si="49"/>
        <v>0</v>
      </c>
      <c r="BE131" s="1559">
        <f t="shared" si="49"/>
        <v>0</v>
      </c>
      <c r="BF131" s="695"/>
    </row>
    <row r="132" spans="1:58" x14ac:dyDescent="0.45">
      <c r="A132" s="695"/>
      <c r="B132" s="888"/>
      <c r="C132" s="889"/>
      <c r="D132" s="889"/>
      <c r="E132" s="892"/>
      <c r="F132" s="892"/>
      <c r="G132" s="1558"/>
      <c r="H132" s="1558"/>
      <c r="I132" s="1558"/>
      <c r="J132" s="1558"/>
      <c r="K132" s="1558"/>
      <c r="L132" s="1558"/>
      <c r="M132" s="1558"/>
      <c r="N132" s="1558"/>
      <c r="O132" s="1558"/>
      <c r="P132" s="1558"/>
      <c r="Q132" s="1558"/>
      <c r="R132" s="1558"/>
      <c r="S132" s="1558"/>
      <c r="T132" s="1558"/>
      <c r="U132" s="1558"/>
      <c r="V132" s="1558"/>
      <c r="W132" s="1558"/>
      <c r="X132" s="1558"/>
      <c r="Y132" s="1558"/>
      <c r="Z132" s="1558"/>
      <c r="AA132" s="1558"/>
      <c r="AB132" s="1558"/>
      <c r="AC132" s="1558"/>
      <c r="AD132" s="1558"/>
      <c r="AE132" s="1558"/>
      <c r="AF132" s="1558"/>
      <c r="AG132" s="1558"/>
      <c r="AH132" s="1558"/>
      <c r="AI132" s="1558"/>
      <c r="AJ132" s="1558"/>
      <c r="AK132" s="1558"/>
      <c r="AL132" s="1558"/>
      <c r="AM132" s="1558"/>
      <c r="AN132" s="1558"/>
      <c r="AO132" s="1558"/>
      <c r="AP132" s="1558"/>
      <c r="AQ132" s="1558"/>
      <c r="AR132" s="1558"/>
      <c r="AS132" s="1558"/>
      <c r="AT132" s="1558"/>
      <c r="AU132" s="1558"/>
      <c r="AV132" s="1558"/>
      <c r="AW132" s="1558"/>
      <c r="AX132" s="1558"/>
      <c r="AY132" s="1558"/>
      <c r="AZ132" s="1558"/>
      <c r="BA132" s="1558"/>
      <c r="BB132" s="1558"/>
      <c r="BC132" s="1558"/>
      <c r="BD132" s="1558"/>
      <c r="BE132" s="1559"/>
      <c r="BF132" s="695"/>
    </row>
    <row r="133" spans="1:58" x14ac:dyDescent="0.45">
      <c r="A133" s="695"/>
      <c r="B133" s="888"/>
      <c r="C133" s="889"/>
      <c r="D133" s="889"/>
      <c r="E133" s="892"/>
      <c r="F133" s="892"/>
      <c r="G133" s="1558"/>
      <c r="H133" s="1558"/>
      <c r="I133" s="1558"/>
      <c r="J133" s="1558"/>
      <c r="K133" s="1558"/>
      <c r="L133" s="1558"/>
      <c r="M133" s="1558"/>
      <c r="N133" s="1558"/>
      <c r="O133" s="1558"/>
      <c r="P133" s="1558"/>
      <c r="Q133" s="1558"/>
      <c r="R133" s="1558"/>
      <c r="S133" s="1558"/>
      <c r="T133" s="1558"/>
      <c r="U133" s="1558"/>
      <c r="V133" s="1558"/>
      <c r="W133" s="1558"/>
      <c r="X133" s="1558"/>
      <c r="Y133" s="1558"/>
      <c r="Z133" s="1558"/>
      <c r="AA133" s="1558"/>
      <c r="AB133" s="1558"/>
      <c r="AC133" s="1558"/>
      <c r="AD133" s="1558"/>
      <c r="AE133" s="1558"/>
      <c r="AF133" s="1558"/>
      <c r="AG133" s="1558"/>
      <c r="AH133" s="1558"/>
      <c r="AI133" s="1558"/>
      <c r="AJ133" s="1558"/>
      <c r="AK133" s="1558"/>
      <c r="AL133" s="1558"/>
      <c r="AM133" s="1558"/>
      <c r="AN133" s="1558"/>
      <c r="AO133" s="1558"/>
      <c r="AP133" s="1558"/>
      <c r="AQ133" s="1558"/>
      <c r="AR133" s="1558"/>
      <c r="AS133" s="1558"/>
      <c r="AT133" s="1558"/>
      <c r="AU133" s="1558"/>
      <c r="AV133" s="1558"/>
      <c r="AW133" s="1558"/>
      <c r="AX133" s="1558"/>
      <c r="AY133" s="1558"/>
      <c r="AZ133" s="1558"/>
      <c r="BA133" s="1558"/>
      <c r="BB133" s="1558"/>
      <c r="BC133" s="1558"/>
      <c r="BD133" s="1558"/>
      <c r="BE133" s="1559"/>
      <c r="BF133" s="695"/>
    </row>
    <row r="134" spans="1:58" ht="13.15" x14ac:dyDescent="0.45">
      <c r="A134" s="695"/>
      <c r="B134" s="903" t="s">
        <v>460</v>
      </c>
      <c r="C134" s="889"/>
      <c r="D134" s="889"/>
      <c r="E134" s="892"/>
      <c r="F134" s="892"/>
      <c r="G134" s="1558"/>
      <c r="H134" s="1558"/>
      <c r="I134" s="1558"/>
      <c r="J134" s="1558"/>
      <c r="K134" s="1558"/>
      <c r="L134" s="1558"/>
      <c r="M134" s="1558"/>
      <c r="N134" s="1558"/>
      <c r="O134" s="1558"/>
      <c r="P134" s="1558"/>
      <c r="Q134" s="1558"/>
      <c r="R134" s="1558"/>
      <c r="S134" s="1558"/>
      <c r="T134" s="1558"/>
      <c r="U134" s="1558"/>
      <c r="V134" s="1558"/>
      <c r="W134" s="1558"/>
      <c r="X134" s="1558"/>
      <c r="Y134" s="1558"/>
      <c r="Z134" s="1558"/>
      <c r="AA134" s="1558"/>
      <c r="AB134" s="1558"/>
      <c r="AC134" s="1558"/>
      <c r="AD134" s="1558"/>
      <c r="AE134" s="1558"/>
      <c r="AF134" s="1558"/>
      <c r="AG134" s="1558"/>
      <c r="AH134" s="1558"/>
      <c r="AI134" s="1558"/>
      <c r="AJ134" s="1558"/>
      <c r="AK134" s="1558"/>
      <c r="AL134" s="1558"/>
      <c r="AM134" s="1558"/>
      <c r="AN134" s="1558"/>
      <c r="AO134" s="1558"/>
      <c r="AP134" s="1558"/>
      <c r="AQ134" s="1558"/>
      <c r="AR134" s="1558"/>
      <c r="AS134" s="1558"/>
      <c r="AT134" s="1558"/>
      <c r="AU134" s="1558"/>
      <c r="AV134" s="1558"/>
      <c r="AW134" s="1558"/>
      <c r="AX134" s="1558"/>
      <c r="AY134" s="1558"/>
      <c r="AZ134" s="1558"/>
      <c r="BA134" s="1558"/>
      <c r="BB134" s="1558"/>
      <c r="BC134" s="1558"/>
      <c r="BD134" s="1558"/>
      <c r="BE134" s="1559"/>
      <c r="BF134" s="695"/>
    </row>
    <row r="135" spans="1:58" x14ac:dyDescent="0.45">
      <c r="A135" s="695"/>
      <c r="B135" s="888"/>
      <c r="C135" s="889"/>
      <c r="D135" s="889"/>
      <c r="E135" s="892"/>
      <c r="F135" s="892"/>
      <c r="G135" s="1558"/>
      <c r="H135" s="1558"/>
      <c r="I135" s="1558"/>
      <c r="J135" s="1558"/>
      <c r="K135" s="1558"/>
      <c r="L135" s="1558"/>
      <c r="M135" s="1558"/>
      <c r="N135" s="1558"/>
      <c r="O135" s="1558"/>
      <c r="P135" s="1558"/>
      <c r="Q135" s="1558"/>
      <c r="R135" s="1558"/>
      <c r="S135" s="1558"/>
      <c r="T135" s="1558"/>
      <c r="U135" s="1558"/>
      <c r="V135" s="1558"/>
      <c r="W135" s="1558"/>
      <c r="X135" s="1558"/>
      <c r="Y135" s="1558"/>
      <c r="Z135" s="1558"/>
      <c r="AA135" s="1558"/>
      <c r="AB135" s="1558"/>
      <c r="AC135" s="1558"/>
      <c r="AD135" s="1558"/>
      <c r="AE135" s="1558"/>
      <c r="AF135" s="1558"/>
      <c r="AG135" s="1558"/>
      <c r="AH135" s="1558"/>
      <c r="AI135" s="1558"/>
      <c r="AJ135" s="1558"/>
      <c r="AK135" s="1558"/>
      <c r="AL135" s="1558"/>
      <c r="AM135" s="1558"/>
      <c r="AN135" s="1558"/>
      <c r="AO135" s="1558"/>
      <c r="AP135" s="1558"/>
      <c r="AQ135" s="1558"/>
      <c r="AR135" s="1558"/>
      <c r="AS135" s="1558"/>
      <c r="AT135" s="1558"/>
      <c r="AU135" s="1558"/>
      <c r="AV135" s="1558"/>
      <c r="AW135" s="1558"/>
      <c r="AX135" s="1558"/>
      <c r="AY135" s="1558"/>
      <c r="AZ135" s="1558"/>
      <c r="BA135" s="1558"/>
      <c r="BB135" s="1558"/>
      <c r="BC135" s="1558"/>
      <c r="BD135" s="1558"/>
      <c r="BE135" s="1559"/>
      <c r="BF135" s="695"/>
    </row>
    <row r="136" spans="1:58" x14ac:dyDescent="0.45">
      <c r="A136" s="695"/>
      <c r="B136" s="888" t="str">
        <f>B115</f>
        <v>Operations &amp; Maintenance Expenses, excluding fuel cost</v>
      </c>
      <c r="C136" s="889"/>
      <c r="D136" s="889"/>
      <c r="E136" s="892"/>
      <c r="F136" s="892" t="s">
        <v>748</v>
      </c>
      <c r="G136" s="1558"/>
      <c r="H136" s="1558">
        <f t="shared" ref="H136:AM136" si="50">-H115</f>
        <v>0</v>
      </c>
      <c r="I136" s="1558">
        <f t="shared" si="50"/>
        <v>0</v>
      </c>
      <c r="J136" s="1558">
        <f t="shared" si="50"/>
        <v>0</v>
      </c>
      <c r="K136" s="1558">
        <f t="shared" si="50"/>
        <v>0</v>
      </c>
      <c r="L136" s="1558">
        <f t="shared" si="50"/>
        <v>0</v>
      </c>
      <c r="M136" s="1558">
        <f t="shared" si="50"/>
        <v>0</v>
      </c>
      <c r="N136" s="1558">
        <f t="shared" si="50"/>
        <v>0</v>
      </c>
      <c r="O136" s="1558">
        <f t="shared" si="50"/>
        <v>0</v>
      </c>
      <c r="P136" s="1558">
        <f t="shared" si="50"/>
        <v>0</v>
      </c>
      <c r="Q136" s="1558">
        <f t="shared" si="50"/>
        <v>0</v>
      </c>
      <c r="R136" s="1558">
        <f t="shared" si="50"/>
        <v>0</v>
      </c>
      <c r="S136" s="1558">
        <f t="shared" si="50"/>
        <v>0</v>
      </c>
      <c r="T136" s="1558">
        <f t="shared" si="50"/>
        <v>0</v>
      </c>
      <c r="U136" s="1558">
        <f t="shared" si="50"/>
        <v>0</v>
      </c>
      <c r="V136" s="1558">
        <f t="shared" si="50"/>
        <v>0</v>
      </c>
      <c r="W136" s="1558">
        <f t="shared" si="50"/>
        <v>0</v>
      </c>
      <c r="X136" s="1558">
        <f t="shared" si="50"/>
        <v>0</v>
      </c>
      <c r="Y136" s="1558">
        <f t="shared" si="50"/>
        <v>0</v>
      </c>
      <c r="Z136" s="1558">
        <f t="shared" si="50"/>
        <v>0</v>
      </c>
      <c r="AA136" s="1558">
        <f t="shared" si="50"/>
        <v>0</v>
      </c>
      <c r="AB136" s="1558">
        <f t="shared" si="50"/>
        <v>0</v>
      </c>
      <c r="AC136" s="1558">
        <f t="shared" si="50"/>
        <v>0</v>
      </c>
      <c r="AD136" s="1558">
        <f t="shared" si="50"/>
        <v>0</v>
      </c>
      <c r="AE136" s="1558">
        <f t="shared" si="50"/>
        <v>0</v>
      </c>
      <c r="AF136" s="1558">
        <f t="shared" si="50"/>
        <v>0</v>
      </c>
      <c r="AG136" s="1558">
        <f t="shared" si="50"/>
        <v>0</v>
      </c>
      <c r="AH136" s="1558">
        <f t="shared" si="50"/>
        <v>0</v>
      </c>
      <c r="AI136" s="1558">
        <f t="shared" si="50"/>
        <v>0</v>
      </c>
      <c r="AJ136" s="1558">
        <f t="shared" si="50"/>
        <v>0</v>
      </c>
      <c r="AK136" s="1558">
        <f t="shared" si="50"/>
        <v>0</v>
      </c>
      <c r="AL136" s="1558">
        <f t="shared" si="50"/>
        <v>0</v>
      </c>
      <c r="AM136" s="1558">
        <f t="shared" si="50"/>
        <v>0</v>
      </c>
      <c r="AN136" s="1558">
        <f t="shared" ref="AN136:BE136" si="51">-AN115</f>
        <v>0</v>
      </c>
      <c r="AO136" s="1558">
        <f t="shared" si="51"/>
        <v>0</v>
      </c>
      <c r="AP136" s="1558">
        <f t="shared" si="51"/>
        <v>0</v>
      </c>
      <c r="AQ136" s="1558">
        <f t="shared" si="51"/>
        <v>0</v>
      </c>
      <c r="AR136" s="1558">
        <f t="shared" si="51"/>
        <v>0</v>
      </c>
      <c r="AS136" s="1558">
        <f t="shared" si="51"/>
        <v>0</v>
      </c>
      <c r="AT136" s="1558">
        <f t="shared" si="51"/>
        <v>0</v>
      </c>
      <c r="AU136" s="1558">
        <f t="shared" si="51"/>
        <v>0</v>
      </c>
      <c r="AV136" s="1558">
        <f t="shared" si="51"/>
        <v>0</v>
      </c>
      <c r="AW136" s="1558">
        <f t="shared" si="51"/>
        <v>0</v>
      </c>
      <c r="AX136" s="1558">
        <f t="shared" si="51"/>
        <v>0</v>
      </c>
      <c r="AY136" s="1558">
        <f t="shared" si="51"/>
        <v>0</v>
      </c>
      <c r="AZ136" s="1558">
        <f t="shared" si="51"/>
        <v>0</v>
      </c>
      <c r="BA136" s="1558">
        <f t="shared" si="51"/>
        <v>0</v>
      </c>
      <c r="BB136" s="1558">
        <f t="shared" si="51"/>
        <v>0</v>
      </c>
      <c r="BC136" s="1558">
        <f t="shared" si="51"/>
        <v>0</v>
      </c>
      <c r="BD136" s="1558">
        <f t="shared" si="51"/>
        <v>0</v>
      </c>
      <c r="BE136" s="1559">
        <f t="shared" si="51"/>
        <v>0</v>
      </c>
      <c r="BF136" s="695"/>
    </row>
    <row r="137" spans="1:58" x14ac:dyDescent="0.45">
      <c r="A137" s="695"/>
      <c r="B137" s="888" t="s">
        <v>35</v>
      </c>
      <c r="C137" s="889"/>
      <c r="D137" s="889"/>
      <c r="E137" s="892"/>
      <c r="F137" s="892" t="s">
        <v>748</v>
      </c>
      <c r="G137" s="1558"/>
      <c r="H137" s="1558">
        <f>-H122</f>
        <v>0</v>
      </c>
      <c r="I137" s="1558">
        <f t="shared" ref="I137:BE137" si="52">-I122</f>
        <v>0</v>
      </c>
      <c r="J137" s="1558">
        <f t="shared" si="52"/>
        <v>0</v>
      </c>
      <c r="K137" s="1558">
        <f t="shared" si="52"/>
        <v>0</v>
      </c>
      <c r="L137" s="1558">
        <f t="shared" si="52"/>
        <v>0</v>
      </c>
      <c r="M137" s="1558">
        <f t="shared" si="52"/>
        <v>0</v>
      </c>
      <c r="N137" s="1558">
        <f t="shared" si="52"/>
        <v>0</v>
      </c>
      <c r="O137" s="1558">
        <f t="shared" si="52"/>
        <v>0</v>
      </c>
      <c r="P137" s="1558">
        <f t="shared" si="52"/>
        <v>0</v>
      </c>
      <c r="Q137" s="1558">
        <f t="shared" si="52"/>
        <v>0</v>
      </c>
      <c r="R137" s="1558">
        <f t="shared" si="52"/>
        <v>0</v>
      </c>
      <c r="S137" s="1558">
        <f t="shared" si="52"/>
        <v>0</v>
      </c>
      <c r="T137" s="1558">
        <f t="shared" si="52"/>
        <v>0</v>
      </c>
      <c r="U137" s="1558">
        <f t="shared" si="52"/>
        <v>0</v>
      </c>
      <c r="V137" s="1558">
        <f t="shared" si="52"/>
        <v>0</v>
      </c>
      <c r="W137" s="1558">
        <f t="shared" si="52"/>
        <v>0</v>
      </c>
      <c r="X137" s="1558">
        <f t="shared" si="52"/>
        <v>0</v>
      </c>
      <c r="Y137" s="1558">
        <f t="shared" si="52"/>
        <v>0</v>
      </c>
      <c r="Z137" s="1558">
        <f t="shared" si="52"/>
        <v>0</v>
      </c>
      <c r="AA137" s="1558">
        <f t="shared" si="52"/>
        <v>0</v>
      </c>
      <c r="AB137" s="1558">
        <f t="shared" si="52"/>
        <v>0</v>
      </c>
      <c r="AC137" s="1558">
        <f t="shared" si="52"/>
        <v>0</v>
      </c>
      <c r="AD137" s="1558">
        <f t="shared" si="52"/>
        <v>0</v>
      </c>
      <c r="AE137" s="1558">
        <f t="shared" si="52"/>
        <v>0</v>
      </c>
      <c r="AF137" s="1558">
        <f t="shared" si="52"/>
        <v>0</v>
      </c>
      <c r="AG137" s="1558">
        <f t="shared" si="52"/>
        <v>0</v>
      </c>
      <c r="AH137" s="1558">
        <f t="shared" si="52"/>
        <v>0</v>
      </c>
      <c r="AI137" s="1558">
        <f t="shared" si="52"/>
        <v>0</v>
      </c>
      <c r="AJ137" s="1558">
        <f t="shared" si="52"/>
        <v>0</v>
      </c>
      <c r="AK137" s="1558">
        <f t="shared" si="52"/>
        <v>0</v>
      </c>
      <c r="AL137" s="1558">
        <f t="shared" si="52"/>
        <v>0</v>
      </c>
      <c r="AM137" s="1558">
        <f t="shared" si="52"/>
        <v>0</v>
      </c>
      <c r="AN137" s="1558">
        <f t="shared" si="52"/>
        <v>0</v>
      </c>
      <c r="AO137" s="1558">
        <f t="shared" si="52"/>
        <v>0</v>
      </c>
      <c r="AP137" s="1558">
        <f t="shared" si="52"/>
        <v>0</v>
      </c>
      <c r="AQ137" s="1558">
        <f t="shared" si="52"/>
        <v>0</v>
      </c>
      <c r="AR137" s="1558">
        <f t="shared" si="52"/>
        <v>0</v>
      </c>
      <c r="AS137" s="1558">
        <f t="shared" si="52"/>
        <v>0</v>
      </c>
      <c r="AT137" s="1558">
        <f t="shared" si="52"/>
        <v>0</v>
      </c>
      <c r="AU137" s="1558">
        <f t="shared" si="52"/>
        <v>0</v>
      </c>
      <c r="AV137" s="1558">
        <f t="shared" si="52"/>
        <v>0</v>
      </c>
      <c r="AW137" s="1558">
        <f t="shared" si="52"/>
        <v>0</v>
      </c>
      <c r="AX137" s="1558">
        <f t="shared" si="52"/>
        <v>0</v>
      </c>
      <c r="AY137" s="1558">
        <f t="shared" si="52"/>
        <v>0</v>
      </c>
      <c r="AZ137" s="1558">
        <f t="shared" si="52"/>
        <v>0</v>
      </c>
      <c r="BA137" s="1558">
        <f t="shared" si="52"/>
        <v>0</v>
      </c>
      <c r="BB137" s="1558">
        <f t="shared" si="52"/>
        <v>0</v>
      </c>
      <c r="BC137" s="1558">
        <f t="shared" si="52"/>
        <v>0</v>
      </c>
      <c r="BD137" s="1558">
        <f t="shared" si="52"/>
        <v>0</v>
      </c>
      <c r="BE137" s="1559">
        <f t="shared" si="52"/>
        <v>0</v>
      </c>
      <c r="BF137" s="695"/>
    </row>
    <row r="138" spans="1:58" x14ac:dyDescent="0.45">
      <c r="A138" s="695"/>
      <c r="B138" s="888" t="str">
        <f>B129</f>
        <v xml:space="preserve">Front-end Fees </v>
      </c>
      <c r="C138" s="889"/>
      <c r="D138" s="889"/>
      <c r="E138" s="892"/>
      <c r="F138" s="892" t="s">
        <v>748</v>
      </c>
      <c r="G138" s="1558"/>
      <c r="H138" s="1558">
        <f>-H129</f>
        <v>0</v>
      </c>
      <c r="I138" s="1558">
        <f t="shared" ref="I138:BE138" si="53">-I129</f>
        <v>0</v>
      </c>
      <c r="J138" s="1558">
        <f t="shared" si="53"/>
        <v>0</v>
      </c>
      <c r="K138" s="1558">
        <f t="shared" si="53"/>
        <v>0</v>
      </c>
      <c r="L138" s="1558">
        <f t="shared" si="53"/>
        <v>0</v>
      </c>
      <c r="M138" s="1558">
        <f t="shared" si="53"/>
        <v>0</v>
      </c>
      <c r="N138" s="1558">
        <f t="shared" si="53"/>
        <v>0</v>
      </c>
      <c r="O138" s="1558">
        <f t="shared" si="53"/>
        <v>0</v>
      </c>
      <c r="P138" s="1558">
        <f t="shared" si="53"/>
        <v>0</v>
      </c>
      <c r="Q138" s="1558">
        <f t="shared" si="53"/>
        <v>0</v>
      </c>
      <c r="R138" s="1558">
        <f t="shared" si="53"/>
        <v>0</v>
      </c>
      <c r="S138" s="1558">
        <f t="shared" si="53"/>
        <v>0</v>
      </c>
      <c r="T138" s="1558">
        <f t="shared" si="53"/>
        <v>0</v>
      </c>
      <c r="U138" s="1558">
        <f t="shared" si="53"/>
        <v>0</v>
      </c>
      <c r="V138" s="1558">
        <f t="shared" si="53"/>
        <v>0</v>
      </c>
      <c r="W138" s="1558">
        <f t="shared" si="53"/>
        <v>0</v>
      </c>
      <c r="X138" s="1558">
        <f t="shared" si="53"/>
        <v>0</v>
      </c>
      <c r="Y138" s="1558">
        <f t="shared" si="53"/>
        <v>0</v>
      </c>
      <c r="Z138" s="1558">
        <f t="shared" si="53"/>
        <v>0</v>
      </c>
      <c r="AA138" s="1558">
        <f t="shared" si="53"/>
        <v>0</v>
      </c>
      <c r="AB138" s="1558">
        <f t="shared" si="53"/>
        <v>0</v>
      </c>
      <c r="AC138" s="1558">
        <f t="shared" si="53"/>
        <v>0</v>
      </c>
      <c r="AD138" s="1558">
        <f t="shared" si="53"/>
        <v>0</v>
      </c>
      <c r="AE138" s="1558">
        <f t="shared" si="53"/>
        <v>0</v>
      </c>
      <c r="AF138" s="1558">
        <f t="shared" si="53"/>
        <v>0</v>
      </c>
      <c r="AG138" s="1558">
        <f t="shared" si="53"/>
        <v>0</v>
      </c>
      <c r="AH138" s="1558">
        <f t="shared" si="53"/>
        <v>0</v>
      </c>
      <c r="AI138" s="1558">
        <f t="shared" si="53"/>
        <v>0</v>
      </c>
      <c r="AJ138" s="1558">
        <f t="shared" si="53"/>
        <v>0</v>
      </c>
      <c r="AK138" s="1558">
        <f t="shared" si="53"/>
        <v>0</v>
      </c>
      <c r="AL138" s="1558">
        <f t="shared" si="53"/>
        <v>0</v>
      </c>
      <c r="AM138" s="1558">
        <f t="shared" si="53"/>
        <v>0</v>
      </c>
      <c r="AN138" s="1558">
        <f t="shared" si="53"/>
        <v>0</v>
      </c>
      <c r="AO138" s="1558">
        <f t="shared" si="53"/>
        <v>0</v>
      </c>
      <c r="AP138" s="1558">
        <f t="shared" si="53"/>
        <v>0</v>
      </c>
      <c r="AQ138" s="1558">
        <f t="shared" si="53"/>
        <v>0</v>
      </c>
      <c r="AR138" s="1558">
        <f t="shared" si="53"/>
        <v>0</v>
      </c>
      <c r="AS138" s="1558">
        <f t="shared" si="53"/>
        <v>0</v>
      </c>
      <c r="AT138" s="1558">
        <f t="shared" si="53"/>
        <v>0</v>
      </c>
      <c r="AU138" s="1558">
        <f t="shared" si="53"/>
        <v>0</v>
      </c>
      <c r="AV138" s="1558">
        <f t="shared" si="53"/>
        <v>0</v>
      </c>
      <c r="AW138" s="1558">
        <f t="shared" si="53"/>
        <v>0</v>
      </c>
      <c r="AX138" s="1558">
        <f t="shared" si="53"/>
        <v>0</v>
      </c>
      <c r="AY138" s="1558">
        <f t="shared" si="53"/>
        <v>0</v>
      </c>
      <c r="AZ138" s="1558">
        <f t="shared" si="53"/>
        <v>0</v>
      </c>
      <c r="BA138" s="1558">
        <f t="shared" si="53"/>
        <v>0</v>
      </c>
      <c r="BB138" s="1558">
        <f t="shared" si="53"/>
        <v>0</v>
      </c>
      <c r="BC138" s="1558">
        <f t="shared" si="53"/>
        <v>0</v>
      </c>
      <c r="BD138" s="1558">
        <f t="shared" si="53"/>
        <v>0</v>
      </c>
      <c r="BE138" s="1559">
        <f t="shared" si="53"/>
        <v>0</v>
      </c>
      <c r="BF138" s="695"/>
    </row>
    <row r="139" spans="1:58" x14ac:dyDescent="0.45">
      <c r="A139" s="695"/>
      <c r="B139" s="888" t="str">
        <f>B130</f>
        <v xml:space="preserve">Public Guarantee Fees </v>
      </c>
      <c r="C139" s="889"/>
      <c r="D139" s="889"/>
      <c r="E139" s="892"/>
      <c r="F139" s="892" t="s">
        <v>748</v>
      </c>
      <c r="G139" s="1558"/>
      <c r="H139" s="1558">
        <f>-H130</f>
        <v>0</v>
      </c>
      <c r="I139" s="1558">
        <f t="shared" ref="I139:BE139" si="54">-I130</f>
        <v>0</v>
      </c>
      <c r="J139" s="1558">
        <f t="shared" si="54"/>
        <v>0</v>
      </c>
      <c r="K139" s="1558">
        <f t="shared" si="54"/>
        <v>0</v>
      </c>
      <c r="L139" s="1558">
        <f t="shared" si="54"/>
        <v>0</v>
      </c>
      <c r="M139" s="1558">
        <f t="shared" si="54"/>
        <v>0</v>
      </c>
      <c r="N139" s="1558">
        <f t="shared" si="54"/>
        <v>0</v>
      </c>
      <c r="O139" s="1558">
        <f t="shared" si="54"/>
        <v>0</v>
      </c>
      <c r="P139" s="1558">
        <f t="shared" si="54"/>
        <v>0</v>
      </c>
      <c r="Q139" s="1558">
        <f t="shared" si="54"/>
        <v>0</v>
      </c>
      <c r="R139" s="1558">
        <f t="shared" si="54"/>
        <v>0</v>
      </c>
      <c r="S139" s="1558">
        <f t="shared" si="54"/>
        <v>0</v>
      </c>
      <c r="T139" s="1558">
        <f t="shared" si="54"/>
        <v>0</v>
      </c>
      <c r="U139" s="1558">
        <f t="shared" si="54"/>
        <v>0</v>
      </c>
      <c r="V139" s="1558">
        <f t="shared" si="54"/>
        <v>0</v>
      </c>
      <c r="W139" s="1558">
        <f t="shared" si="54"/>
        <v>0</v>
      </c>
      <c r="X139" s="1558">
        <f t="shared" si="54"/>
        <v>0</v>
      </c>
      <c r="Y139" s="1558">
        <f t="shared" si="54"/>
        <v>0</v>
      </c>
      <c r="Z139" s="1558">
        <f t="shared" si="54"/>
        <v>0</v>
      </c>
      <c r="AA139" s="1558">
        <f t="shared" si="54"/>
        <v>0</v>
      </c>
      <c r="AB139" s="1558">
        <f t="shared" si="54"/>
        <v>0</v>
      </c>
      <c r="AC139" s="1558">
        <f t="shared" si="54"/>
        <v>0</v>
      </c>
      <c r="AD139" s="1558">
        <f t="shared" si="54"/>
        <v>0</v>
      </c>
      <c r="AE139" s="1558">
        <f t="shared" si="54"/>
        <v>0</v>
      </c>
      <c r="AF139" s="1558">
        <f t="shared" si="54"/>
        <v>0</v>
      </c>
      <c r="AG139" s="1558">
        <f t="shared" si="54"/>
        <v>0</v>
      </c>
      <c r="AH139" s="1558">
        <f t="shared" si="54"/>
        <v>0</v>
      </c>
      <c r="AI139" s="1558">
        <f t="shared" si="54"/>
        <v>0</v>
      </c>
      <c r="AJ139" s="1558">
        <f t="shared" si="54"/>
        <v>0</v>
      </c>
      <c r="AK139" s="1558">
        <f t="shared" si="54"/>
        <v>0</v>
      </c>
      <c r="AL139" s="1558">
        <f t="shared" si="54"/>
        <v>0</v>
      </c>
      <c r="AM139" s="1558">
        <f t="shared" si="54"/>
        <v>0</v>
      </c>
      <c r="AN139" s="1558">
        <f t="shared" si="54"/>
        <v>0</v>
      </c>
      <c r="AO139" s="1558">
        <f t="shared" si="54"/>
        <v>0</v>
      </c>
      <c r="AP139" s="1558">
        <f t="shared" si="54"/>
        <v>0</v>
      </c>
      <c r="AQ139" s="1558">
        <f t="shared" si="54"/>
        <v>0</v>
      </c>
      <c r="AR139" s="1558">
        <f t="shared" si="54"/>
        <v>0</v>
      </c>
      <c r="AS139" s="1558">
        <f t="shared" si="54"/>
        <v>0</v>
      </c>
      <c r="AT139" s="1558">
        <f t="shared" si="54"/>
        <v>0</v>
      </c>
      <c r="AU139" s="1558">
        <f t="shared" si="54"/>
        <v>0</v>
      </c>
      <c r="AV139" s="1558">
        <f t="shared" si="54"/>
        <v>0</v>
      </c>
      <c r="AW139" s="1558">
        <f t="shared" si="54"/>
        <v>0</v>
      </c>
      <c r="AX139" s="1558">
        <f t="shared" si="54"/>
        <v>0</v>
      </c>
      <c r="AY139" s="1558">
        <f t="shared" si="54"/>
        <v>0</v>
      </c>
      <c r="AZ139" s="1558">
        <f t="shared" si="54"/>
        <v>0</v>
      </c>
      <c r="BA139" s="1558">
        <f t="shared" si="54"/>
        <v>0</v>
      </c>
      <c r="BB139" s="1558">
        <f t="shared" si="54"/>
        <v>0</v>
      </c>
      <c r="BC139" s="1558">
        <f t="shared" si="54"/>
        <v>0</v>
      </c>
      <c r="BD139" s="1558">
        <f t="shared" si="54"/>
        <v>0</v>
      </c>
      <c r="BE139" s="1559">
        <f t="shared" si="54"/>
        <v>0</v>
      </c>
      <c r="BF139" s="695"/>
    </row>
    <row r="140" spans="1:58" x14ac:dyDescent="0.45">
      <c r="A140" s="695"/>
      <c r="B140" s="888" t="str">
        <f>B131</f>
        <v>Political Risk Insurance - Fees &amp; Annual Premium Payments</v>
      </c>
      <c r="C140" s="889"/>
      <c r="D140" s="889"/>
      <c r="E140" s="892"/>
      <c r="F140" s="892" t="s">
        <v>748</v>
      </c>
      <c r="G140" s="1558"/>
      <c r="H140" s="1558">
        <f>-H131</f>
        <v>0</v>
      </c>
      <c r="I140" s="1558">
        <f t="shared" ref="I140:BE140" si="55">-I131</f>
        <v>0</v>
      </c>
      <c r="J140" s="1558">
        <f t="shared" si="55"/>
        <v>0</v>
      </c>
      <c r="K140" s="1558">
        <f t="shared" si="55"/>
        <v>0</v>
      </c>
      <c r="L140" s="1558">
        <f t="shared" si="55"/>
        <v>0</v>
      </c>
      <c r="M140" s="1558">
        <f t="shared" si="55"/>
        <v>0</v>
      </c>
      <c r="N140" s="1558">
        <f t="shared" si="55"/>
        <v>0</v>
      </c>
      <c r="O140" s="1558">
        <f t="shared" si="55"/>
        <v>0</v>
      </c>
      <c r="P140" s="1558">
        <f t="shared" si="55"/>
        <v>0</v>
      </c>
      <c r="Q140" s="1558">
        <f t="shared" si="55"/>
        <v>0</v>
      </c>
      <c r="R140" s="1558">
        <f t="shared" si="55"/>
        <v>0</v>
      </c>
      <c r="S140" s="1558">
        <f t="shared" si="55"/>
        <v>0</v>
      </c>
      <c r="T140" s="1558">
        <f t="shared" si="55"/>
        <v>0</v>
      </c>
      <c r="U140" s="1558">
        <f t="shared" si="55"/>
        <v>0</v>
      </c>
      <c r="V140" s="1558">
        <f t="shared" si="55"/>
        <v>0</v>
      </c>
      <c r="W140" s="1558">
        <f t="shared" si="55"/>
        <v>0</v>
      </c>
      <c r="X140" s="1558">
        <f t="shared" si="55"/>
        <v>0</v>
      </c>
      <c r="Y140" s="1558">
        <f t="shared" si="55"/>
        <v>0</v>
      </c>
      <c r="Z140" s="1558">
        <f t="shared" si="55"/>
        <v>0</v>
      </c>
      <c r="AA140" s="1558">
        <f t="shared" si="55"/>
        <v>0</v>
      </c>
      <c r="AB140" s="1558">
        <f t="shared" si="55"/>
        <v>0</v>
      </c>
      <c r="AC140" s="1558">
        <f t="shared" si="55"/>
        <v>0</v>
      </c>
      <c r="AD140" s="1558">
        <f t="shared" si="55"/>
        <v>0</v>
      </c>
      <c r="AE140" s="1558">
        <f t="shared" si="55"/>
        <v>0</v>
      </c>
      <c r="AF140" s="1558">
        <f t="shared" si="55"/>
        <v>0</v>
      </c>
      <c r="AG140" s="1558">
        <f t="shared" si="55"/>
        <v>0</v>
      </c>
      <c r="AH140" s="1558">
        <f t="shared" si="55"/>
        <v>0</v>
      </c>
      <c r="AI140" s="1558">
        <f t="shared" si="55"/>
        <v>0</v>
      </c>
      <c r="AJ140" s="1558">
        <f t="shared" si="55"/>
        <v>0</v>
      </c>
      <c r="AK140" s="1558">
        <f t="shared" si="55"/>
        <v>0</v>
      </c>
      <c r="AL140" s="1558">
        <f t="shared" si="55"/>
        <v>0</v>
      </c>
      <c r="AM140" s="1558">
        <f t="shared" si="55"/>
        <v>0</v>
      </c>
      <c r="AN140" s="1558">
        <f t="shared" si="55"/>
        <v>0</v>
      </c>
      <c r="AO140" s="1558">
        <f t="shared" si="55"/>
        <v>0</v>
      </c>
      <c r="AP140" s="1558">
        <f t="shared" si="55"/>
        <v>0</v>
      </c>
      <c r="AQ140" s="1558">
        <f t="shared" si="55"/>
        <v>0</v>
      </c>
      <c r="AR140" s="1558">
        <f t="shared" si="55"/>
        <v>0</v>
      </c>
      <c r="AS140" s="1558">
        <f t="shared" si="55"/>
        <v>0</v>
      </c>
      <c r="AT140" s="1558">
        <f t="shared" si="55"/>
        <v>0</v>
      </c>
      <c r="AU140" s="1558">
        <f t="shared" si="55"/>
        <v>0</v>
      </c>
      <c r="AV140" s="1558">
        <f t="shared" si="55"/>
        <v>0</v>
      </c>
      <c r="AW140" s="1558">
        <f t="shared" si="55"/>
        <v>0</v>
      </c>
      <c r="AX140" s="1558">
        <f t="shared" si="55"/>
        <v>0</v>
      </c>
      <c r="AY140" s="1558">
        <f t="shared" si="55"/>
        <v>0</v>
      </c>
      <c r="AZ140" s="1558">
        <f t="shared" si="55"/>
        <v>0</v>
      </c>
      <c r="BA140" s="1558">
        <f t="shared" si="55"/>
        <v>0</v>
      </c>
      <c r="BB140" s="1558">
        <f t="shared" si="55"/>
        <v>0</v>
      </c>
      <c r="BC140" s="1558">
        <f t="shared" si="55"/>
        <v>0</v>
      </c>
      <c r="BD140" s="1558">
        <f t="shared" si="55"/>
        <v>0</v>
      </c>
      <c r="BE140" s="1559">
        <f t="shared" si="55"/>
        <v>0</v>
      </c>
      <c r="BF140" s="695"/>
    </row>
    <row r="141" spans="1:58" x14ac:dyDescent="0.45">
      <c r="A141" s="695"/>
      <c r="B141" s="888" t="s">
        <v>90</v>
      </c>
      <c r="C141" s="889"/>
      <c r="D141" s="889"/>
      <c r="E141" s="892"/>
      <c r="F141" s="892" t="s">
        <v>748</v>
      </c>
      <c r="G141" s="1558"/>
      <c r="H141" s="1558">
        <f>-(H458+H479+H500)</f>
        <v>0</v>
      </c>
      <c r="I141" s="1558">
        <f t="shared" ref="I141:BE141" si="56">-(I458+I479+I500)</f>
        <v>0</v>
      </c>
      <c r="J141" s="1558">
        <f t="shared" si="56"/>
        <v>0</v>
      </c>
      <c r="K141" s="1558">
        <f t="shared" si="56"/>
        <v>0</v>
      </c>
      <c r="L141" s="1558">
        <f t="shared" si="56"/>
        <v>0</v>
      </c>
      <c r="M141" s="1558">
        <f t="shared" si="56"/>
        <v>0</v>
      </c>
      <c r="N141" s="1558">
        <f t="shared" si="56"/>
        <v>0</v>
      </c>
      <c r="O141" s="1558">
        <f t="shared" si="56"/>
        <v>0</v>
      </c>
      <c r="P141" s="1558">
        <f t="shared" si="56"/>
        <v>0</v>
      </c>
      <c r="Q141" s="1558">
        <f t="shared" si="56"/>
        <v>0</v>
      </c>
      <c r="R141" s="1558">
        <f t="shared" si="56"/>
        <v>0</v>
      </c>
      <c r="S141" s="1558">
        <f t="shared" si="56"/>
        <v>0</v>
      </c>
      <c r="T141" s="1558">
        <f t="shared" si="56"/>
        <v>0</v>
      </c>
      <c r="U141" s="1558">
        <f t="shared" si="56"/>
        <v>0</v>
      </c>
      <c r="V141" s="1558">
        <f t="shared" si="56"/>
        <v>0</v>
      </c>
      <c r="W141" s="1558">
        <f t="shared" si="56"/>
        <v>0</v>
      </c>
      <c r="X141" s="1558">
        <f t="shared" si="56"/>
        <v>0</v>
      </c>
      <c r="Y141" s="1558">
        <f t="shared" si="56"/>
        <v>0</v>
      </c>
      <c r="Z141" s="1558">
        <f t="shared" si="56"/>
        <v>0</v>
      </c>
      <c r="AA141" s="1558">
        <f t="shared" si="56"/>
        <v>0</v>
      </c>
      <c r="AB141" s="1558">
        <f t="shared" si="56"/>
        <v>0</v>
      </c>
      <c r="AC141" s="1558">
        <f t="shared" si="56"/>
        <v>0</v>
      </c>
      <c r="AD141" s="1558">
        <f t="shared" si="56"/>
        <v>0</v>
      </c>
      <c r="AE141" s="1558">
        <f t="shared" si="56"/>
        <v>0</v>
      </c>
      <c r="AF141" s="1558">
        <f t="shared" si="56"/>
        <v>0</v>
      </c>
      <c r="AG141" s="1558">
        <f t="shared" si="56"/>
        <v>0</v>
      </c>
      <c r="AH141" s="1558">
        <f t="shared" si="56"/>
        <v>0</v>
      </c>
      <c r="AI141" s="1558">
        <f t="shared" si="56"/>
        <v>0</v>
      </c>
      <c r="AJ141" s="1558">
        <f t="shared" si="56"/>
        <v>0</v>
      </c>
      <c r="AK141" s="1558">
        <f t="shared" si="56"/>
        <v>0</v>
      </c>
      <c r="AL141" s="1558">
        <f t="shared" si="56"/>
        <v>0</v>
      </c>
      <c r="AM141" s="1558">
        <f t="shared" si="56"/>
        <v>0</v>
      </c>
      <c r="AN141" s="1558">
        <f t="shared" si="56"/>
        <v>0</v>
      </c>
      <c r="AO141" s="1558">
        <f t="shared" si="56"/>
        <v>0</v>
      </c>
      <c r="AP141" s="1558">
        <f t="shared" si="56"/>
        <v>0</v>
      </c>
      <c r="AQ141" s="1558">
        <f t="shared" si="56"/>
        <v>0</v>
      </c>
      <c r="AR141" s="1558">
        <f t="shared" si="56"/>
        <v>0</v>
      </c>
      <c r="AS141" s="1558">
        <f t="shared" si="56"/>
        <v>0</v>
      </c>
      <c r="AT141" s="1558">
        <f t="shared" si="56"/>
        <v>0</v>
      </c>
      <c r="AU141" s="1558">
        <f t="shared" si="56"/>
        <v>0</v>
      </c>
      <c r="AV141" s="1558">
        <f t="shared" si="56"/>
        <v>0</v>
      </c>
      <c r="AW141" s="1558">
        <f t="shared" si="56"/>
        <v>0</v>
      </c>
      <c r="AX141" s="1558">
        <f t="shared" si="56"/>
        <v>0</v>
      </c>
      <c r="AY141" s="1558">
        <f t="shared" si="56"/>
        <v>0</v>
      </c>
      <c r="AZ141" s="1558">
        <f t="shared" si="56"/>
        <v>0</v>
      </c>
      <c r="BA141" s="1558">
        <f t="shared" si="56"/>
        <v>0</v>
      </c>
      <c r="BB141" s="1558">
        <f t="shared" si="56"/>
        <v>0</v>
      </c>
      <c r="BC141" s="1558">
        <f t="shared" si="56"/>
        <v>0</v>
      </c>
      <c r="BD141" s="1558">
        <f t="shared" si="56"/>
        <v>0</v>
      </c>
      <c r="BE141" s="1559">
        <f t="shared" si="56"/>
        <v>0</v>
      </c>
      <c r="BF141" s="695"/>
    </row>
    <row r="142" spans="1:58" x14ac:dyDescent="0.45">
      <c r="A142" s="695"/>
      <c r="B142" s="904" t="s">
        <v>91</v>
      </c>
      <c r="C142" s="896"/>
      <c r="D142" s="896"/>
      <c r="E142" s="897"/>
      <c r="F142" s="897" t="s">
        <v>748</v>
      </c>
      <c r="G142" s="1560"/>
      <c r="H142" s="1560">
        <f>(H115+H122+H124+H129+H130+H131+H126+H127+H128)*'II. Inputs, Baseline Energy Mix'!$P$23</f>
        <v>0</v>
      </c>
      <c r="I142" s="1560">
        <f>(I115+I122+I124+I129+I130+I131+I126+I127+I128)*'II. Inputs, Baseline Energy Mix'!$P$23</f>
        <v>0</v>
      </c>
      <c r="J142" s="1560">
        <f>(J115+J122+J124+J129+J130+J131+J126+J127+J128)*'II. Inputs, Baseline Energy Mix'!$P$23</f>
        <v>0</v>
      </c>
      <c r="K142" s="1560">
        <f>(K115+K122+K124+K129+K130+K131+K126+K127+K128)*'II. Inputs, Baseline Energy Mix'!$P$23</f>
        <v>0</v>
      </c>
      <c r="L142" s="1560">
        <f>(L115+L122+L124+L129+L130+L131+L126+L127+L128)*'II. Inputs, Baseline Energy Mix'!$P$23</f>
        <v>0</v>
      </c>
      <c r="M142" s="1560">
        <f>(M115+M122+M124+M129+M130+M131+M126+M127+M128)*'II. Inputs, Baseline Energy Mix'!$P$23</f>
        <v>0</v>
      </c>
      <c r="N142" s="1560">
        <f>(N115+N122+N124+N129+N130+N131+N126+N127+N128)*'II. Inputs, Baseline Energy Mix'!$P$23</f>
        <v>0</v>
      </c>
      <c r="O142" s="1560">
        <f>(O115+O122+O124+O129+O130+O131+O126+O127+O128)*'II. Inputs, Baseline Energy Mix'!$P$23</f>
        <v>0</v>
      </c>
      <c r="P142" s="1560">
        <f>(P115+P122+P124+P129+P130+P131+P126+P127+P128)*'II. Inputs, Baseline Energy Mix'!$P$23</f>
        <v>0</v>
      </c>
      <c r="Q142" s="1560">
        <f>(Q115+Q122+Q124+Q129+Q130+Q131+Q126+Q127+Q128)*'II. Inputs, Baseline Energy Mix'!$P$23</f>
        <v>0</v>
      </c>
      <c r="R142" s="1560">
        <f>(R115+R122+R124+R129+R130+R131+R126+R127+R128)*'II. Inputs, Baseline Energy Mix'!$P$23</f>
        <v>0</v>
      </c>
      <c r="S142" s="1560">
        <f>(S115+S122+S124+S129+S130+S131+S126+S127+S128)*'II. Inputs, Baseline Energy Mix'!$P$23</f>
        <v>0</v>
      </c>
      <c r="T142" s="1560">
        <f>(T115+T122+T124+T129+T130+T131+T126+T127+T128)*'II. Inputs, Baseline Energy Mix'!$P$23</f>
        <v>0</v>
      </c>
      <c r="U142" s="1560">
        <f>(U115+U122+U124+U129+U130+U131+U126+U127+U128)*'II. Inputs, Baseline Energy Mix'!$P$23</f>
        <v>0</v>
      </c>
      <c r="V142" s="1560">
        <f>(V115+V122+V124+V129+V130+V131+V126+V127+V128)*'II. Inputs, Baseline Energy Mix'!$P$23</f>
        <v>0</v>
      </c>
      <c r="W142" s="1560">
        <f>(W115+W122+W124+W129+W130+W131+W126+W127+W128)*'II. Inputs, Baseline Energy Mix'!$P$23</f>
        <v>0</v>
      </c>
      <c r="X142" s="1560">
        <f>(X115+X122+X124+X129+X130+X131+X126+X127+X128)*'II. Inputs, Baseline Energy Mix'!$P$23</f>
        <v>0</v>
      </c>
      <c r="Y142" s="1560">
        <f>(Y115+Y122+Y124+Y129+Y130+Y131+Y126+Y127+Y128)*'II. Inputs, Baseline Energy Mix'!$P$23</f>
        <v>0</v>
      </c>
      <c r="Z142" s="1560">
        <f>(Z115+Z122+Z124+Z129+Z130+Z131+Z126+Z127+Z128)*'II. Inputs, Baseline Energy Mix'!$P$23</f>
        <v>0</v>
      </c>
      <c r="AA142" s="1560">
        <f>(AA115+AA122+AA124+AA129+AA130+AA131+AA126+AA127+AA128)*'II. Inputs, Baseline Energy Mix'!$P$23</f>
        <v>0</v>
      </c>
      <c r="AB142" s="1560">
        <f>(AB115+AB122+AB124+AB129+AB130+AB131+AB126+AB127+AB128)*'II. Inputs, Baseline Energy Mix'!$P$23</f>
        <v>0</v>
      </c>
      <c r="AC142" s="1560">
        <f>(AC115+AC122+AC124+AC129+AC130+AC131+AC126+AC127+AC128)*'II. Inputs, Baseline Energy Mix'!$P$23</f>
        <v>0</v>
      </c>
      <c r="AD142" s="1560">
        <f>(AD115+AD122+AD124+AD129+AD130+AD131+AD126+AD127+AD128)*'II. Inputs, Baseline Energy Mix'!$P$23</f>
        <v>0</v>
      </c>
      <c r="AE142" s="1560">
        <f>(AE115+AE122+AE124+AE129+AE130+AE131+AE126+AE127+AE128)*'II. Inputs, Baseline Energy Mix'!$P$23</f>
        <v>0</v>
      </c>
      <c r="AF142" s="1560">
        <f>(AF115+AF122+AF124+AF129+AF130+AF131+AF126+AF127+AF128)*'II. Inputs, Baseline Energy Mix'!$P$23</f>
        <v>0</v>
      </c>
      <c r="AG142" s="1560">
        <f>(AG115+AG122+AG124+AG129+AG130+AG131+AG126+AG127+AG128)*'II. Inputs, Baseline Energy Mix'!$P$23</f>
        <v>0</v>
      </c>
      <c r="AH142" s="1560">
        <f>(AH115+AH122+AH124+AH129+AH130+AH131+AH126+AH127+AH128)*'II. Inputs, Baseline Energy Mix'!$P$23</f>
        <v>0</v>
      </c>
      <c r="AI142" s="1560">
        <f>(AI115+AI122+AI124+AI129+AI130+AI131+AI126+AI127+AI128)*'II. Inputs, Baseline Energy Mix'!$P$23</f>
        <v>0</v>
      </c>
      <c r="AJ142" s="1560">
        <f>(AJ115+AJ122+AJ124+AJ129+AJ130+AJ131+AJ126+AJ127+AJ128)*'II. Inputs, Baseline Energy Mix'!$P$23</f>
        <v>0</v>
      </c>
      <c r="AK142" s="1560">
        <f>(AK115+AK122+AK124+AK129+AK130+AK131+AK126+AK127+AK128)*'II. Inputs, Baseline Energy Mix'!$P$23</f>
        <v>0</v>
      </c>
      <c r="AL142" s="1560">
        <f>(AL115+AL122+AL124+AL129+AL130+AL131+AL126+AL127+AL128)*'II. Inputs, Baseline Energy Mix'!$P$23</f>
        <v>0</v>
      </c>
      <c r="AM142" s="1560">
        <f>(AM115+AM122+AM124+AM129+AM130+AM131+AM126+AM127+AM128)*'II. Inputs, Baseline Energy Mix'!$P$23</f>
        <v>0</v>
      </c>
      <c r="AN142" s="1560">
        <f>(AN115+AN122+AN124+AN129+AN130+AN131+AN126+AN127+AN128)*'II. Inputs, Baseline Energy Mix'!$P$23</f>
        <v>0</v>
      </c>
      <c r="AO142" s="1560">
        <f>(AO115+AO122+AO124+AO129+AO130+AO131+AO126+AO127+AO128)*'II. Inputs, Baseline Energy Mix'!$P$23</f>
        <v>0</v>
      </c>
      <c r="AP142" s="1560">
        <f>(AP115+AP122+AP124+AP129+AP130+AP131+AP126+AP127+AP128)*'II. Inputs, Baseline Energy Mix'!$P$23</f>
        <v>0</v>
      </c>
      <c r="AQ142" s="1560">
        <f>(AQ115+AQ122+AQ124+AQ129+AQ130+AQ131+AQ126+AQ127+AQ128)*'II. Inputs, Baseline Energy Mix'!$P$23</f>
        <v>0</v>
      </c>
      <c r="AR142" s="1560">
        <f>(AR115+AR122+AR124+AR129+AR130+AR131+AR126+AR127+AR128)*'II. Inputs, Baseline Energy Mix'!$P$23</f>
        <v>0</v>
      </c>
      <c r="AS142" s="1560">
        <f>(AS115+AS122+AS124+AS129+AS130+AS131+AS126+AS127+AS128)*'II. Inputs, Baseline Energy Mix'!$P$23</f>
        <v>0</v>
      </c>
      <c r="AT142" s="1560">
        <f>(AT115+AT122+AT124+AT129+AT130+AT131+AT126+AT127+AT128)*'II. Inputs, Baseline Energy Mix'!$P$23</f>
        <v>0</v>
      </c>
      <c r="AU142" s="1560">
        <f>(AU115+AU122+AU124+AU129+AU130+AU131+AU126+AU127+AU128)*'II. Inputs, Baseline Energy Mix'!$P$23</f>
        <v>0</v>
      </c>
      <c r="AV142" s="1560">
        <f>(AV115+AV122+AV124+AV129+AV130+AV131+AV126+AV127+AV128)*'II. Inputs, Baseline Energy Mix'!$P$23</f>
        <v>0</v>
      </c>
      <c r="AW142" s="1560">
        <f>(AW115+AW122+AW124+AW129+AW130+AW131+AW126+AW127+AW128)*'II. Inputs, Baseline Energy Mix'!$P$23</f>
        <v>0</v>
      </c>
      <c r="AX142" s="1560">
        <f>(AX115+AX122+AX124+AX129+AX130+AX131+AX126+AX127+AX128)*'II. Inputs, Baseline Energy Mix'!$P$23</f>
        <v>0</v>
      </c>
      <c r="AY142" s="1560">
        <f>(AY115+AY122+AY124+AY129+AY130+AY131+AY126+AY127+AY128)*'II. Inputs, Baseline Energy Mix'!$P$23</f>
        <v>0</v>
      </c>
      <c r="AZ142" s="1560">
        <f>(AZ115+AZ122+AZ124+AZ129+AZ130+AZ131+AZ126+AZ127+AZ128)*'II. Inputs, Baseline Energy Mix'!$P$23</f>
        <v>0</v>
      </c>
      <c r="BA142" s="1560">
        <f>(BA115+BA122+BA124+BA129+BA130+BA131+BA126+BA127+BA128)*'II. Inputs, Baseline Energy Mix'!$P$23</f>
        <v>0</v>
      </c>
      <c r="BB142" s="1560">
        <f>(BB115+BB122+BB124+BB129+BB130+BB131+BB126+BB127+BB128)*'II. Inputs, Baseline Energy Mix'!$P$23</f>
        <v>0</v>
      </c>
      <c r="BC142" s="1560">
        <f>(BC115+BC122+BC124+BC129+BC130+BC131+BC126+BC127+BC128)*'II. Inputs, Baseline Energy Mix'!$P$23</f>
        <v>0</v>
      </c>
      <c r="BD142" s="1560">
        <f>(BD115+BD122+BD124+BD129+BD130+BD131+BD126+BD127+BD128)*'II. Inputs, Baseline Energy Mix'!$P$23</f>
        <v>0</v>
      </c>
      <c r="BE142" s="1561">
        <f>(BE115+BE122+BE124+BE129+BE130+BE131+BE126+BE127+BE128)*'II. Inputs, Baseline Energy Mix'!$P$23</f>
        <v>0</v>
      </c>
      <c r="BF142" s="695"/>
    </row>
    <row r="143" spans="1:58" x14ac:dyDescent="0.45">
      <c r="A143" s="695"/>
      <c r="B143" s="888" t="s">
        <v>92</v>
      </c>
      <c r="C143" s="889"/>
      <c r="D143" s="889"/>
      <c r="E143" s="892"/>
      <c r="F143" s="892" t="s">
        <v>748</v>
      </c>
      <c r="G143" s="1558">
        <f>-IF('II. Inputs, Baseline Energy Mix'!$P$19&gt;0, 'II. Inputs, Baseline Energy Mix'!$P$20*'II. Inputs, Baseline Energy Mix'!$P$21*'II. Inputs, Baseline Energy Mix'!$P$35,0)</f>
        <v>0</v>
      </c>
      <c r="H143" s="1558">
        <f t="shared" ref="H143:AM143" si="57">SUM(H136:H142)</f>
        <v>0</v>
      </c>
      <c r="I143" s="1558">
        <f t="shared" si="57"/>
        <v>0</v>
      </c>
      <c r="J143" s="1558">
        <f t="shared" si="57"/>
        <v>0</v>
      </c>
      <c r="K143" s="1558">
        <f t="shared" si="57"/>
        <v>0</v>
      </c>
      <c r="L143" s="1558">
        <f t="shared" si="57"/>
        <v>0</v>
      </c>
      <c r="M143" s="1558">
        <f t="shared" si="57"/>
        <v>0</v>
      </c>
      <c r="N143" s="1558">
        <f t="shared" si="57"/>
        <v>0</v>
      </c>
      <c r="O143" s="1558">
        <f t="shared" si="57"/>
        <v>0</v>
      </c>
      <c r="P143" s="1558">
        <f t="shared" si="57"/>
        <v>0</v>
      </c>
      <c r="Q143" s="1558">
        <f t="shared" si="57"/>
        <v>0</v>
      </c>
      <c r="R143" s="1558">
        <f t="shared" si="57"/>
        <v>0</v>
      </c>
      <c r="S143" s="1558">
        <f t="shared" si="57"/>
        <v>0</v>
      </c>
      <c r="T143" s="1558">
        <f t="shared" si="57"/>
        <v>0</v>
      </c>
      <c r="U143" s="1558">
        <f t="shared" si="57"/>
        <v>0</v>
      </c>
      <c r="V143" s="1558">
        <f t="shared" si="57"/>
        <v>0</v>
      </c>
      <c r="W143" s="1558">
        <f t="shared" si="57"/>
        <v>0</v>
      </c>
      <c r="X143" s="1558">
        <f t="shared" si="57"/>
        <v>0</v>
      </c>
      <c r="Y143" s="1558">
        <f t="shared" si="57"/>
        <v>0</v>
      </c>
      <c r="Z143" s="1558">
        <f t="shared" si="57"/>
        <v>0</v>
      </c>
      <c r="AA143" s="1558">
        <f t="shared" si="57"/>
        <v>0</v>
      </c>
      <c r="AB143" s="1558">
        <f t="shared" si="57"/>
        <v>0</v>
      </c>
      <c r="AC143" s="1558">
        <f t="shared" si="57"/>
        <v>0</v>
      </c>
      <c r="AD143" s="1558">
        <f t="shared" si="57"/>
        <v>0</v>
      </c>
      <c r="AE143" s="1558">
        <f t="shared" si="57"/>
        <v>0</v>
      </c>
      <c r="AF143" s="1558">
        <f t="shared" si="57"/>
        <v>0</v>
      </c>
      <c r="AG143" s="1558">
        <f t="shared" si="57"/>
        <v>0</v>
      </c>
      <c r="AH143" s="1558">
        <f t="shared" si="57"/>
        <v>0</v>
      </c>
      <c r="AI143" s="1558">
        <f t="shared" si="57"/>
        <v>0</v>
      </c>
      <c r="AJ143" s="1558">
        <f t="shared" si="57"/>
        <v>0</v>
      </c>
      <c r="AK143" s="1558">
        <f t="shared" si="57"/>
        <v>0</v>
      </c>
      <c r="AL143" s="1558">
        <f t="shared" si="57"/>
        <v>0</v>
      </c>
      <c r="AM143" s="1558">
        <f t="shared" si="57"/>
        <v>0</v>
      </c>
      <c r="AN143" s="1558">
        <f t="shared" ref="AN143:BE143" si="58">SUM(AN136:AN142)</f>
        <v>0</v>
      </c>
      <c r="AO143" s="1558">
        <f t="shared" si="58"/>
        <v>0</v>
      </c>
      <c r="AP143" s="1558">
        <f t="shared" si="58"/>
        <v>0</v>
      </c>
      <c r="AQ143" s="1558">
        <f t="shared" si="58"/>
        <v>0</v>
      </c>
      <c r="AR143" s="1558">
        <f t="shared" si="58"/>
        <v>0</v>
      </c>
      <c r="AS143" s="1558">
        <f t="shared" si="58"/>
        <v>0</v>
      </c>
      <c r="AT143" s="1558">
        <f t="shared" si="58"/>
        <v>0</v>
      </c>
      <c r="AU143" s="1558">
        <f t="shared" si="58"/>
        <v>0</v>
      </c>
      <c r="AV143" s="1558">
        <f t="shared" si="58"/>
        <v>0</v>
      </c>
      <c r="AW143" s="1558">
        <f t="shared" si="58"/>
        <v>0</v>
      </c>
      <c r="AX143" s="1558">
        <f t="shared" si="58"/>
        <v>0</v>
      </c>
      <c r="AY143" s="1558">
        <f t="shared" si="58"/>
        <v>0</v>
      </c>
      <c r="AZ143" s="1558">
        <f t="shared" si="58"/>
        <v>0</v>
      </c>
      <c r="BA143" s="1558">
        <f t="shared" si="58"/>
        <v>0</v>
      </c>
      <c r="BB143" s="1558">
        <f t="shared" si="58"/>
        <v>0</v>
      </c>
      <c r="BC143" s="1558">
        <f t="shared" si="58"/>
        <v>0</v>
      </c>
      <c r="BD143" s="1558">
        <f t="shared" si="58"/>
        <v>0</v>
      </c>
      <c r="BE143" s="1559">
        <f t="shared" si="58"/>
        <v>0</v>
      </c>
      <c r="BF143" s="695"/>
    </row>
    <row r="144" spans="1:58" x14ac:dyDescent="0.45">
      <c r="A144" s="695"/>
      <c r="B144" s="888"/>
      <c r="C144" s="889"/>
      <c r="D144" s="889"/>
      <c r="E144" s="892"/>
      <c r="F144" s="889"/>
      <c r="G144" s="889"/>
      <c r="H144" s="905"/>
      <c r="I144" s="905"/>
      <c r="J144" s="905"/>
      <c r="K144" s="905"/>
      <c r="L144" s="905"/>
      <c r="M144" s="905"/>
      <c r="N144" s="905"/>
      <c r="O144" s="905"/>
      <c r="P144" s="905"/>
      <c r="Q144" s="905"/>
      <c r="R144" s="905"/>
      <c r="S144" s="905"/>
      <c r="T144" s="905"/>
      <c r="U144" s="905"/>
      <c r="V144" s="905"/>
      <c r="W144" s="905"/>
      <c r="X144" s="905"/>
      <c r="Y144" s="905"/>
      <c r="Z144" s="905"/>
      <c r="AA144" s="905"/>
      <c r="AB144" s="905"/>
      <c r="AC144" s="905"/>
      <c r="AD144" s="905"/>
      <c r="AE144" s="905"/>
      <c r="AF144" s="905"/>
      <c r="AG144" s="905"/>
      <c r="AH144" s="905"/>
      <c r="AI144" s="905"/>
      <c r="AJ144" s="905"/>
      <c r="AK144" s="905"/>
      <c r="AL144" s="905"/>
      <c r="AM144" s="905"/>
      <c r="AN144" s="905"/>
      <c r="AO144" s="905"/>
      <c r="AP144" s="905"/>
      <c r="AQ144" s="905"/>
      <c r="AR144" s="905"/>
      <c r="AS144" s="905"/>
      <c r="AT144" s="905"/>
      <c r="AU144" s="905"/>
      <c r="AV144" s="905"/>
      <c r="AW144" s="905"/>
      <c r="AX144" s="905"/>
      <c r="AY144" s="905"/>
      <c r="AZ144" s="905"/>
      <c r="BA144" s="905"/>
      <c r="BB144" s="905"/>
      <c r="BC144" s="905"/>
      <c r="BD144" s="905"/>
      <c r="BE144" s="906"/>
      <c r="BF144" s="695"/>
    </row>
    <row r="145" spans="1:58" x14ac:dyDescent="0.45">
      <c r="A145" s="695"/>
      <c r="B145" s="888" t="s">
        <v>93</v>
      </c>
      <c r="C145" s="889"/>
      <c r="D145" s="889"/>
      <c r="E145" s="892"/>
      <c r="F145" s="889"/>
      <c r="G145" s="907">
        <f>'II. Inputs, Baseline Energy Mix'!$P$43</f>
        <v>0</v>
      </c>
      <c r="H145" s="889"/>
      <c r="I145" s="1558"/>
      <c r="J145" s="889"/>
      <c r="K145" s="889"/>
      <c r="L145" s="889"/>
      <c r="M145" s="889"/>
      <c r="N145" s="889"/>
      <c r="O145" s="889"/>
      <c r="P145" s="889"/>
      <c r="Q145" s="889"/>
      <c r="R145" s="889"/>
      <c r="S145" s="889"/>
      <c r="T145" s="889"/>
      <c r="U145" s="889"/>
      <c r="V145" s="889"/>
      <c r="W145" s="889"/>
      <c r="X145" s="889"/>
      <c r="Y145" s="889"/>
      <c r="Z145" s="889"/>
      <c r="AA145" s="889"/>
      <c r="AB145" s="889"/>
      <c r="AC145" s="889"/>
      <c r="AD145" s="889"/>
      <c r="AE145" s="889"/>
      <c r="AF145" s="889"/>
      <c r="AG145" s="889"/>
      <c r="AH145" s="889"/>
      <c r="AI145" s="889"/>
      <c r="AJ145" s="889"/>
      <c r="AK145" s="889"/>
      <c r="AL145" s="889"/>
      <c r="AM145" s="889"/>
      <c r="AN145" s="889"/>
      <c r="AO145" s="889"/>
      <c r="AP145" s="889"/>
      <c r="AQ145" s="889"/>
      <c r="AR145" s="889"/>
      <c r="AS145" s="889"/>
      <c r="AT145" s="889"/>
      <c r="AU145" s="889"/>
      <c r="AV145" s="889"/>
      <c r="AW145" s="889"/>
      <c r="AX145" s="889"/>
      <c r="AY145" s="889"/>
      <c r="AZ145" s="889"/>
      <c r="BA145" s="889"/>
      <c r="BB145" s="889"/>
      <c r="BC145" s="889"/>
      <c r="BD145" s="889"/>
      <c r="BE145" s="890"/>
      <c r="BF145" s="695"/>
    </row>
    <row r="146" spans="1:58" x14ac:dyDescent="0.45">
      <c r="A146" s="695"/>
      <c r="B146" s="888" t="s">
        <v>94</v>
      </c>
      <c r="C146" s="889"/>
      <c r="D146" s="889"/>
      <c r="E146" s="892"/>
      <c r="F146" s="889"/>
      <c r="G146" s="1562">
        <f>IF(G145="NA", "NA", NPV(G145,H143:BE143)+G143)</f>
        <v>0</v>
      </c>
      <c r="H146" s="889"/>
      <c r="I146" s="1558"/>
      <c r="J146" s="889"/>
      <c r="K146" s="889"/>
      <c r="L146" s="889"/>
      <c r="M146" s="889"/>
      <c r="N146" s="889"/>
      <c r="O146" s="889"/>
      <c r="P146" s="889"/>
      <c r="Q146" s="889"/>
      <c r="R146" s="889"/>
      <c r="S146" s="889"/>
      <c r="T146" s="889"/>
      <c r="U146" s="889"/>
      <c r="V146" s="889"/>
      <c r="W146" s="889"/>
      <c r="X146" s="889"/>
      <c r="Y146" s="889"/>
      <c r="Z146" s="889"/>
      <c r="AA146" s="889"/>
      <c r="AB146" s="889"/>
      <c r="AC146" s="889"/>
      <c r="AD146" s="889"/>
      <c r="AE146" s="889"/>
      <c r="AF146" s="889"/>
      <c r="AG146" s="889"/>
      <c r="AH146" s="889"/>
      <c r="AI146" s="889"/>
      <c r="AJ146" s="889"/>
      <c r="AK146" s="889"/>
      <c r="AL146" s="889"/>
      <c r="AM146" s="889"/>
      <c r="AN146" s="889"/>
      <c r="AO146" s="889"/>
      <c r="AP146" s="889"/>
      <c r="AQ146" s="889"/>
      <c r="AR146" s="889"/>
      <c r="AS146" s="889"/>
      <c r="AT146" s="889"/>
      <c r="AU146" s="889"/>
      <c r="AV146" s="889"/>
      <c r="AW146" s="889"/>
      <c r="AX146" s="889"/>
      <c r="AY146" s="889"/>
      <c r="AZ146" s="889"/>
      <c r="BA146" s="889"/>
      <c r="BB146" s="889"/>
      <c r="BC146" s="889"/>
      <c r="BD146" s="889"/>
      <c r="BE146" s="890"/>
      <c r="BF146" s="695"/>
    </row>
    <row r="147" spans="1:58" x14ac:dyDescent="0.45">
      <c r="A147" s="695"/>
      <c r="B147" s="888" t="s">
        <v>459</v>
      </c>
      <c r="C147" s="889"/>
      <c r="D147" s="889"/>
      <c r="E147" s="892"/>
      <c r="F147" s="889"/>
      <c r="G147" s="908">
        <f>IF(G145="NA", "NA", -NPV(G145,H111:BE111))</f>
        <v>0</v>
      </c>
      <c r="H147" s="889"/>
      <c r="I147" s="1558"/>
      <c r="J147" s="889"/>
      <c r="K147" s="889"/>
      <c r="L147" s="889"/>
      <c r="M147" s="889"/>
      <c r="N147" s="889"/>
      <c r="O147" s="889"/>
      <c r="P147" s="889"/>
      <c r="Q147" s="889"/>
      <c r="R147" s="889"/>
      <c r="S147" s="889"/>
      <c r="T147" s="889"/>
      <c r="U147" s="889"/>
      <c r="V147" s="889"/>
      <c r="W147" s="889"/>
      <c r="X147" s="889"/>
      <c r="Y147" s="889"/>
      <c r="Z147" s="889"/>
      <c r="AA147" s="889"/>
      <c r="AB147" s="889"/>
      <c r="AC147" s="889"/>
      <c r="AD147" s="889"/>
      <c r="AE147" s="889"/>
      <c r="AF147" s="889"/>
      <c r="AG147" s="889"/>
      <c r="AH147" s="889"/>
      <c r="AI147" s="889"/>
      <c r="AJ147" s="889"/>
      <c r="AK147" s="889"/>
      <c r="AL147" s="889"/>
      <c r="AM147" s="889"/>
      <c r="AN147" s="889"/>
      <c r="AO147" s="889"/>
      <c r="AP147" s="889"/>
      <c r="AQ147" s="889"/>
      <c r="AR147" s="889"/>
      <c r="AS147" s="889"/>
      <c r="AT147" s="889"/>
      <c r="AU147" s="889"/>
      <c r="AV147" s="889"/>
      <c r="AW147" s="889"/>
      <c r="AX147" s="889"/>
      <c r="AY147" s="889"/>
      <c r="AZ147" s="889"/>
      <c r="BA147" s="889"/>
      <c r="BB147" s="889"/>
      <c r="BC147" s="889"/>
      <c r="BD147" s="889"/>
      <c r="BE147" s="890"/>
      <c r="BF147" s="695"/>
    </row>
    <row r="148" spans="1:58" ht="13.15" thickBot="1" x14ac:dyDescent="0.5">
      <c r="A148" s="695"/>
      <c r="B148" s="888" t="s">
        <v>96</v>
      </c>
      <c r="C148" s="889"/>
      <c r="D148" s="889"/>
      <c r="E148" s="892"/>
      <c r="F148" s="892" t="s">
        <v>749</v>
      </c>
      <c r="G148" s="1780" t="str">
        <f>IF(OR(G147=0,G145="NA"), "NA", G146/G147)</f>
        <v>NA</v>
      </c>
      <c r="H148" s="889"/>
      <c r="I148" s="1558"/>
      <c r="J148" s="889"/>
      <c r="K148" s="889"/>
      <c r="L148" s="889"/>
      <c r="M148" s="889"/>
      <c r="N148" s="889"/>
      <c r="O148" s="889"/>
      <c r="P148" s="889"/>
      <c r="Q148" s="889"/>
      <c r="R148" s="889"/>
      <c r="S148" s="889"/>
      <c r="T148" s="889"/>
      <c r="U148" s="889"/>
      <c r="V148" s="889"/>
      <c r="W148" s="889"/>
      <c r="X148" s="889"/>
      <c r="Y148" s="889"/>
      <c r="Z148" s="889"/>
      <c r="AA148" s="889"/>
      <c r="AB148" s="889"/>
      <c r="AC148" s="889"/>
      <c r="AD148" s="889"/>
      <c r="AE148" s="889"/>
      <c r="AF148" s="889"/>
      <c r="AG148" s="889"/>
      <c r="AH148" s="889"/>
      <c r="AI148" s="889"/>
      <c r="AJ148" s="889"/>
      <c r="AK148" s="889"/>
      <c r="AL148" s="889"/>
      <c r="AM148" s="889"/>
      <c r="AN148" s="889"/>
      <c r="AO148" s="889"/>
      <c r="AP148" s="889"/>
      <c r="AQ148" s="889"/>
      <c r="AR148" s="889"/>
      <c r="AS148" s="889"/>
      <c r="AT148" s="889"/>
      <c r="AU148" s="889"/>
      <c r="AV148" s="889"/>
      <c r="AW148" s="889"/>
      <c r="AX148" s="889"/>
      <c r="AY148" s="889"/>
      <c r="AZ148" s="889"/>
      <c r="BA148" s="889"/>
      <c r="BB148" s="889"/>
      <c r="BC148" s="889"/>
      <c r="BD148" s="889"/>
      <c r="BE148" s="890"/>
      <c r="BF148" s="695"/>
    </row>
    <row r="149" spans="1:58" ht="13.5" thickBot="1" x14ac:dyDescent="0.5">
      <c r="A149" s="695"/>
      <c r="B149" s="909" t="s">
        <v>97</v>
      </c>
      <c r="C149" s="910"/>
      <c r="D149" s="910"/>
      <c r="E149" s="911"/>
      <c r="F149" s="911" t="s">
        <v>749</v>
      </c>
      <c r="G149" s="1781" t="str">
        <f>IF(G148="NA", "NA", $G$148/(1-'II. Inputs, Baseline Energy Mix'!$P$23))</f>
        <v>NA</v>
      </c>
      <c r="H149" s="889"/>
      <c r="I149" s="1558"/>
      <c r="J149" s="889"/>
      <c r="K149" s="889"/>
      <c r="L149" s="889"/>
      <c r="M149" s="889"/>
      <c r="N149" s="889"/>
      <c r="O149" s="889"/>
      <c r="P149" s="889"/>
      <c r="Q149" s="889"/>
      <c r="R149" s="889"/>
      <c r="S149" s="889"/>
      <c r="T149" s="889"/>
      <c r="U149" s="889"/>
      <c r="V149" s="889"/>
      <c r="W149" s="889"/>
      <c r="X149" s="889"/>
      <c r="Y149" s="889"/>
      <c r="Z149" s="889"/>
      <c r="AA149" s="889"/>
      <c r="AB149" s="889"/>
      <c r="AC149" s="889"/>
      <c r="AD149" s="889"/>
      <c r="AE149" s="889"/>
      <c r="AF149" s="889"/>
      <c r="AG149" s="889"/>
      <c r="AH149" s="889"/>
      <c r="AI149" s="889"/>
      <c r="AJ149" s="889"/>
      <c r="AK149" s="889"/>
      <c r="AL149" s="889"/>
      <c r="AM149" s="889"/>
      <c r="AN149" s="889"/>
      <c r="AO149" s="889"/>
      <c r="AP149" s="889"/>
      <c r="AQ149" s="889"/>
      <c r="AR149" s="889"/>
      <c r="AS149" s="889"/>
      <c r="AT149" s="889"/>
      <c r="AU149" s="889"/>
      <c r="AV149" s="889"/>
      <c r="AW149" s="889"/>
      <c r="AX149" s="889"/>
      <c r="AY149" s="889"/>
      <c r="AZ149" s="889"/>
      <c r="BA149" s="889"/>
      <c r="BB149" s="889"/>
      <c r="BC149" s="889"/>
      <c r="BD149" s="889"/>
      <c r="BE149" s="890"/>
      <c r="BF149" s="695"/>
    </row>
    <row r="150" spans="1:58" ht="13.15" thickBot="1" x14ac:dyDescent="0.5">
      <c r="A150" s="695"/>
      <c r="B150" s="912"/>
      <c r="C150" s="913"/>
      <c r="D150" s="913"/>
      <c r="E150" s="913"/>
      <c r="F150" s="913"/>
      <c r="G150" s="913"/>
      <c r="H150" s="913"/>
      <c r="I150" s="1563"/>
      <c r="J150" s="913"/>
      <c r="K150" s="913"/>
      <c r="L150" s="913"/>
      <c r="M150" s="913"/>
      <c r="N150" s="913"/>
      <c r="O150" s="913"/>
      <c r="P150" s="913"/>
      <c r="Q150" s="913"/>
      <c r="R150" s="913"/>
      <c r="S150" s="913"/>
      <c r="T150" s="913"/>
      <c r="U150" s="913"/>
      <c r="V150" s="913"/>
      <c r="W150" s="913"/>
      <c r="X150" s="913"/>
      <c r="Y150" s="913"/>
      <c r="Z150" s="913"/>
      <c r="AA150" s="913"/>
      <c r="AB150" s="913"/>
      <c r="AC150" s="913"/>
      <c r="AD150" s="913"/>
      <c r="AE150" s="913"/>
      <c r="AF150" s="913"/>
      <c r="AG150" s="913"/>
      <c r="AH150" s="913"/>
      <c r="AI150" s="913"/>
      <c r="AJ150" s="913"/>
      <c r="AK150" s="913"/>
      <c r="AL150" s="913"/>
      <c r="AM150" s="913"/>
      <c r="AN150" s="913"/>
      <c r="AO150" s="913"/>
      <c r="AP150" s="913"/>
      <c r="AQ150" s="913"/>
      <c r="AR150" s="913"/>
      <c r="AS150" s="913"/>
      <c r="AT150" s="913"/>
      <c r="AU150" s="913"/>
      <c r="AV150" s="913"/>
      <c r="AW150" s="913"/>
      <c r="AX150" s="913"/>
      <c r="AY150" s="913"/>
      <c r="AZ150" s="913"/>
      <c r="BA150" s="913"/>
      <c r="BB150" s="913"/>
      <c r="BC150" s="913"/>
      <c r="BD150" s="913"/>
      <c r="BE150" s="914"/>
      <c r="BF150" s="695"/>
    </row>
    <row r="151" spans="1:58" ht="13.15" thickBot="1" x14ac:dyDescent="0.5">
      <c r="A151" s="695"/>
      <c r="B151" s="695"/>
      <c r="C151" s="695"/>
      <c r="D151" s="695"/>
      <c r="E151" s="695"/>
      <c r="F151" s="695"/>
      <c r="G151" s="695"/>
      <c r="H151" s="695"/>
      <c r="I151" s="1548"/>
      <c r="J151" s="695"/>
      <c r="K151" s="695"/>
      <c r="L151" s="695"/>
      <c r="M151" s="695"/>
      <c r="N151" s="695"/>
      <c r="O151" s="695"/>
      <c r="P151" s="695"/>
      <c r="Q151" s="695"/>
      <c r="R151" s="695"/>
      <c r="S151" s="695"/>
      <c r="T151" s="695"/>
      <c r="U151" s="695"/>
      <c r="V151" s="695"/>
      <c r="W151" s="695"/>
      <c r="X151" s="695"/>
      <c r="Y151" s="695"/>
      <c r="Z151" s="695"/>
      <c r="AA151" s="695"/>
      <c r="AB151" s="695"/>
      <c r="AC151" s="695"/>
      <c r="AD151" s="695"/>
      <c r="AE151" s="695"/>
      <c r="AF151" s="695"/>
      <c r="AG151" s="695"/>
      <c r="AH151" s="695"/>
      <c r="AI151" s="695"/>
      <c r="AJ151" s="695"/>
      <c r="AK151" s="695"/>
      <c r="AL151" s="695"/>
      <c r="AM151" s="695"/>
      <c r="AN151" s="695"/>
      <c r="AO151" s="695"/>
      <c r="AP151" s="695"/>
      <c r="AQ151" s="695"/>
      <c r="AR151" s="695"/>
      <c r="AS151" s="695"/>
      <c r="AT151" s="695"/>
      <c r="AU151" s="695"/>
      <c r="AV151" s="695"/>
      <c r="AW151" s="695"/>
      <c r="AX151" s="695"/>
      <c r="AY151" s="695"/>
      <c r="AZ151" s="695"/>
      <c r="BA151" s="695"/>
      <c r="BB151" s="695"/>
      <c r="BC151" s="695"/>
      <c r="BD151" s="695"/>
      <c r="BE151" s="695"/>
      <c r="BF151" s="695"/>
    </row>
    <row r="152" spans="1:58" s="479" customFormat="1" ht="13.15" x14ac:dyDescent="0.45">
      <c r="A152" s="704"/>
      <c r="B152" s="915" t="str">
        <f>'II. Inputs, Baseline Energy Mix'!Q18</f>
        <v>Technology #4</v>
      </c>
      <c r="C152" s="916"/>
      <c r="D152" s="916"/>
      <c r="E152" s="916"/>
      <c r="F152" s="916"/>
      <c r="G152" s="916"/>
      <c r="H152" s="916"/>
      <c r="I152" s="916"/>
      <c r="J152" s="916"/>
      <c r="K152" s="916"/>
      <c r="L152" s="916"/>
      <c r="M152" s="916"/>
      <c r="N152" s="916"/>
      <c r="O152" s="916"/>
      <c r="P152" s="916"/>
      <c r="Q152" s="916"/>
      <c r="R152" s="916"/>
      <c r="S152" s="916"/>
      <c r="T152" s="916"/>
      <c r="U152" s="916"/>
      <c r="V152" s="916"/>
      <c r="W152" s="916"/>
      <c r="X152" s="916"/>
      <c r="Y152" s="916"/>
      <c r="Z152" s="916"/>
      <c r="AA152" s="916"/>
      <c r="AB152" s="916"/>
      <c r="AC152" s="916"/>
      <c r="AD152" s="916"/>
      <c r="AE152" s="916"/>
      <c r="AF152" s="916"/>
      <c r="AG152" s="916"/>
      <c r="AH152" s="916"/>
      <c r="AI152" s="916"/>
      <c r="AJ152" s="916"/>
      <c r="AK152" s="916"/>
      <c r="AL152" s="916"/>
      <c r="AM152" s="916"/>
      <c r="AN152" s="916"/>
      <c r="AO152" s="916"/>
      <c r="AP152" s="916"/>
      <c r="AQ152" s="916"/>
      <c r="AR152" s="916"/>
      <c r="AS152" s="916"/>
      <c r="AT152" s="916"/>
      <c r="AU152" s="916"/>
      <c r="AV152" s="916"/>
      <c r="AW152" s="916"/>
      <c r="AX152" s="916"/>
      <c r="AY152" s="916"/>
      <c r="AZ152" s="916"/>
      <c r="BA152" s="916"/>
      <c r="BB152" s="916"/>
      <c r="BC152" s="916"/>
      <c r="BD152" s="916"/>
      <c r="BE152" s="917"/>
      <c r="BF152" s="704"/>
    </row>
    <row r="153" spans="1:58" x14ac:dyDescent="0.45">
      <c r="A153" s="695"/>
      <c r="B153" s="918"/>
      <c r="C153" s="919"/>
      <c r="D153" s="919"/>
      <c r="E153" s="919"/>
      <c r="F153" s="919"/>
      <c r="G153" s="919"/>
      <c r="H153" s="919"/>
      <c r="I153" s="919"/>
      <c r="J153" s="919"/>
      <c r="K153" s="919"/>
      <c r="L153" s="919"/>
      <c r="M153" s="919"/>
      <c r="N153" s="919"/>
      <c r="O153" s="919"/>
      <c r="P153" s="919"/>
      <c r="Q153" s="919"/>
      <c r="R153" s="919"/>
      <c r="S153" s="919"/>
      <c r="T153" s="919"/>
      <c r="U153" s="919"/>
      <c r="V153" s="919"/>
      <c r="W153" s="919"/>
      <c r="X153" s="919"/>
      <c r="Y153" s="919"/>
      <c r="Z153" s="919"/>
      <c r="AA153" s="919"/>
      <c r="AB153" s="919"/>
      <c r="AC153" s="919"/>
      <c r="AD153" s="919"/>
      <c r="AE153" s="919"/>
      <c r="AF153" s="919"/>
      <c r="AG153" s="919"/>
      <c r="AH153" s="919"/>
      <c r="AI153" s="919"/>
      <c r="AJ153" s="919"/>
      <c r="AK153" s="919"/>
      <c r="AL153" s="919"/>
      <c r="AM153" s="919"/>
      <c r="AN153" s="919"/>
      <c r="AO153" s="919"/>
      <c r="AP153" s="919"/>
      <c r="AQ153" s="919"/>
      <c r="AR153" s="919"/>
      <c r="AS153" s="919"/>
      <c r="AT153" s="919"/>
      <c r="AU153" s="919"/>
      <c r="AV153" s="919"/>
      <c r="AW153" s="919"/>
      <c r="AX153" s="919"/>
      <c r="AY153" s="919"/>
      <c r="AZ153" s="919"/>
      <c r="BA153" s="919"/>
      <c r="BB153" s="919"/>
      <c r="BC153" s="919"/>
      <c r="BD153" s="919"/>
      <c r="BE153" s="920"/>
      <c r="BF153" s="695"/>
    </row>
    <row r="154" spans="1:58" x14ac:dyDescent="0.45">
      <c r="A154" s="695"/>
      <c r="B154" s="918" t="s">
        <v>122</v>
      </c>
      <c r="C154" s="919"/>
      <c r="D154" s="919"/>
      <c r="E154" s="919"/>
      <c r="F154" s="919"/>
      <c r="G154" s="919"/>
      <c r="H154" s="921">
        <f>IF(H$13&gt;'II. Inputs, Baseline Energy Mix'!$Q$22,0,1)</f>
        <v>0</v>
      </c>
      <c r="I154" s="919">
        <f>IF(I$13&gt;'II. Inputs, Baseline Energy Mix'!$Q$22,0,1)</f>
        <v>0</v>
      </c>
      <c r="J154" s="919">
        <f>IF(J$13&gt;'II. Inputs, Baseline Energy Mix'!$Q$22,0,1)</f>
        <v>0</v>
      </c>
      <c r="K154" s="919">
        <f>IF(K$13&gt;'II. Inputs, Baseline Energy Mix'!$Q$22,0,1)</f>
        <v>0</v>
      </c>
      <c r="L154" s="919">
        <f>IF(L$13&gt;'II. Inputs, Baseline Energy Mix'!$Q$22,0,1)</f>
        <v>0</v>
      </c>
      <c r="M154" s="919">
        <f>IF(M$13&gt;'II. Inputs, Baseline Energy Mix'!$Q$22,0,1)</f>
        <v>0</v>
      </c>
      <c r="N154" s="919">
        <f>IF(N$13&gt;'II. Inputs, Baseline Energy Mix'!$Q$22,0,1)</f>
        <v>0</v>
      </c>
      <c r="O154" s="919">
        <f>IF(O$13&gt;'II. Inputs, Baseline Energy Mix'!$Q$22,0,1)</f>
        <v>0</v>
      </c>
      <c r="P154" s="919">
        <f>IF(P$13&gt;'II. Inputs, Baseline Energy Mix'!$Q$22,0,1)</f>
        <v>0</v>
      </c>
      <c r="Q154" s="919">
        <f>IF(Q$13&gt;'II. Inputs, Baseline Energy Mix'!$Q$22,0,1)</f>
        <v>0</v>
      </c>
      <c r="R154" s="919">
        <f>IF(R$13&gt;'II. Inputs, Baseline Energy Mix'!$Q$22,0,1)</f>
        <v>0</v>
      </c>
      <c r="S154" s="919">
        <f>IF(S$13&gt;'II. Inputs, Baseline Energy Mix'!$Q$22,0,1)</f>
        <v>0</v>
      </c>
      <c r="T154" s="919">
        <f>IF(T$13&gt;'II. Inputs, Baseline Energy Mix'!$Q$22,0,1)</f>
        <v>0</v>
      </c>
      <c r="U154" s="919">
        <f>IF(U$13&gt;'II. Inputs, Baseline Energy Mix'!$Q$22,0,1)</f>
        <v>0</v>
      </c>
      <c r="V154" s="919">
        <f>IF(V$13&gt;'II. Inputs, Baseline Energy Mix'!$Q$22,0,1)</f>
        <v>0</v>
      </c>
      <c r="W154" s="919">
        <f>IF(W$13&gt;'II. Inputs, Baseline Energy Mix'!$Q$22,0,1)</f>
        <v>0</v>
      </c>
      <c r="X154" s="919">
        <f>IF(X$13&gt;'II. Inputs, Baseline Energy Mix'!$Q$22,0,1)</f>
        <v>0</v>
      </c>
      <c r="Y154" s="919">
        <f>IF(Y$13&gt;'II. Inputs, Baseline Energy Mix'!$Q$22,0,1)</f>
        <v>0</v>
      </c>
      <c r="Z154" s="919">
        <f>IF(Z$13&gt;'II. Inputs, Baseline Energy Mix'!$Q$22,0,1)</f>
        <v>0</v>
      </c>
      <c r="AA154" s="919">
        <f>IF(AA$13&gt;'II. Inputs, Baseline Energy Mix'!$Q$22,0,1)</f>
        <v>0</v>
      </c>
      <c r="AB154" s="919">
        <f>IF(AB$13&gt;'II. Inputs, Baseline Energy Mix'!$Q$22,0,1)</f>
        <v>0</v>
      </c>
      <c r="AC154" s="919">
        <f>IF(AC$13&gt;'II. Inputs, Baseline Energy Mix'!$Q$22,0,1)</f>
        <v>0</v>
      </c>
      <c r="AD154" s="919">
        <f>IF(AD$13&gt;'II. Inputs, Baseline Energy Mix'!$Q$22,0,1)</f>
        <v>0</v>
      </c>
      <c r="AE154" s="919">
        <f>IF(AE$13&gt;'II. Inputs, Baseline Energy Mix'!$Q$22,0,1)</f>
        <v>0</v>
      </c>
      <c r="AF154" s="919">
        <f>IF(AF$13&gt;'II. Inputs, Baseline Energy Mix'!$Q$22,0,1)</f>
        <v>0</v>
      </c>
      <c r="AG154" s="919">
        <f>IF(AG$13&gt;'II. Inputs, Baseline Energy Mix'!$Q$22,0,1)</f>
        <v>0</v>
      </c>
      <c r="AH154" s="919">
        <f>IF(AH$13&gt;'II. Inputs, Baseline Energy Mix'!$Q$22,0,1)</f>
        <v>0</v>
      </c>
      <c r="AI154" s="919">
        <f>IF(AI$13&gt;'II. Inputs, Baseline Energy Mix'!$Q$22,0,1)</f>
        <v>0</v>
      </c>
      <c r="AJ154" s="919">
        <f>IF(AJ$13&gt;'II. Inputs, Baseline Energy Mix'!$Q$22,0,1)</f>
        <v>0</v>
      </c>
      <c r="AK154" s="919">
        <f>IF(AK$13&gt;'II. Inputs, Baseline Energy Mix'!$Q$22,0,1)</f>
        <v>0</v>
      </c>
      <c r="AL154" s="919">
        <f>IF(AL$13&gt;'II. Inputs, Baseline Energy Mix'!$Q$22,0,1)</f>
        <v>0</v>
      </c>
      <c r="AM154" s="919">
        <f>IF(AM$13&gt;'II. Inputs, Baseline Energy Mix'!$Q$22,0,1)</f>
        <v>0</v>
      </c>
      <c r="AN154" s="919">
        <f>IF(AN$13&gt;'II. Inputs, Baseline Energy Mix'!$Q$22,0,1)</f>
        <v>0</v>
      </c>
      <c r="AO154" s="919">
        <f>IF(AO$13&gt;'II. Inputs, Baseline Energy Mix'!$Q$22,0,1)</f>
        <v>0</v>
      </c>
      <c r="AP154" s="919">
        <f>IF(AP$13&gt;'II. Inputs, Baseline Energy Mix'!$Q$22,0,1)</f>
        <v>0</v>
      </c>
      <c r="AQ154" s="919">
        <f>IF(AQ$13&gt;'II. Inputs, Baseline Energy Mix'!$Q$22,0,1)</f>
        <v>0</v>
      </c>
      <c r="AR154" s="919">
        <f>IF(AR$13&gt;'II. Inputs, Baseline Energy Mix'!$Q$22,0,1)</f>
        <v>0</v>
      </c>
      <c r="AS154" s="919">
        <f>IF(AS$13&gt;'II. Inputs, Baseline Energy Mix'!$Q$22,0,1)</f>
        <v>0</v>
      </c>
      <c r="AT154" s="919">
        <f>IF(AT$13&gt;'II. Inputs, Baseline Energy Mix'!$Q$22,0,1)</f>
        <v>0</v>
      </c>
      <c r="AU154" s="919">
        <f>IF(AU$13&gt;'II. Inputs, Baseline Energy Mix'!$Q$22,0,1)</f>
        <v>0</v>
      </c>
      <c r="AV154" s="919">
        <f>IF(AV$13&gt;'II. Inputs, Baseline Energy Mix'!$Q$22,0,1)</f>
        <v>0</v>
      </c>
      <c r="AW154" s="919">
        <f>IF(AW$13&gt;'II. Inputs, Baseline Energy Mix'!$Q$22,0,1)</f>
        <v>0</v>
      </c>
      <c r="AX154" s="919">
        <f>IF(AX$13&gt;'II. Inputs, Baseline Energy Mix'!$Q$22,0,1)</f>
        <v>0</v>
      </c>
      <c r="AY154" s="919">
        <f>IF(AY$13&gt;'II. Inputs, Baseline Energy Mix'!$Q$22,0,1)</f>
        <v>0</v>
      </c>
      <c r="AZ154" s="919">
        <f>IF(AZ$13&gt;'II. Inputs, Baseline Energy Mix'!$Q$22,0,1)</f>
        <v>0</v>
      </c>
      <c r="BA154" s="919">
        <f>IF(BA$13&gt;'II. Inputs, Baseline Energy Mix'!$Q$22,0,1)</f>
        <v>0</v>
      </c>
      <c r="BB154" s="919">
        <f>IF(BB$13&gt;'II. Inputs, Baseline Energy Mix'!$Q$22,0,1)</f>
        <v>0</v>
      </c>
      <c r="BC154" s="919">
        <f>IF(BC$13&gt;'II. Inputs, Baseline Energy Mix'!$Q$22,0,1)</f>
        <v>0</v>
      </c>
      <c r="BD154" s="919">
        <f>IF(BD$13&gt;'II. Inputs, Baseline Energy Mix'!$Q$22,0,1)</f>
        <v>0</v>
      </c>
      <c r="BE154" s="920">
        <f>IF(BE$13&gt;'II. Inputs, Baseline Energy Mix'!$Q$22,0,1)</f>
        <v>0</v>
      </c>
      <c r="BF154" s="695"/>
    </row>
    <row r="155" spans="1:58" x14ac:dyDescent="0.45">
      <c r="A155" s="695"/>
      <c r="B155" s="918"/>
      <c r="C155" s="919"/>
      <c r="D155" s="919"/>
      <c r="E155" s="919"/>
      <c r="F155" s="919"/>
      <c r="G155" s="919"/>
      <c r="H155" s="921"/>
      <c r="I155" s="919"/>
      <c r="J155" s="919"/>
      <c r="K155" s="919"/>
      <c r="L155" s="919"/>
      <c r="M155" s="919"/>
      <c r="N155" s="919"/>
      <c r="O155" s="919"/>
      <c r="P155" s="919"/>
      <c r="Q155" s="919"/>
      <c r="R155" s="919"/>
      <c r="S155" s="919"/>
      <c r="T155" s="919"/>
      <c r="U155" s="919"/>
      <c r="V155" s="919"/>
      <c r="W155" s="919"/>
      <c r="X155" s="919"/>
      <c r="Y155" s="919"/>
      <c r="Z155" s="919"/>
      <c r="AA155" s="919"/>
      <c r="AB155" s="919"/>
      <c r="AC155" s="919"/>
      <c r="AD155" s="919"/>
      <c r="AE155" s="919"/>
      <c r="AF155" s="919"/>
      <c r="AG155" s="919"/>
      <c r="AH155" s="919"/>
      <c r="AI155" s="919"/>
      <c r="AJ155" s="919"/>
      <c r="AK155" s="919"/>
      <c r="AL155" s="919"/>
      <c r="AM155" s="919"/>
      <c r="AN155" s="919"/>
      <c r="AO155" s="919"/>
      <c r="AP155" s="919"/>
      <c r="AQ155" s="919"/>
      <c r="AR155" s="919"/>
      <c r="AS155" s="919"/>
      <c r="AT155" s="919"/>
      <c r="AU155" s="919"/>
      <c r="AV155" s="919"/>
      <c r="AW155" s="919"/>
      <c r="AX155" s="919"/>
      <c r="AY155" s="919"/>
      <c r="AZ155" s="919"/>
      <c r="BA155" s="919"/>
      <c r="BB155" s="919"/>
      <c r="BC155" s="919"/>
      <c r="BD155" s="919"/>
      <c r="BE155" s="920"/>
      <c r="BF155" s="695"/>
    </row>
    <row r="156" spans="1:58" x14ac:dyDescent="0.45">
      <c r="A156" s="695"/>
      <c r="B156" s="918" t="s">
        <v>85</v>
      </c>
      <c r="C156" s="919"/>
      <c r="D156" s="919"/>
      <c r="E156" s="919"/>
      <c r="F156" s="922" t="s">
        <v>86</v>
      </c>
      <c r="G156" s="919"/>
      <c r="H156" s="923">
        <f>IF('II. Inputs, Baseline Energy Mix'!$Q$19=0,0,'II. Inputs, Baseline Energy Mix'!$Q$105*'II. Inputs, Baseline Energy Mix'!$Q$20*H154)</f>
        <v>0</v>
      </c>
      <c r="I156" s="923">
        <f>IF('II. Inputs, Baseline Energy Mix'!$Q$19=0,0,'II. Inputs, Baseline Energy Mix'!$Q$105*'II. Inputs, Baseline Energy Mix'!$Q$20*I154)</f>
        <v>0</v>
      </c>
      <c r="J156" s="923">
        <f>IF('II. Inputs, Baseline Energy Mix'!$Q$19=0,0,'II. Inputs, Baseline Energy Mix'!$Q$105*'II. Inputs, Baseline Energy Mix'!$Q$20*J154)</f>
        <v>0</v>
      </c>
      <c r="K156" s="923">
        <f>IF('II. Inputs, Baseline Energy Mix'!$Q$19=0,0,'II. Inputs, Baseline Energy Mix'!$Q$105*'II. Inputs, Baseline Energy Mix'!$Q$20*K154)</f>
        <v>0</v>
      </c>
      <c r="L156" s="923">
        <f>IF('II. Inputs, Baseline Energy Mix'!$Q$19=0,0,'II. Inputs, Baseline Energy Mix'!$Q$105*'II. Inputs, Baseline Energy Mix'!$Q$20*L154)</f>
        <v>0</v>
      </c>
      <c r="M156" s="923">
        <f>IF('II. Inputs, Baseline Energy Mix'!$Q$19=0,0,'II. Inputs, Baseline Energy Mix'!$Q$105*'II. Inputs, Baseline Energy Mix'!$Q$20*M154)</f>
        <v>0</v>
      </c>
      <c r="N156" s="923">
        <f>IF('II. Inputs, Baseline Energy Mix'!$Q$19=0,0,'II. Inputs, Baseline Energy Mix'!$Q$105*'II. Inputs, Baseline Energy Mix'!$Q$20*N154)</f>
        <v>0</v>
      </c>
      <c r="O156" s="923">
        <f>IF('II. Inputs, Baseline Energy Mix'!$Q$19=0,0,'II. Inputs, Baseline Energy Mix'!$Q$105*'II. Inputs, Baseline Energy Mix'!$Q$20*O154)</f>
        <v>0</v>
      </c>
      <c r="P156" s="923">
        <f>IF('II. Inputs, Baseline Energy Mix'!$Q$19=0,0,'II. Inputs, Baseline Energy Mix'!$Q$105*'II. Inputs, Baseline Energy Mix'!$Q$20*P154)</f>
        <v>0</v>
      </c>
      <c r="Q156" s="923">
        <f>IF('II. Inputs, Baseline Energy Mix'!$Q$19=0,0,'II. Inputs, Baseline Energy Mix'!$Q$105*'II. Inputs, Baseline Energy Mix'!$Q$20*Q154)</f>
        <v>0</v>
      </c>
      <c r="R156" s="923">
        <f>IF('II. Inputs, Baseline Energy Mix'!$Q$19=0,0,'II. Inputs, Baseline Energy Mix'!$Q$105*'II. Inputs, Baseline Energy Mix'!$Q$20*R154)</f>
        <v>0</v>
      </c>
      <c r="S156" s="923">
        <f>IF('II. Inputs, Baseline Energy Mix'!$Q$19=0,0,'II. Inputs, Baseline Energy Mix'!$Q$105*'II. Inputs, Baseline Energy Mix'!$Q$20*S154)</f>
        <v>0</v>
      </c>
      <c r="T156" s="923">
        <f>IF('II. Inputs, Baseline Energy Mix'!$Q$19=0,0,'II. Inputs, Baseline Energy Mix'!$Q$105*'II. Inputs, Baseline Energy Mix'!$Q$20*T154)</f>
        <v>0</v>
      </c>
      <c r="U156" s="923">
        <f>IF('II. Inputs, Baseline Energy Mix'!$Q$19=0,0,'II. Inputs, Baseline Energy Mix'!$Q$105*'II. Inputs, Baseline Energy Mix'!$Q$20*U154)</f>
        <v>0</v>
      </c>
      <c r="V156" s="923">
        <f>IF('II. Inputs, Baseline Energy Mix'!$Q$19=0,0,'II. Inputs, Baseline Energy Mix'!$Q$105*'II. Inputs, Baseline Energy Mix'!$Q$20*V154)</f>
        <v>0</v>
      </c>
      <c r="W156" s="923">
        <f>IF('II. Inputs, Baseline Energy Mix'!$Q$19=0,0,'II. Inputs, Baseline Energy Mix'!$Q$105*'II. Inputs, Baseline Energy Mix'!$Q$20*W154)</f>
        <v>0</v>
      </c>
      <c r="X156" s="923">
        <f>IF('II. Inputs, Baseline Energy Mix'!$Q$19=0,0,'II. Inputs, Baseline Energy Mix'!$Q$105*'II. Inputs, Baseline Energy Mix'!$Q$20*X154)</f>
        <v>0</v>
      </c>
      <c r="Y156" s="923">
        <f>IF('II. Inputs, Baseline Energy Mix'!$Q$19=0,0,'II. Inputs, Baseline Energy Mix'!$Q$105*'II. Inputs, Baseline Energy Mix'!$Q$20*Y154)</f>
        <v>0</v>
      </c>
      <c r="Z156" s="923">
        <f>IF('II. Inputs, Baseline Energy Mix'!$Q$19=0,0,'II. Inputs, Baseline Energy Mix'!$Q$105*'II. Inputs, Baseline Energy Mix'!$Q$20*Z154)</f>
        <v>0</v>
      </c>
      <c r="AA156" s="923">
        <f>IF('II. Inputs, Baseline Energy Mix'!$Q$19=0,0,'II. Inputs, Baseline Energy Mix'!$Q$105*'II. Inputs, Baseline Energy Mix'!$Q$20*AA154)</f>
        <v>0</v>
      </c>
      <c r="AB156" s="923">
        <f>IF('II. Inputs, Baseline Energy Mix'!$Q$19=0,0,'II. Inputs, Baseline Energy Mix'!$Q$105*'II. Inputs, Baseline Energy Mix'!$Q$20*AB154)</f>
        <v>0</v>
      </c>
      <c r="AC156" s="923">
        <f>IF('II. Inputs, Baseline Energy Mix'!$Q$19=0,0,'II. Inputs, Baseline Energy Mix'!$Q$105*'II. Inputs, Baseline Energy Mix'!$Q$20*AC154)</f>
        <v>0</v>
      </c>
      <c r="AD156" s="923">
        <f>IF('II. Inputs, Baseline Energy Mix'!$Q$19=0,0,'II. Inputs, Baseline Energy Mix'!$Q$105*'II. Inputs, Baseline Energy Mix'!$Q$20*AD154)</f>
        <v>0</v>
      </c>
      <c r="AE156" s="923">
        <f>IF('II. Inputs, Baseline Energy Mix'!$Q$19=0,0,'II. Inputs, Baseline Energy Mix'!$Q$105*'II. Inputs, Baseline Energy Mix'!$Q$20*AE154)</f>
        <v>0</v>
      </c>
      <c r="AF156" s="923">
        <f>IF('II. Inputs, Baseline Energy Mix'!$Q$19=0,0,'II. Inputs, Baseline Energy Mix'!$Q$105*'II. Inputs, Baseline Energy Mix'!$Q$20*AF154)</f>
        <v>0</v>
      </c>
      <c r="AG156" s="923">
        <f>IF('II. Inputs, Baseline Energy Mix'!$Q$19=0,0,'II. Inputs, Baseline Energy Mix'!$Q$105*'II. Inputs, Baseline Energy Mix'!$Q$20*AG154)</f>
        <v>0</v>
      </c>
      <c r="AH156" s="923">
        <f>IF('II. Inputs, Baseline Energy Mix'!$Q$19=0,0,'II. Inputs, Baseline Energy Mix'!$Q$105*'II. Inputs, Baseline Energy Mix'!$Q$20*AH154)</f>
        <v>0</v>
      </c>
      <c r="AI156" s="923">
        <f>IF('II. Inputs, Baseline Energy Mix'!$Q$19=0,0,'II. Inputs, Baseline Energy Mix'!$Q$105*'II. Inputs, Baseline Energy Mix'!$Q$20*AI154)</f>
        <v>0</v>
      </c>
      <c r="AJ156" s="923">
        <f>IF('II. Inputs, Baseline Energy Mix'!$Q$19=0,0,'II. Inputs, Baseline Energy Mix'!$Q$105*'II. Inputs, Baseline Energy Mix'!$Q$20*AJ154)</f>
        <v>0</v>
      </c>
      <c r="AK156" s="923">
        <f>IF('II. Inputs, Baseline Energy Mix'!$Q$19=0,0,'II. Inputs, Baseline Energy Mix'!$Q$105*'II. Inputs, Baseline Energy Mix'!$Q$20*AK154)</f>
        <v>0</v>
      </c>
      <c r="AL156" s="923">
        <f>IF('II. Inputs, Baseline Energy Mix'!$Q$19=0,0,'II. Inputs, Baseline Energy Mix'!$Q$105*'II. Inputs, Baseline Energy Mix'!$Q$20*AL154)</f>
        <v>0</v>
      </c>
      <c r="AM156" s="923">
        <f>IF('II. Inputs, Baseline Energy Mix'!$Q$19=0,0,'II. Inputs, Baseline Energy Mix'!$Q$105*'II. Inputs, Baseline Energy Mix'!$Q$20*AM154)</f>
        <v>0</v>
      </c>
      <c r="AN156" s="923">
        <f>IF('II. Inputs, Baseline Energy Mix'!$Q$19=0,0,'II. Inputs, Baseline Energy Mix'!$Q$105*'II. Inputs, Baseline Energy Mix'!$Q$20*AN154)</f>
        <v>0</v>
      </c>
      <c r="AO156" s="923">
        <f>IF('II. Inputs, Baseline Energy Mix'!$Q$19=0,0,'II. Inputs, Baseline Energy Mix'!$Q$105*'II. Inputs, Baseline Energy Mix'!$Q$20*AO154)</f>
        <v>0</v>
      </c>
      <c r="AP156" s="923">
        <f>IF('II. Inputs, Baseline Energy Mix'!$Q$19=0,0,'II. Inputs, Baseline Energy Mix'!$Q$105*'II. Inputs, Baseline Energy Mix'!$Q$20*AP154)</f>
        <v>0</v>
      </c>
      <c r="AQ156" s="923">
        <f>IF('II. Inputs, Baseline Energy Mix'!$Q$19=0,0,'II. Inputs, Baseline Energy Mix'!$Q$105*'II. Inputs, Baseline Energy Mix'!$Q$20*AQ154)</f>
        <v>0</v>
      </c>
      <c r="AR156" s="923">
        <f>IF('II. Inputs, Baseline Energy Mix'!$Q$19=0,0,'II. Inputs, Baseline Energy Mix'!$Q$105*'II. Inputs, Baseline Energy Mix'!$Q$20*AR154)</f>
        <v>0</v>
      </c>
      <c r="AS156" s="923">
        <f>IF('II. Inputs, Baseline Energy Mix'!$Q$19=0,0,'II. Inputs, Baseline Energy Mix'!$Q$105*'II. Inputs, Baseline Energy Mix'!$Q$20*AS154)</f>
        <v>0</v>
      </c>
      <c r="AT156" s="923">
        <f>IF('II. Inputs, Baseline Energy Mix'!$Q$19=0,0,'II. Inputs, Baseline Energy Mix'!$Q$105*'II. Inputs, Baseline Energy Mix'!$Q$20*AT154)</f>
        <v>0</v>
      </c>
      <c r="AU156" s="923">
        <f>IF('II. Inputs, Baseline Energy Mix'!$Q$19=0,0,'II. Inputs, Baseline Energy Mix'!$Q$105*'II. Inputs, Baseline Energy Mix'!$Q$20*AU154)</f>
        <v>0</v>
      </c>
      <c r="AV156" s="923">
        <f>IF('II. Inputs, Baseline Energy Mix'!$Q$19=0,0,'II. Inputs, Baseline Energy Mix'!$Q$105*'II. Inputs, Baseline Energy Mix'!$Q$20*AV154)</f>
        <v>0</v>
      </c>
      <c r="AW156" s="923">
        <f>IF('II. Inputs, Baseline Energy Mix'!$Q$19=0,0,'II. Inputs, Baseline Energy Mix'!$Q$105*'II. Inputs, Baseline Energy Mix'!$Q$20*AW154)</f>
        <v>0</v>
      </c>
      <c r="AX156" s="923">
        <f>IF('II. Inputs, Baseline Energy Mix'!$Q$19=0,0,'II. Inputs, Baseline Energy Mix'!$Q$105*'II. Inputs, Baseline Energy Mix'!$Q$20*AX154)</f>
        <v>0</v>
      </c>
      <c r="AY156" s="923">
        <f>IF('II. Inputs, Baseline Energy Mix'!$Q$19=0,0,'II. Inputs, Baseline Energy Mix'!$Q$105*'II. Inputs, Baseline Energy Mix'!$Q$20*AY154)</f>
        <v>0</v>
      </c>
      <c r="AZ156" s="923">
        <f>IF('II. Inputs, Baseline Energy Mix'!$Q$19=0,0,'II. Inputs, Baseline Energy Mix'!$Q$105*'II. Inputs, Baseline Energy Mix'!$Q$20*AZ154)</f>
        <v>0</v>
      </c>
      <c r="BA156" s="923">
        <f>IF('II. Inputs, Baseline Energy Mix'!$Q$19=0,0,'II. Inputs, Baseline Energy Mix'!$Q$105*'II. Inputs, Baseline Energy Mix'!$Q$20*BA154)</f>
        <v>0</v>
      </c>
      <c r="BB156" s="923">
        <f>IF('II. Inputs, Baseline Energy Mix'!$Q$19=0,0,'II. Inputs, Baseline Energy Mix'!$Q$105*'II. Inputs, Baseline Energy Mix'!$Q$20*BB154)</f>
        <v>0</v>
      </c>
      <c r="BC156" s="923">
        <f>IF('II. Inputs, Baseline Energy Mix'!$Q$19=0,0,'II. Inputs, Baseline Energy Mix'!$Q$105*'II. Inputs, Baseline Energy Mix'!$Q$20*BC154)</f>
        <v>0</v>
      </c>
      <c r="BD156" s="923">
        <f>IF('II. Inputs, Baseline Energy Mix'!$Q$19=0,0,'II. Inputs, Baseline Energy Mix'!$Q$105*'II. Inputs, Baseline Energy Mix'!$Q$20*BD154)</f>
        <v>0</v>
      </c>
      <c r="BE156" s="924">
        <f>IF('II. Inputs, Baseline Energy Mix'!$Q$19=0,0,'II. Inputs, Baseline Energy Mix'!$Q$105*'II. Inputs, Baseline Energy Mix'!$Q$20*BE154)</f>
        <v>0</v>
      </c>
      <c r="BF156" s="695"/>
    </row>
    <row r="157" spans="1:58" x14ac:dyDescent="0.45">
      <c r="A157" s="695"/>
      <c r="B157" s="918"/>
      <c r="C157" s="919"/>
      <c r="D157" s="919"/>
      <c r="E157" s="922"/>
      <c r="F157" s="919"/>
      <c r="G157" s="919"/>
      <c r="H157" s="919"/>
      <c r="I157" s="919"/>
      <c r="J157" s="919"/>
      <c r="K157" s="919"/>
      <c r="L157" s="919"/>
      <c r="M157" s="919"/>
      <c r="N157" s="919"/>
      <c r="O157" s="919"/>
      <c r="P157" s="919"/>
      <c r="Q157" s="919"/>
      <c r="R157" s="919"/>
      <c r="S157" s="919"/>
      <c r="T157" s="919"/>
      <c r="U157" s="919"/>
      <c r="V157" s="919"/>
      <c r="W157" s="919"/>
      <c r="X157" s="919"/>
      <c r="Y157" s="919"/>
      <c r="Z157" s="919"/>
      <c r="AA157" s="919"/>
      <c r="AB157" s="919"/>
      <c r="AC157" s="919"/>
      <c r="AD157" s="919"/>
      <c r="AE157" s="919"/>
      <c r="AF157" s="919"/>
      <c r="AG157" s="919"/>
      <c r="AH157" s="919"/>
      <c r="AI157" s="919"/>
      <c r="AJ157" s="919"/>
      <c r="AK157" s="919"/>
      <c r="AL157" s="919"/>
      <c r="AM157" s="919"/>
      <c r="AN157" s="919"/>
      <c r="AO157" s="919"/>
      <c r="AP157" s="919"/>
      <c r="AQ157" s="919"/>
      <c r="AR157" s="919"/>
      <c r="AS157" s="919"/>
      <c r="AT157" s="919"/>
      <c r="AU157" s="919"/>
      <c r="AV157" s="919"/>
      <c r="AW157" s="919"/>
      <c r="AX157" s="919"/>
      <c r="AY157" s="919"/>
      <c r="AZ157" s="919"/>
      <c r="BA157" s="919"/>
      <c r="BB157" s="919"/>
      <c r="BC157" s="919"/>
      <c r="BD157" s="919"/>
      <c r="BE157" s="920"/>
      <c r="BF157" s="695"/>
    </row>
    <row r="158" spans="1:58" ht="13.15" x14ac:dyDescent="0.45">
      <c r="A158" s="695"/>
      <c r="B158" s="925" t="s">
        <v>87</v>
      </c>
      <c r="C158" s="926"/>
      <c r="D158" s="926"/>
      <c r="E158" s="927"/>
      <c r="F158" s="927"/>
      <c r="G158" s="927"/>
      <c r="H158" s="927"/>
      <c r="I158" s="927"/>
      <c r="J158" s="927"/>
      <c r="K158" s="927"/>
      <c r="L158" s="927"/>
      <c r="M158" s="927"/>
      <c r="N158" s="927"/>
      <c r="O158" s="927"/>
      <c r="P158" s="927"/>
      <c r="Q158" s="927"/>
      <c r="R158" s="927"/>
      <c r="S158" s="927"/>
      <c r="T158" s="927"/>
      <c r="U158" s="927"/>
      <c r="V158" s="927"/>
      <c r="W158" s="927"/>
      <c r="X158" s="927"/>
      <c r="Y158" s="927"/>
      <c r="Z158" s="927"/>
      <c r="AA158" s="927"/>
      <c r="AB158" s="927"/>
      <c r="AC158" s="927"/>
      <c r="AD158" s="927"/>
      <c r="AE158" s="927"/>
      <c r="AF158" s="927"/>
      <c r="AG158" s="927"/>
      <c r="AH158" s="927"/>
      <c r="AI158" s="927"/>
      <c r="AJ158" s="927"/>
      <c r="AK158" s="927"/>
      <c r="AL158" s="927"/>
      <c r="AM158" s="927"/>
      <c r="AN158" s="927"/>
      <c r="AO158" s="927"/>
      <c r="AP158" s="927"/>
      <c r="AQ158" s="927"/>
      <c r="AR158" s="927"/>
      <c r="AS158" s="927"/>
      <c r="AT158" s="927"/>
      <c r="AU158" s="927"/>
      <c r="AV158" s="927"/>
      <c r="AW158" s="927"/>
      <c r="AX158" s="927"/>
      <c r="AY158" s="927"/>
      <c r="AZ158" s="927"/>
      <c r="BA158" s="927"/>
      <c r="BB158" s="927"/>
      <c r="BC158" s="927"/>
      <c r="BD158" s="927"/>
      <c r="BE158" s="928"/>
      <c r="BF158" s="695"/>
    </row>
    <row r="159" spans="1:58" x14ac:dyDescent="0.45">
      <c r="A159" s="695"/>
      <c r="B159" s="918"/>
      <c r="C159" s="919"/>
      <c r="D159" s="919"/>
      <c r="E159" s="922"/>
      <c r="F159" s="919"/>
      <c r="G159" s="919"/>
      <c r="H159" s="919"/>
      <c r="I159" s="919"/>
      <c r="J159" s="919"/>
      <c r="K159" s="919"/>
      <c r="L159" s="919"/>
      <c r="M159" s="919"/>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19"/>
      <c r="AK159" s="919"/>
      <c r="AL159" s="919"/>
      <c r="AM159" s="919"/>
      <c r="AN159" s="919"/>
      <c r="AO159" s="919"/>
      <c r="AP159" s="919"/>
      <c r="AQ159" s="919"/>
      <c r="AR159" s="919"/>
      <c r="AS159" s="919"/>
      <c r="AT159" s="919"/>
      <c r="AU159" s="919"/>
      <c r="AV159" s="919"/>
      <c r="AW159" s="919"/>
      <c r="AX159" s="919"/>
      <c r="AY159" s="919"/>
      <c r="AZ159" s="919"/>
      <c r="BA159" s="919"/>
      <c r="BB159" s="919"/>
      <c r="BC159" s="919"/>
      <c r="BD159" s="919"/>
      <c r="BE159" s="920"/>
      <c r="BF159" s="695"/>
    </row>
    <row r="160" spans="1:58" x14ac:dyDescent="0.45">
      <c r="A160" s="695"/>
      <c r="B160" s="918" t="s">
        <v>123</v>
      </c>
      <c r="C160" s="919"/>
      <c r="D160" s="919"/>
      <c r="E160" s="922"/>
      <c r="F160" s="922" t="s">
        <v>748</v>
      </c>
      <c r="G160" s="919"/>
      <c r="H160" s="1564">
        <f>IF('II. Inputs, Baseline Energy Mix'!$Q$19=0,0,H154*'II. Inputs, Baseline Energy Mix'!$Q$118*(1+'II. Inputs, Baseline Energy Mix'!$Q$119)^('IV. LCOE, Baseline Energy Mix'!H$13-1))</f>
        <v>0</v>
      </c>
      <c r="I160" s="1564">
        <f>IF('II. Inputs, Baseline Energy Mix'!$Q$19=0,0,I154*'II. Inputs, Baseline Energy Mix'!$Q$118*(1+'II. Inputs, Baseline Energy Mix'!$Q$119)^('IV. LCOE, Baseline Energy Mix'!I$13-1))</f>
        <v>0</v>
      </c>
      <c r="J160" s="1564">
        <f>IF('II. Inputs, Baseline Energy Mix'!$Q$19=0,0,J154*'II. Inputs, Baseline Energy Mix'!$Q$118*(1+'II. Inputs, Baseline Energy Mix'!$Q$119)^('IV. LCOE, Baseline Energy Mix'!J$13-1))</f>
        <v>0</v>
      </c>
      <c r="K160" s="1564">
        <f>IF('II. Inputs, Baseline Energy Mix'!$Q$19=0,0,K154*'II. Inputs, Baseline Energy Mix'!$Q$118*(1+'II. Inputs, Baseline Energy Mix'!$Q$119)^('IV. LCOE, Baseline Energy Mix'!K$13-1))</f>
        <v>0</v>
      </c>
      <c r="L160" s="1564">
        <f>IF('II. Inputs, Baseline Energy Mix'!$Q$19=0,0,L154*'II. Inputs, Baseline Energy Mix'!$Q$118*(1+'II. Inputs, Baseline Energy Mix'!$Q$119)^('IV. LCOE, Baseline Energy Mix'!L$13-1))</f>
        <v>0</v>
      </c>
      <c r="M160" s="1564">
        <f>IF('II. Inputs, Baseline Energy Mix'!$Q$19=0,0,M154*'II. Inputs, Baseline Energy Mix'!$Q$118*(1+'II. Inputs, Baseline Energy Mix'!$Q$119)^('IV. LCOE, Baseline Energy Mix'!M$13-1))</f>
        <v>0</v>
      </c>
      <c r="N160" s="1564">
        <f>IF('II. Inputs, Baseline Energy Mix'!$Q$19=0,0,N154*'II. Inputs, Baseline Energy Mix'!$Q$118*(1+'II. Inputs, Baseline Energy Mix'!$Q$119)^('IV. LCOE, Baseline Energy Mix'!N$13-1))</f>
        <v>0</v>
      </c>
      <c r="O160" s="1564">
        <f>IF('II. Inputs, Baseline Energy Mix'!$Q$19=0,0,O154*'II. Inputs, Baseline Energy Mix'!$Q$118*(1+'II. Inputs, Baseline Energy Mix'!$Q$119)^('IV. LCOE, Baseline Energy Mix'!O$13-1))</f>
        <v>0</v>
      </c>
      <c r="P160" s="1564">
        <f>IF('II. Inputs, Baseline Energy Mix'!$Q$19=0,0,P154*'II. Inputs, Baseline Energy Mix'!$Q$118*(1+'II. Inputs, Baseline Energy Mix'!$Q$119)^('IV. LCOE, Baseline Energy Mix'!P$13-1))</f>
        <v>0</v>
      </c>
      <c r="Q160" s="1564">
        <f>IF('II. Inputs, Baseline Energy Mix'!$Q$19=0,0,Q154*'II. Inputs, Baseline Energy Mix'!$Q$118*(1+'II. Inputs, Baseline Energy Mix'!$Q$119)^('IV. LCOE, Baseline Energy Mix'!Q$13-1))</f>
        <v>0</v>
      </c>
      <c r="R160" s="1564">
        <f>IF('II. Inputs, Baseline Energy Mix'!$Q$19=0,0,R154*'II. Inputs, Baseline Energy Mix'!$Q$118*(1+'II. Inputs, Baseline Energy Mix'!$Q$119)^('IV. LCOE, Baseline Energy Mix'!R$13-1))</f>
        <v>0</v>
      </c>
      <c r="S160" s="1564">
        <f>IF('II. Inputs, Baseline Energy Mix'!$Q$19=0,0,S154*'II. Inputs, Baseline Energy Mix'!$Q$118*(1+'II. Inputs, Baseline Energy Mix'!$Q$119)^('IV. LCOE, Baseline Energy Mix'!S$13-1))</f>
        <v>0</v>
      </c>
      <c r="T160" s="1564">
        <f>IF('II. Inputs, Baseline Energy Mix'!$Q$19=0,0,T154*'II. Inputs, Baseline Energy Mix'!$Q$118*(1+'II. Inputs, Baseline Energy Mix'!$Q$119)^('IV. LCOE, Baseline Energy Mix'!T$13-1))</f>
        <v>0</v>
      </c>
      <c r="U160" s="1564">
        <f>IF('II. Inputs, Baseline Energy Mix'!$Q$19=0,0,U154*'II. Inputs, Baseline Energy Mix'!$Q$118*(1+'II. Inputs, Baseline Energy Mix'!$Q$119)^('IV. LCOE, Baseline Energy Mix'!U$13-1))</f>
        <v>0</v>
      </c>
      <c r="V160" s="1564">
        <f>IF('II. Inputs, Baseline Energy Mix'!$Q$19=0,0,V154*'II. Inputs, Baseline Energy Mix'!$Q$118*(1+'II. Inputs, Baseline Energy Mix'!$Q$119)^('IV. LCOE, Baseline Energy Mix'!V$13-1))</f>
        <v>0</v>
      </c>
      <c r="W160" s="1564">
        <f>IF('II. Inputs, Baseline Energy Mix'!$Q$19=0,0,W154*'II. Inputs, Baseline Energy Mix'!$Q$118*(1+'II. Inputs, Baseline Energy Mix'!$Q$119)^('IV. LCOE, Baseline Energy Mix'!W$13-1))</f>
        <v>0</v>
      </c>
      <c r="X160" s="1564">
        <f>IF('II. Inputs, Baseline Energy Mix'!$Q$19=0,0,X154*'II. Inputs, Baseline Energy Mix'!$Q$118*(1+'II. Inputs, Baseline Energy Mix'!$Q$119)^('IV. LCOE, Baseline Energy Mix'!X$13-1))</f>
        <v>0</v>
      </c>
      <c r="Y160" s="1564">
        <f>IF('II. Inputs, Baseline Energy Mix'!$Q$19=0,0,Y154*'II. Inputs, Baseline Energy Mix'!$Q$118*(1+'II. Inputs, Baseline Energy Mix'!$Q$119)^('IV. LCOE, Baseline Energy Mix'!Y$13-1))</f>
        <v>0</v>
      </c>
      <c r="Z160" s="1564">
        <f>IF('II. Inputs, Baseline Energy Mix'!$Q$19=0,0,Z154*'II. Inputs, Baseline Energy Mix'!$Q$118*(1+'II. Inputs, Baseline Energy Mix'!$Q$119)^('IV. LCOE, Baseline Energy Mix'!Z$13-1))</f>
        <v>0</v>
      </c>
      <c r="AA160" s="1564">
        <f>IF('II. Inputs, Baseline Energy Mix'!$Q$19=0,0,AA154*'II. Inputs, Baseline Energy Mix'!$Q$118*(1+'II. Inputs, Baseline Energy Mix'!$Q$119)^('IV. LCOE, Baseline Energy Mix'!AA$13-1))</f>
        <v>0</v>
      </c>
      <c r="AB160" s="1564">
        <f>IF('II. Inputs, Baseline Energy Mix'!$Q$19=0,0,AB154*'II. Inputs, Baseline Energy Mix'!$Q$118*(1+'II. Inputs, Baseline Energy Mix'!$Q$119)^('IV. LCOE, Baseline Energy Mix'!AB$13-1))</f>
        <v>0</v>
      </c>
      <c r="AC160" s="1564">
        <f>IF('II. Inputs, Baseline Energy Mix'!$Q$19=0,0,AC154*'II. Inputs, Baseline Energy Mix'!$Q$118*(1+'II. Inputs, Baseline Energy Mix'!$Q$119)^('IV. LCOE, Baseline Energy Mix'!AC$13-1))</f>
        <v>0</v>
      </c>
      <c r="AD160" s="1564">
        <f>IF('II. Inputs, Baseline Energy Mix'!$Q$19=0,0,AD154*'II. Inputs, Baseline Energy Mix'!$Q$118*(1+'II. Inputs, Baseline Energy Mix'!$Q$119)^('IV. LCOE, Baseline Energy Mix'!AD$13-1))</f>
        <v>0</v>
      </c>
      <c r="AE160" s="1564">
        <f>IF('II. Inputs, Baseline Energy Mix'!$Q$19=0,0,AE154*'II. Inputs, Baseline Energy Mix'!$Q$118*(1+'II. Inputs, Baseline Energy Mix'!$Q$119)^('IV. LCOE, Baseline Energy Mix'!AE$13-1))</f>
        <v>0</v>
      </c>
      <c r="AF160" s="1564">
        <f>IF('II. Inputs, Baseline Energy Mix'!$Q$19=0,0,AF154*'II. Inputs, Baseline Energy Mix'!$Q$118*(1+'II. Inputs, Baseline Energy Mix'!$Q$119)^('IV. LCOE, Baseline Energy Mix'!AF$13-1))</f>
        <v>0</v>
      </c>
      <c r="AG160" s="1564">
        <f>IF('II. Inputs, Baseline Energy Mix'!$Q$19=0,0,AG154*'II. Inputs, Baseline Energy Mix'!$Q$118*(1+'II. Inputs, Baseline Energy Mix'!$Q$119)^('IV. LCOE, Baseline Energy Mix'!AG$13-1))</f>
        <v>0</v>
      </c>
      <c r="AH160" s="1564">
        <f>IF('II. Inputs, Baseline Energy Mix'!$Q$19=0,0,AH154*'II. Inputs, Baseline Energy Mix'!$Q$118*(1+'II. Inputs, Baseline Energy Mix'!$Q$119)^('IV. LCOE, Baseline Energy Mix'!AH$13-1))</f>
        <v>0</v>
      </c>
      <c r="AI160" s="1564">
        <f>IF('II. Inputs, Baseline Energy Mix'!$Q$19=0,0,AI154*'II. Inputs, Baseline Energy Mix'!$Q$118*(1+'II. Inputs, Baseline Energy Mix'!$Q$119)^('IV. LCOE, Baseline Energy Mix'!AI$13-1))</f>
        <v>0</v>
      </c>
      <c r="AJ160" s="1564">
        <f>IF('II. Inputs, Baseline Energy Mix'!$Q$19=0,0,AJ154*'II. Inputs, Baseline Energy Mix'!$Q$118*(1+'II. Inputs, Baseline Energy Mix'!$Q$119)^('IV. LCOE, Baseline Energy Mix'!AJ$13-1))</f>
        <v>0</v>
      </c>
      <c r="AK160" s="1564">
        <f>IF('II. Inputs, Baseline Energy Mix'!$Q$19=0,0,AK154*'II. Inputs, Baseline Energy Mix'!$Q$118*(1+'II. Inputs, Baseline Energy Mix'!$Q$119)^('IV. LCOE, Baseline Energy Mix'!AK$13-1))</f>
        <v>0</v>
      </c>
      <c r="AL160" s="1564">
        <f>IF('II. Inputs, Baseline Energy Mix'!$Q$19=0,0,AL154*'II. Inputs, Baseline Energy Mix'!$Q$118*(1+'II. Inputs, Baseline Energy Mix'!$Q$119)^('IV. LCOE, Baseline Energy Mix'!AL$13-1))</f>
        <v>0</v>
      </c>
      <c r="AM160" s="1564">
        <f>IF('II. Inputs, Baseline Energy Mix'!$Q$19=0,0,AM154*'II. Inputs, Baseline Energy Mix'!$Q$118*(1+'II. Inputs, Baseline Energy Mix'!$Q$119)^('IV. LCOE, Baseline Energy Mix'!AM$13-1))</f>
        <v>0</v>
      </c>
      <c r="AN160" s="1564">
        <f>IF('II. Inputs, Baseline Energy Mix'!$Q$19=0,0,AN154*'II. Inputs, Baseline Energy Mix'!$Q$118*(1+'II. Inputs, Baseline Energy Mix'!$Q$119)^('IV. LCOE, Baseline Energy Mix'!AN$13-1))</f>
        <v>0</v>
      </c>
      <c r="AO160" s="1564">
        <f>IF('II. Inputs, Baseline Energy Mix'!$Q$19=0,0,AO154*'II. Inputs, Baseline Energy Mix'!$Q$118*(1+'II. Inputs, Baseline Energy Mix'!$Q$119)^('IV. LCOE, Baseline Energy Mix'!AO$13-1))</f>
        <v>0</v>
      </c>
      <c r="AP160" s="1564">
        <f>IF('II. Inputs, Baseline Energy Mix'!$Q$19=0,0,AP154*'II. Inputs, Baseline Energy Mix'!$Q$118*(1+'II. Inputs, Baseline Energy Mix'!$Q$119)^('IV. LCOE, Baseline Energy Mix'!AP$13-1))</f>
        <v>0</v>
      </c>
      <c r="AQ160" s="1564">
        <f>IF('II. Inputs, Baseline Energy Mix'!$Q$19=0,0,AQ154*'II. Inputs, Baseline Energy Mix'!$Q$118*(1+'II. Inputs, Baseline Energy Mix'!$Q$119)^('IV. LCOE, Baseline Energy Mix'!AQ$13-1))</f>
        <v>0</v>
      </c>
      <c r="AR160" s="1564">
        <f>IF('II. Inputs, Baseline Energy Mix'!$Q$19=0,0,AR154*'II. Inputs, Baseline Energy Mix'!$Q$118*(1+'II. Inputs, Baseline Energy Mix'!$Q$119)^('IV. LCOE, Baseline Energy Mix'!AR$13-1))</f>
        <v>0</v>
      </c>
      <c r="AS160" s="1564">
        <f>IF('II. Inputs, Baseline Energy Mix'!$Q$19=0,0,AS154*'II. Inputs, Baseline Energy Mix'!$Q$118*(1+'II. Inputs, Baseline Energy Mix'!$Q$119)^('IV. LCOE, Baseline Energy Mix'!AS$13-1))</f>
        <v>0</v>
      </c>
      <c r="AT160" s="1564">
        <f>IF('II. Inputs, Baseline Energy Mix'!$Q$19=0,0,AT154*'II. Inputs, Baseline Energy Mix'!$Q$118*(1+'II. Inputs, Baseline Energy Mix'!$Q$119)^('IV. LCOE, Baseline Energy Mix'!AT$13-1))</f>
        <v>0</v>
      </c>
      <c r="AU160" s="1564">
        <f>IF('II. Inputs, Baseline Energy Mix'!$Q$19=0,0,AU154*'II. Inputs, Baseline Energy Mix'!$Q$118*(1+'II. Inputs, Baseline Energy Mix'!$Q$119)^('IV. LCOE, Baseline Energy Mix'!AU$13-1))</f>
        <v>0</v>
      </c>
      <c r="AV160" s="1564">
        <f>IF('II. Inputs, Baseline Energy Mix'!$Q$19=0,0,AV154*'II. Inputs, Baseline Energy Mix'!$Q$118*(1+'II. Inputs, Baseline Energy Mix'!$Q$119)^('IV. LCOE, Baseline Energy Mix'!AV$13-1))</f>
        <v>0</v>
      </c>
      <c r="AW160" s="1564">
        <f>IF('II. Inputs, Baseline Energy Mix'!$Q$19=0,0,AW154*'II. Inputs, Baseline Energy Mix'!$Q$118*(1+'II. Inputs, Baseline Energy Mix'!$Q$119)^('IV. LCOE, Baseline Energy Mix'!AW$13-1))</f>
        <v>0</v>
      </c>
      <c r="AX160" s="1564">
        <f>IF('II. Inputs, Baseline Energy Mix'!$Q$19=0,0,AX154*'II. Inputs, Baseline Energy Mix'!$Q$118*(1+'II. Inputs, Baseline Energy Mix'!$Q$119)^('IV. LCOE, Baseline Energy Mix'!AX$13-1))</f>
        <v>0</v>
      </c>
      <c r="AY160" s="1564">
        <f>IF('II. Inputs, Baseline Energy Mix'!$Q$19=0,0,AY154*'II. Inputs, Baseline Energy Mix'!$Q$118*(1+'II. Inputs, Baseline Energy Mix'!$Q$119)^('IV. LCOE, Baseline Energy Mix'!AY$13-1))</f>
        <v>0</v>
      </c>
      <c r="AZ160" s="1564">
        <f>IF('II. Inputs, Baseline Energy Mix'!$Q$19=0,0,AZ154*'II. Inputs, Baseline Energy Mix'!$Q$118*(1+'II. Inputs, Baseline Energy Mix'!$Q$119)^('IV. LCOE, Baseline Energy Mix'!AZ$13-1))</f>
        <v>0</v>
      </c>
      <c r="BA160" s="1564">
        <f>IF('II. Inputs, Baseline Energy Mix'!$Q$19=0,0,BA154*'II. Inputs, Baseline Energy Mix'!$Q$118*(1+'II. Inputs, Baseline Energy Mix'!$Q$119)^('IV. LCOE, Baseline Energy Mix'!BA$13-1))</f>
        <v>0</v>
      </c>
      <c r="BB160" s="1564">
        <f>IF('II. Inputs, Baseline Energy Mix'!$Q$19=0,0,BB154*'II. Inputs, Baseline Energy Mix'!$Q$118*(1+'II. Inputs, Baseline Energy Mix'!$Q$119)^('IV. LCOE, Baseline Energy Mix'!BB$13-1))</f>
        <v>0</v>
      </c>
      <c r="BC160" s="1564">
        <f>IF('II. Inputs, Baseline Energy Mix'!$Q$19=0,0,BC154*'II. Inputs, Baseline Energy Mix'!$Q$118*(1+'II. Inputs, Baseline Energy Mix'!$Q$119)^('IV. LCOE, Baseline Energy Mix'!BC$13-1))</f>
        <v>0</v>
      </c>
      <c r="BD160" s="1564">
        <f>IF('II. Inputs, Baseline Energy Mix'!$Q$19=0,0,BD154*'II. Inputs, Baseline Energy Mix'!$Q$118*(1+'II. Inputs, Baseline Energy Mix'!$Q$119)^('IV. LCOE, Baseline Energy Mix'!BD$13-1))</f>
        <v>0</v>
      </c>
      <c r="BE160" s="1565">
        <f>IF('II. Inputs, Baseline Energy Mix'!$Q$19=0,0,BE154*'II. Inputs, Baseline Energy Mix'!$Q$118*(1+'II. Inputs, Baseline Energy Mix'!$Q$119)^('IV. LCOE, Baseline Energy Mix'!BE$13-1))</f>
        <v>0</v>
      </c>
      <c r="BF160" s="695"/>
    </row>
    <row r="161" spans="1:58" x14ac:dyDescent="0.45">
      <c r="A161" s="695"/>
      <c r="B161" s="918"/>
      <c r="C161" s="919"/>
      <c r="D161" s="919"/>
      <c r="E161" s="922"/>
      <c r="F161" s="922"/>
      <c r="G161" s="919"/>
      <c r="H161" s="929"/>
      <c r="I161" s="929"/>
      <c r="J161" s="929"/>
      <c r="K161" s="929"/>
      <c r="L161" s="929"/>
      <c r="M161" s="929"/>
      <c r="N161" s="929"/>
      <c r="O161" s="929"/>
      <c r="P161" s="929"/>
      <c r="Q161" s="929"/>
      <c r="R161" s="929"/>
      <c r="S161" s="929"/>
      <c r="T161" s="929"/>
      <c r="U161" s="929"/>
      <c r="V161" s="929"/>
      <c r="W161" s="929"/>
      <c r="X161" s="929"/>
      <c r="Y161" s="929"/>
      <c r="Z161" s="929"/>
      <c r="AA161" s="929"/>
      <c r="AB161" s="929"/>
      <c r="AC161" s="929"/>
      <c r="AD161" s="929"/>
      <c r="AE161" s="929"/>
      <c r="AF161" s="929"/>
      <c r="AG161" s="929"/>
      <c r="AH161" s="929"/>
      <c r="AI161" s="929"/>
      <c r="AJ161" s="929"/>
      <c r="AK161" s="929"/>
      <c r="AL161" s="929"/>
      <c r="AM161" s="929"/>
      <c r="AN161" s="929"/>
      <c r="AO161" s="929"/>
      <c r="AP161" s="929"/>
      <c r="AQ161" s="929"/>
      <c r="AR161" s="929"/>
      <c r="AS161" s="929"/>
      <c r="AT161" s="929"/>
      <c r="AU161" s="929"/>
      <c r="AV161" s="929"/>
      <c r="AW161" s="929"/>
      <c r="AX161" s="929"/>
      <c r="AY161" s="929"/>
      <c r="AZ161" s="929"/>
      <c r="BA161" s="929"/>
      <c r="BB161" s="929"/>
      <c r="BC161" s="929"/>
      <c r="BD161" s="929"/>
      <c r="BE161" s="930"/>
      <c r="BF161" s="695"/>
    </row>
    <row r="162" spans="1:58" x14ac:dyDescent="0.45">
      <c r="A162" s="695"/>
      <c r="B162" s="918" t="s">
        <v>33</v>
      </c>
      <c r="C162" s="919"/>
      <c r="D162" s="919"/>
      <c r="E162" s="922"/>
      <c r="F162" s="922" t="s">
        <v>749</v>
      </c>
      <c r="G162" s="919"/>
      <c r="H162" s="1782">
        <f>IF('II. Inputs, Baseline Energy Mix'!$Q$109="User-defined, annually adjusted",H163,IF('II. Inputs, Baseline Energy Mix'!$Q$109="Manual Entry",H165,H164))</f>
        <v>0</v>
      </c>
      <c r="I162" s="1782">
        <f>IF('II. Inputs, Baseline Energy Mix'!$Q$109="User-defined, annually adjusted",I163,IF('II. Inputs, Baseline Energy Mix'!$Q$109="Manual Entry",I165,I164))</f>
        <v>0</v>
      </c>
      <c r="J162" s="1782">
        <f>IF('II. Inputs, Baseline Energy Mix'!$Q$109="User-defined, annually adjusted",J163,IF('II. Inputs, Baseline Energy Mix'!$Q$109="Manual Entry",J165,J164))</f>
        <v>0</v>
      </c>
      <c r="K162" s="1782">
        <f>IF('II. Inputs, Baseline Energy Mix'!$Q$109="User-defined, annually adjusted",K163,IF('II. Inputs, Baseline Energy Mix'!$Q$109="Manual Entry",K165,K164))</f>
        <v>0</v>
      </c>
      <c r="L162" s="1782">
        <f>IF('II. Inputs, Baseline Energy Mix'!$Q$109="User-defined, annually adjusted",L163,IF('II. Inputs, Baseline Energy Mix'!$Q$109="Manual Entry",L165,L164))</f>
        <v>0</v>
      </c>
      <c r="M162" s="1782">
        <f>IF('II. Inputs, Baseline Energy Mix'!$Q$109="User-defined, annually adjusted",M163,IF('II. Inputs, Baseline Energy Mix'!$Q$109="Manual Entry",M165,M164))</f>
        <v>0</v>
      </c>
      <c r="N162" s="1782">
        <f>IF('II. Inputs, Baseline Energy Mix'!$Q$109="User-defined, annually adjusted",N163,IF('II. Inputs, Baseline Energy Mix'!$Q$109="Manual Entry",N165,N164))</f>
        <v>0</v>
      </c>
      <c r="O162" s="1782">
        <f>IF('II. Inputs, Baseline Energy Mix'!$Q$109="User-defined, annually adjusted",O163,IF('II. Inputs, Baseline Energy Mix'!$Q$109="Manual Entry",O165,O164))</f>
        <v>0</v>
      </c>
      <c r="P162" s="1782">
        <f>IF('II. Inputs, Baseline Energy Mix'!$Q$109="User-defined, annually adjusted",P163,IF('II. Inputs, Baseline Energy Mix'!$Q$109="Manual Entry",P165,P164))</f>
        <v>0</v>
      </c>
      <c r="Q162" s="1782">
        <f>IF('II. Inputs, Baseline Energy Mix'!$Q$109="User-defined, annually adjusted",Q163,IF('II. Inputs, Baseline Energy Mix'!$Q$109="Manual Entry",Q165,Q164))</f>
        <v>0</v>
      </c>
      <c r="R162" s="1782">
        <f>IF('II. Inputs, Baseline Energy Mix'!$Q$109="User-defined, annually adjusted",R163,IF('II. Inputs, Baseline Energy Mix'!$Q$109="Manual Entry",R165,R164))</f>
        <v>0</v>
      </c>
      <c r="S162" s="1782">
        <f>IF('II. Inputs, Baseline Energy Mix'!$Q$109="User-defined, annually adjusted",S163,IF('II. Inputs, Baseline Energy Mix'!$Q$109="Manual Entry",S165,S164))</f>
        <v>0</v>
      </c>
      <c r="T162" s="1782">
        <f>IF('II. Inputs, Baseline Energy Mix'!$Q$109="User-defined, annually adjusted",T163,IF('II. Inputs, Baseline Energy Mix'!$Q$109="Manual Entry",T165,T164))</f>
        <v>0</v>
      </c>
      <c r="U162" s="1782">
        <f>IF('II. Inputs, Baseline Energy Mix'!$Q$109="User-defined, annually adjusted",U163,IF('II. Inputs, Baseline Energy Mix'!$Q$109="Manual Entry",U165,U164))</f>
        <v>0</v>
      </c>
      <c r="V162" s="1782">
        <f>IF('II. Inputs, Baseline Energy Mix'!$Q$109="User-defined, annually adjusted",V163,IF('II. Inputs, Baseline Energy Mix'!$Q$109="Manual Entry",V165,V164))</f>
        <v>0</v>
      </c>
      <c r="W162" s="1782">
        <f>IF('II. Inputs, Baseline Energy Mix'!$Q$109="User-defined, annually adjusted",W163,IF('II. Inputs, Baseline Energy Mix'!$Q$109="Manual Entry",W165,W164))</f>
        <v>0</v>
      </c>
      <c r="X162" s="1782">
        <f>IF('II. Inputs, Baseline Energy Mix'!$Q$109="User-defined, annually adjusted",X163,IF('II. Inputs, Baseline Energy Mix'!$Q$109="Manual Entry",X165,X164))</f>
        <v>0</v>
      </c>
      <c r="Y162" s="1782">
        <f>IF('II. Inputs, Baseline Energy Mix'!$Q$109="User-defined, annually adjusted",Y163,IF('II. Inputs, Baseline Energy Mix'!$Q$109="Manual Entry",Y165,Y164))</f>
        <v>0</v>
      </c>
      <c r="Z162" s="1782">
        <f>IF('II. Inputs, Baseline Energy Mix'!$Q$109="User-defined, annually adjusted",Z163,IF('II. Inputs, Baseline Energy Mix'!$Q$109="Manual Entry",Z165,Z164))</f>
        <v>0</v>
      </c>
      <c r="AA162" s="1782">
        <f>IF('II. Inputs, Baseline Energy Mix'!$Q$109="User-defined, annually adjusted",AA163,IF('II. Inputs, Baseline Energy Mix'!$Q$109="Manual Entry",AA165,AA164))</f>
        <v>0</v>
      </c>
      <c r="AB162" s="1782">
        <f>IF('II. Inputs, Baseline Energy Mix'!$Q$109="User-defined, annually adjusted",AB163,IF('II. Inputs, Baseline Energy Mix'!$Q$109="Manual Entry",AB165,AB164))</f>
        <v>0</v>
      </c>
      <c r="AC162" s="1782">
        <f>IF('II. Inputs, Baseline Energy Mix'!$Q$109="User-defined, annually adjusted",AC163,IF('II. Inputs, Baseline Energy Mix'!$Q$109="Manual Entry",AC165,AC164))</f>
        <v>0</v>
      </c>
      <c r="AD162" s="1782">
        <f>IF('II. Inputs, Baseline Energy Mix'!$Q$109="User-defined, annually adjusted",AD163,IF('II. Inputs, Baseline Energy Mix'!$Q$109="Manual Entry",AD165,AD164))</f>
        <v>0</v>
      </c>
      <c r="AE162" s="1782">
        <f>IF('II. Inputs, Baseline Energy Mix'!$Q$109="User-defined, annually adjusted",AE163,IF('II. Inputs, Baseline Energy Mix'!$Q$109="Manual Entry",AE165,AE164))</f>
        <v>0</v>
      </c>
      <c r="AF162" s="1782">
        <f>IF('II. Inputs, Baseline Energy Mix'!$Q$109="User-defined, annually adjusted",AF163,IF('II. Inputs, Baseline Energy Mix'!$Q$109="Manual Entry",AF165,AF164))</f>
        <v>0</v>
      </c>
      <c r="AG162" s="1782">
        <f>IF('II. Inputs, Baseline Energy Mix'!$Q$109="User-defined, annually adjusted",AG163,IF('II. Inputs, Baseline Energy Mix'!$Q$109="Manual Entry",AG165,AG164))</f>
        <v>0</v>
      </c>
      <c r="AH162" s="1782">
        <f>IF('II. Inputs, Baseline Energy Mix'!$Q$109="User-defined, annually adjusted",AH163,IF('II. Inputs, Baseline Energy Mix'!$Q$109="Manual Entry",AH165,AH164))</f>
        <v>0</v>
      </c>
      <c r="AI162" s="1782">
        <f>IF('II. Inputs, Baseline Energy Mix'!$Q$109="User-defined, annually adjusted",AI163,IF('II. Inputs, Baseline Energy Mix'!$Q$109="Manual Entry",AI165,AI164))</f>
        <v>0</v>
      </c>
      <c r="AJ162" s="1782">
        <f>IF('II. Inputs, Baseline Energy Mix'!$Q$109="User-defined, annually adjusted",AJ163,IF('II. Inputs, Baseline Energy Mix'!$Q$109="Manual Entry",AJ165,AJ164))</f>
        <v>0</v>
      </c>
      <c r="AK162" s="1782">
        <f>IF('II. Inputs, Baseline Energy Mix'!$Q$109="User-defined, annually adjusted",AK163,IF('II. Inputs, Baseline Energy Mix'!$Q$109="Manual Entry",AK165,AK164))</f>
        <v>0</v>
      </c>
      <c r="AL162" s="1782">
        <f>IF('II. Inputs, Baseline Energy Mix'!$Q$109="User-defined, annually adjusted",AL163,IF('II. Inputs, Baseline Energy Mix'!$Q$109="Manual Entry",AL165,AL164))</f>
        <v>0</v>
      </c>
      <c r="AM162" s="1782">
        <f>IF('II. Inputs, Baseline Energy Mix'!$Q$109="User-defined, annually adjusted",AM163,IF('II. Inputs, Baseline Energy Mix'!$Q$109="Manual Entry",AM165,AM164))</f>
        <v>0</v>
      </c>
      <c r="AN162" s="1782">
        <f>IF('II. Inputs, Baseline Energy Mix'!$Q$109="User-defined, annually adjusted",AN163,IF('II. Inputs, Baseline Energy Mix'!$Q$109="Manual Entry",AN165,AN164))</f>
        <v>0</v>
      </c>
      <c r="AO162" s="1782">
        <f>IF('II. Inputs, Baseline Energy Mix'!$Q$109="User-defined, annually adjusted",AO163,IF('II. Inputs, Baseline Energy Mix'!$Q$109="Manual Entry",AO165,AO164))</f>
        <v>0</v>
      </c>
      <c r="AP162" s="1782">
        <f>IF('II. Inputs, Baseline Energy Mix'!$Q$109="User-defined, annually adjusted",AP163,IF('II. Inputs, Baseline Energy Mix'!$Q$109="Manual Entry",AP165,AP164))</f>
        <v>0</v>
      </c>
      <c r="AQ162" s="1782">
        <f>IF('II. Inputs, Baseline Energy Mix'!$Q$109="User-defined, annually adjusted",AQ163,IF('II. Inputs, Baseline Energy Mix'!$Q$109="Manual Entry",AQ165,AQ164))</f>
        <v>0</v>
      </c>
      <c r="AR162" s="1782">
        <f>IF('II. Inputs, Baseline Energy Mix'!$Q$109="User-defined, annually adjusted",AR163,IF('II. Inputs, Baseline Energy Mix'!$Q$109="Manual Entry",AR165,AR164))</f>
        <v>0</v>
      </c>
      <c r="AS162" s="1782">
        <f>IF('II. Inputs, Baseline Energy Mix'!$Q$109="User-defined, annually adjusted",AS163,IF('II. Inputs, Baseline Energy Mix'!$Q$109="Manual Entry",AS165,AS164))</f>
        <v>0</v>
      </c>
      <c r="AT162" s="1782">
        <f>IF('II. Inputs, Baseline Energy Mix'!$Q$109="User-defined, annually adjusted",AT163,IF('II. Inputs, Baseline Energy Mix'!$Q$109="Manual Entry",AT165,AT164))</f>
        <v>0</v>
      </c>
      <c r="AU162" s="1782">
        <f>IF('II. Inputs, Baseline Energy Mix'!$Q$109="User-defined, annually adjusted",AU163,IF('II. Inputs, Baseline Energy Mix'!$Q$109="Manual Entry",AU165,AU164))</f>
        <v>0</v>
      </c>
      <c r="AV162" s="1782">
        <f>IF('II. Inputs, Baseline Energy Mix'!$Q$109="User-defined, annually adjusted",AV163,IF('II. Inputs, Baseline Energy Mix'!$Q$109="Manual Entry",AV165,AV164))</f>
        <v>0</v>
      </c>
      <c r="AW162" s="1782">
        <f>IF('II. Inputs, Baseline Energy Mix'!$Q$109="User-defined, annually adjusted",AW163,IF('II. Inputs, Baseline Energy Mix'!$Q$109="Manual Entry",AW165,AW164))</f>
        <v>0</v>
      </c>
      <c r="AX162" s="1782">
        <f>IF('II. Inputs, Baseline Energy Mix'!$Q$109="User-defined, annually adjusted",AX163,IF('II. Inputs, Baseline Energy Mix'!$Q$109="Manual Entry",AX165,AX164))</f>
        <v>0</v>
      </c>
      <c r="AY162" s="1782">
        <f>IF('II. Inputs, Baseline Energy Mix'!$Q$109="User-defined, annually adjusted",AY163,IF('II. Inputs, Baseline Energy Mix'!$Q$109="Manual Entry",AY165,AY164))</f>
        <v>0</v>
      </c>
      <c r="AZ162" s="1782">
        <f>IF('II. Inputs, Baseline Energy Mix'!$Q$109="User-defined, annually adjusted",AZ163,IF('II. Inputs, Baseline Energy Mix'!$Q$109="Manual Entry",AZ165,AZ164))</f>
        <v>0</v>
      </c>
      <c r="BA162" s="1782">
        <f>IF('II. Inputs, Baseline Energy Mix'!$Q$109="User-defined, annually adjusted",BA163,IF('II. Inputs, Baseline Energy Mix'!$Q$109="Manual Entry",BA165,BA164))</f>
        <v>0</v>
      </c>
      <c r="BB162" s="1782">
        <f>IF('II. Inputs, Baseline Energy Mix'!$Q$109="User-defined, annually adjusted",BB163,IF('II. Inputs, Baseline Energy Mix'!$Q$109="Manual Entry",BB165,BB164))</f>
        <v>0</v>
      </c>
      <c r="BC162" s="1782">
        <f>IF('II. Inputs, Baseline Energy Mix'!$Q$109="User-defined, annually adjusted",BC163,IF('II. Inputs, Baseline Energy Mix'!$Q$109="Manual Entry",BC165,BC164))</f>
        <v>0</v>
      </c>
      <c r="BD162" s="1782">
        <f>IF('II. Inputs, Baseline Energy Mix'!$Q$109="User-defined, annually adjusted",BD163,IF('II. Inputs, Baseline Energy Mix'!$Q$109="Manual Entry",BD165,BD164))</f>
        <v>0</v>
      </c>
      <c r="BE162" s="1783">
        <f>IF('II. Inputs, Baseline Energy Mix'!$Q$109="User-defined, annually adjusted",BE163,IF('II. Inputs, Baseline Energy Mix'!$Q$109="Manual Entry",BE165,BE164))</f>
        <v>0</v>
      </c>
      <c r="BF162" s="695"/>
    </row>
    <row r="163" spans="1:58" outlineLevel="1" x14ac:dyDescent="0.45">
      <c r="A163" s="695"/>
      <c r="B163" s="918"/>
      <c r="C163" s="919" t="s">
        <v>620</v>
      </c>
      <c r="D163" s="919"/>
      <c r="E163" s="922"/>
      <c r="F163" s="922"/>
      <c r="G163" s="919"/>
      <c r="H163" s="1782">
        <f xml:space="preserve"> H$154*VLOOKUP(H$13,'II. Inputs, Baseline Energy Mix'!$F$133:$Y$182,6, FALSE)</f>
        <v>0</v>
      </c>
      <c r="I163" s="1782">
        <f xml:space="preserve"> I$154*VLOOKUP(I$13,'II. Inputs, Baseline Energy Mix'!$F$133:$Y$182,6, FALSE)</f>
        <v>0</v>
      </c>
      <c r="J163" s="1782">
        <f xml:space="preserve"> J$154*VLOOKUP(J$13,'II. Inputs, Baseline Energy Mix'!$F$133:$Y$182,6, FALSE)</f>
        <v>0</v>
      </c>
      <c r="K163" s="1782">
        <f xml:space="preserve"> K$154*VLOOKUP(K$13,'II. Inputs, Baseline Energy Mix'!$F$133:$Y$182,6, FALSE)</f>
        <v>0</v>
      </c>
      <c r="L163" s="1782">
        <f xml:space="preserve"> L$154*VLOOKUP(L$13,'II. Inputs, Baseline Energy Mix'!$F$133:$Y$182,6, FALSE)</f>
        <v>0</v>
      </c>
      <c r="M163" s="1782">
        <f xml:space="preserve"> M$154*VLOOKUP(M$13,'II. Inputs, Baseline Energy Mix'!$F$133:$Y$182,6, FALSE)</f>
        <v>0</v>
      </c>
      <c r="N163" s="1782">
        <f xml:space="preserve"> N$154*VLOOKUP(N$13,'II. Inputs, Baseline Energy Mix'!$F$133:$Y$182,6, FALSE)</f>
        <v>0</v>
      </c>
      <c r="O163" s="1782">
        <f xml:space="preserve"> O$154*VLOOKUP(O$13,'II. Inputs, Baseline Energy Mix'!$F$133:$Y$182,6, FALSE)</f>
        <v>0</v>
      </c>
      <c r="P163" s="1782">
        <f xml:space="preserve"> P$154*VLOOKUP(P$13,'II. Inputs, Baseline Energy Mix'!$F$133:$Y$182,6, FALSE)</f>
        <v>0</v>
      </c>
      <c r="Q163" s="1782">
        <f xml:space="preserve"> Q$154*VLOOKUP(Q$13,'II. Inputs, Baseline Energy Mix'!$F$133:$Y$182,6, FALSE)</f>
        <v>0</v>
      </c>
      <c r="R163" s="1782">
        <f xml:space="preserve"> R$154*VLOOKUP(R$13,'II. Inputs, Baseline Energy Mix'!$F$133:$Y$182,6, FALSE)</f>
        <v>0</v>
      </c>
      <c r="S163" s="1782">
        <f xml:space="preserve"> S$154*VLOOKUP(S$13,'II. Inputs, Baseline Energy Mix'!$F$133:$Y$182,6, FALSE)</f>
        <v>0</v>
      </c>
      <c r="T163" s="1782">
        <f xml:space="preserve"> T$154*VLOOKUP(T$13,'II. Inputs, Baseline Energy Mix'!$F$133:$Y$182,6, FALSE)</f>
        <v>0</v>
      </c>
      <c r="U163" s="1782">
        <f xml:space="preserve"> U$154*VLOOKUP(U$13,'II. Inputs, Baseline Energy Mix'!$F$133:$Y$182,6, FALSE)</f>
        <v>0</v>
      </c>
      <c r="V163" s="1782">
        <f xml:space="preserve"> V$154*VLOOKUP(V$13,'II. Inputs, Baseline Energy Mix'!$F$133:$Y$182,6, FALSE)</f>
        <v>0</v>
      </c>
      <c r="W163" s="1782">
        <f xml:space="preserve"> W$154*VLOOKUP(W$13,'II. Inputs, Baseline Energy Mix'!$F$133:$Y$182,6, FALSE)</f>
        <v>0</v>
      </c>
      <c r="X163" s="1782">
        <f xml:space="preserve"> X$154*VLOOKUP(X$13,'II. Inputs, Baseline Energy Mix'!$F$133:$Y$182,6, FALSE)</f>
        <v>0</v>
      </c>
      <c r="Y163" s="1782">
        <f xml:space="preserve"> Y$154*VLOOKUP(Y$13,'II. Inputs, Baseline Energy Mix'!$F$133:$Y$182,6, FALSE)</f>
        <v>0</v>
      </c>
      <c r="Z163" s="1782">
        <f xml:space="preserve"> Z$154*VLOOKUP(Z$13,'II. Inputs, Baseline Energy Mix'!$F$133:$Y$182,6, FALSE)</f>
        <v>0</v>
      </c>
      <c r="AA163" s="1782">
        <f xml:space="preserve"> AA$154*VLOOKUP(AA$13,'II. Inputs, Baseline Energy Mix'!$F$133:$Y$182,6, FALSE)</f>
        <v>0</v>
      </c>
      <c r="AB163" s="1782">
        <f xml:space="preserve"> AB$154*VLOOKUP(AB$13,'II. Inputs, Baseline Energy Mix'!$F$133:$Y$182,6, FALSE)</f>
        <v>0</v>
      </c>
      <c r="AC163" s="1782">
        <f xml:space="preserve"> AC$154*VLOOKUP(AC$13,'II. Inputs, Baseline Energy Mix'!$F$133:$Y$182,6, FALSE)</f>
        <v>0</v>
      </c>
      <c r="AD163" s="1782">
        <f xml:space="preserve"> AD$154*VLOOKUP(AD$13,'II. Inputs, Baseline Energy Mix'!$F$133:$Y$182,6, FALSE)</f>
        <v>0</v>
      </c>
      <c r="AE163" s="1782">
        <f xml:space="preserve"> AE$154*VLOOKUP(AE$13,'II. Inputs, Baseline Energy Mix'!$F$133:$Y$182,6, FALSE)</f>
        <v>0</v>
      </c>
      <c r="AF163" s="1782">
        <f xml:space="preserve"> AF$154*VLOOKUP(AF$13,'II. Inputs, Baseline Energy Mix'!$F$133:$Y$182,6, FALSE)</f>
        <v>0</v>
      </c>
      <c r="AG163" s="1782">
        <f xml:space="preserve"> AG$154*VLOOKUP(AG$13,'II. Inputs, Baseline Energy Mix'!$F$133:$Y$182,6, FALSE)</f>
        <v>0</v>
      </c>
      <c r="AH163" s="1782">
        <f xml:space="preserve"> AH$154*VLOOKUP(AH$13,'II. Inputs, Baseline Energy Mix'!$F$133:$Y$182,6, FALSE)</f>
        <v>0</v>
      </c>
      <c r="AI163" s="1782">
        <f xml:space="preserve"> AI$154*VLOOKUP(AI$13,'II. Inputs, Baseline Energy Mix'!$F$133:$Y$182,6, FALSE)</f>
        <v>0</v>
      </c>
      <c r="AJ163" s="1782">
        <f xml:space="preserve"> AJ$154*VLOOKUP(AJ$13,'II. Inputs, Baseline Energy Mix'!$F$133:$Y$182,6, FALSE)</f>
        <v>0</v>
      </c>
      <c r="AK163" s="1782">
        <f xml:space="preserve"> AK$154*VLOOKUP(AK$13,'II. Inputs, Baseline Energy Mix'!$F$133:$Y$182,6, FALSE)</f>
        <v>0</v>
      </c>
      <c r="AL163" s="1782">
        <f xml:space="preserve"> AL$154*VLOOKUP(AL$13,'II. Inputs, Baseline Energy Mix'!$F$133:$Y$182,6, FALSE)</f>
        <v>0</v>
      </c>
      <c r="AM163" s="1782">
        <f xml:space="preserve"> AM$154*VLOOKUP(AM$13,'II. Inputs, Baseline Energy Mix'!$F$133:$Y$182,6, FALSE)</f>
        <v>0</v>
      </c>
      <c r="AN163" s="1782">
        <f xml:space="preserve"> AN$154*VLOOKUP(AN$13,'II. Inputs, Baseline Energy Mix'!$F$133:$Y$182,6, FALSE)</f>
        <v>0</v>
      </c>
      <c r="AO163" s="1782">
        <f xml:space="preserve"> AO$154*VLOOKUP(AO$13,'II. Inputs, Baseline Energy Mix'!$F$133:$Y$182,6, FALSE)</f>
        <v>0</v>
      </c>
      <c r="AP163" s="1782">
        <f xml:space="preserve"> AP$154*VLOOKUP(AP$13,'II. Inputs, Baseline Energy Mix'!$F$133:$Y$182,6, FALSE)</f>
        <v>0</v>
      </c>
      <c r="AQ163" s="1782">
        <f xml:space="preserve"> AQ$154*VLOOKUP(AQ$13,'II. Inputs, Baseline Energy Mix'!$F$133:$Y$182,6, FALSE)</f>
        <v>0</v>
      </c>
      <c r="AR163" s="1782">
        <f xml:space="preserve"> AR$154*VLOOKUP(AR$13,'II. Inputs, Baseline Energy Mix'!$F$133:$Y$182,6, FALSE)</f>
        <v>0</v>
      </c>
      <c r="AS163" s="1782">
        <f xml:space="preserve"> AS$154*VLOOKUP(AS$13,'II. Inputs, Baseline Energy Mix'!$F$133:$Y$182,6, FALSE)</f>
        <v>0</v>
      </c>
      <c r="AT163" s="1782">
        <f xml:space="preserve"> AT$154*VLOOKUP(AT$13,'II. Inputs, Baseline Energy Mix'!$F$133:$Y$182,6, FALSE)</f>
        <v>0</v>
      </c>
      <c r="AU163" s="1782">
        <f xml:space="preserve"> AU$154*VLOOKUP(AU$13,'II. Inputs, Baseline Energy Mix'!$F$133:$Y$182,6, FALSE)</f>
        <v>0</v>
      </c>
      <c r="AV163" s="1782">
        <f xml:space="preserve"> AV$154*VLOOKUP(AV$13,'II. Inputs, Baseline Energy Mix'!$F$133:$Y$182,6, FALSE)</f>
        <v>0</v>
      </c>
      <c r="AW163" s="1782">
        <f xml:space="preserve"> AW$154*VLOOKUP(AW$13,'II. Inputs, Baseline Energy Mix'!$F$133:$Y$182,6, FALSE)</f>
        <v>0</v>
      </c>
      <c r="AX163" s="1782">
        <f xml:space="preserve"> AX$154*VLOOKUP(AX$13,'II. Inputs, Baseline Energy Mix'!$F$133:$Y$182,6, FALSE)</f>
        <v>0</v>
      </c>
      <c r="AY163" s="1782">
        <f xml:space="preserve"> AY$154*VLOOKUP(AY$13,'II. Inputs, Baseline Energy Mix'!$F$133:$Y$182,6, FALSE)</f>
        <v>0</v>
      </c>
      <c r="AZ163" s="1782">
        <f xml:space="preserve"> AZ$154*VLOOKUP(AZ$13,'II. Inputs, Baseline Energy Mix'!$F$133:$Y$182,6, FALSE)</f>
        <v>0</v>
      </c>
      <c r="BA163" s="1782">
        <f xml:space="preserve"> BA$154*VLOOKUP(BA$13,'II. Inputs, Baseline Energy Mix'!$F$133:$Y$182,6, FALSE)</f>
        <v>0</v>
      </c>
      <c r="BB163" s="1782">
        <f xml:space="preserve"> BB$154*VLOOKUP(BB$13,'II. Inputs, Baseline Energy Mix'!$F$133:$Y$182,6, FALSE)</f>
        <v>0</v>
      </c>
      <c r="BC163" s="1782">
        <f xml:space="preserve"> BC$154*VLOOKUP(BC$13,'II. Inputs, Baseline Energy Mix'!$F$133:$Y$182,6, FALSE)</f>
        <v>0</v>
      </c>
      <c r="BD163" s="1782">
        <f xml:space="preserve"> BD$154*VLOOKUP(BD$13,'II. Inputs, Baseline Energy Mix'!$F$133:$Y$182,6, FALSE)</f>
        <v>0</v>
      </c>
      <c r="BE163" s="1783">
        <f xml:space="preserve"> BE$154*VLOOKUP(BE$13,'II. Inputs, Baseline Energy Mix'!$F$133:$Y$182,6, FALSE)</f>
        <v>0</v>
      </c>
      <c r="BF163" s="695"/>
    </row>
    <row r="164" spans="1:58" outlineLevel="1" x14ac:dyDescent="0.45">
      <c r="A164" s="695"/>
      <c r="B164" s="918"/>
      <c r="C164" s="919" t="s">
        <v>621</v>
      </c>
      <c r="D164" s="919"/>
      <c r="E164" s="922"/>
      <c r="F164" s="922"/>
      <c r="G164" s="919"/>
      <c r="H164" s="1782">
        <f xml:space="preserve"> H$154*VLOOKUP(H$13,'II. Inputs, Baseline Energy Mix'!$F$133:$Y$182,12, FALSE)</f>
        <v>0</v>
      </c>
      <c r="I164" s="1782">
        <f xml:space="preserve"> I$154*VLOOKUP(I$13,'II. Inputs, Baseline Energy Mix'!$F$133:$Y$182,12, FALSE)</f>
        <v>0</v>
      </c>
      <c r="J164" s="1782">
        <f xml:space="preserve"> J$154*VLOOKUP(J$13,'II. Inputs, Baseline Energy Mix'!$F$133:$Y$182,12, FALSE)</f>
        <v>0</v>
      </c>
      <c r="K164" s="1782">
        <f xml:space="preserve"> K$154*VLOOKUP(K$13,'II. Inputs, Baseline Energy Mix'!$F$133:$Y$182,12, FALSE)</f>
        <v>0</v>
      </c>
      <c r="L164" s="1782">
        <f xml:space="preserve"> L$154*VLOOKUP(L$13,'II. Inputs, Baseline Energy Mix'!$F$133:$Y$182,12, FALSE)</f>
        <v>0</v>
      </c>
      <c r="M164" s="1782">
        <f xml:space="preserve"> M$154*VLOOKUP(M$13,'II. Inputs, Baseline Energy Mix'!$F$133:$Y$182,12, FALSE)</f>
        <v>0</v>
      </c>
      <c r="N164" s="1782">
        <f xml:space="preserve"> N$154*VLOOKUP(N$13,'II. Inputs, Baseline Energy Mix'!$F$133:$Y$182,12, FALSE)</f>
        <v>0</v>
      </c>
      <c r="O164" s="1782">
        <f xml:space="preserve"> O$154*VLOOKUP(O$13,'II. Inputs, Baseline Energy Mix'!$F$133:$Y$182,12, FALSE)</f>
        <v>0</v>
      </c>
      <c r="P164" s="1782">
        <f xml:space="preserve"> P$154*VLOOKUP(P$13,'II. Inputs, Baseline Energy Mix'!$F$133:$Y$182,12, FALSE)</f>
        <v>0</v>
      </c>
      <c r="Q164" s="1782">
        <f xml:space="preserve"> Q$154*VLOOKUP(Q$13,'II. Inputs, Baseline Energy Mix'!$F$133:$Y$182,12, FALSE)</f>
        <v>0</v>
      </c>
      <c r="R164" s="1782">
        <f xml:space="preserve"> R$154*VLOOKUP(R$13,'II. Inputs, Baseline Energy Mix'!$F$133:$Y$182,12, FALSE)</f>
        <v>0</v>
      </c>
      <c r="S164" s="1782">
        <f xml:space="preserve"> S$154*VLOOKUP(S$13,'II. Inputs, Baseline Energy Mix'!$F$133:$Y$182,12, FALSE)</f>
        <v>0</v>
      </c>
      <c r="T164" s="1782">
        <f xml:space="preserve"> T$154*VLOOKUP(T$13,'II. Inputs, Baseline Energy Mix'!$F$133:$Y$182,12, FALSE)</f>
        <v>0</v>
      </c>
      <c r="U164" s="1782">
        <f xml:space="preserve"> U$154*VLOOKUP(U$13,'II. Inputs, Baseline Energy Mix'!$F$133:$Y$182,12, FALSE)</f>
        <v>0</v>
      </c>
      <c r="V164" s="1782">
        <f xml:space="preserve"> V$154*VLOOKUP(V$13,'II. Inputs, Baseline Energy Mix'!$F$133:$Y$182,12, FALSE)</f>
        <v>0</v>
      </c>
      <c r="W164" s="1782">
        <f xml:space="preserve"> W$154*VLOOKUP(W$13,'II. Inputs, Baseline Energy Mix'!$F$133:$Y$182,12, FALSE)</f>
        <v>0</v>
      </c>
      <c r="X164" s="1782">
        <f xml:space="preserve"> X$154*VLOOKUP(X$13,'II. Inputs, Baseline Energy Mix'!$F$133:$Y$182,12, FALSE)</f>
        <v>0</v>
      </c>
      <c r="Y164" s="1782">
        <f xml:space="preserve"> Y$154*VLOOKUP(Y$13,'II. Inputs, Baseline Energy Mix'!$F$133:$Y$182,12, FALSE)</f>
        <v>0</v>
      </c>
      <c r="Z164" s="1782">
        <f xml:space="preserve"> Z$154*VLOOKUP(Z$13,'II. Inputs, Baseline Energy Mix'!$F$133:$Y$182,12, FALSE)</f>
        <v>0</v>
      </c>
      <c r="AA164" s="1782">
        <f xml:space="preserve"> AA$154*VLOOKUP(AA$13,'II. Inputs, Baseline Energy Mix'!$F$133:$Y$182,12, FALSE)</f>
        <v>0</v>
      </c>
      <c r="AB164" s="1782">
        <f xml:space="preserve"> AB$154*VLOOKUP(AB$13,'II. Inputs, Baseline Energy Mix'!$F$133:$Y$182,12, FALSE)</f>
        <v>0</v>
      </c>
      <c r="AC164" s="1782">
        <f xml:space="preserve"> AC$154*VLOOKUP(AC$13,'II. Inputs, Baseline Energy Mix'!$F$133:$Y$182,12, FALSE)</f>
        <v>0</v>
      </c>
      <c r="AD164" s="1782">
        <f xml:space="preserve"> AD$154*VLOOKUP(AD$13,'II. Inputs, Baseline Energy Mix'!$F$133:$Y$182,12, FALSE)</f>
        <v>0</v>
      </c>
      <c r="AE164" s="1782">
        <f xml:space="preserve"> AE$154*VLOOKUP(AE$13,'II. Inputs, Baseline Energy Mix'!$F$133:$Y$182,12, FALSE)</f>
        <v>0</v>
      </c>
      <c r="AF164" s="1782">
        <f xml:space="preserve"> AF$154*VLOOKUP(AF$13,'II. Inputs, Baseline Energy Mix'!$F$133:$Y$182,12, FALSE)</f>
        <v>0</v>
      </c>
      <c r="AG164" s="1782">
        <f xml:space="preserve"> AG$154*VLOOKUP(AG$13,'II. Inputs, Baseline Energy Mix'!$F$133:$Y$182,12, FALSE)</f>
        <v>0</v>
      </c>
      <c r="AH164" s="1782">
        <f xml:space="preserve"> AH$154*VLOOKUP(AH$13,'II. Inputs, Baseline Energy Mix'!$F$133:$Y$182,12, FALSE)</f>
        <v>0</v>
      </c>
      <c r="AI164" s="1782">
        <f xml:space="preserve"> AI$154*VLOOKUP(AI$13,'II. Inputs, Baseline Energy Mix'!$F$133:$Y$182,12, FALSE)</f>
        <v>0</v>
      </c>
      <c r="AJ164" s="1782">
        <f xml:space="preserve"> AJ$154*VLOOKUP(AJ$13,'II. Inputs, Baseline Energy Mix'!$F$133:$Y$182,12, FALSE)</f>
        <v>0</v>
      </c>
      <c r="AK164" s="1782">
        <f xml:space="preserve"> AK$154*VLOOKUP(AK$13,'II. Inputs, Baseline Energy Mix'!$F$133:$Y$182,12, FALSE)</f>
        <v>0</v>
      </c>
      <c r="AL164" s="1782">
        <f xml:space="preserve"> AL$154*VLOOKUP(AL$13,'II. Inputs, Baseline Energy Mix'!$F$133:$Y$182,12, FALSE)</f>
        <v>0</v>
      </c>
      <c r="AM164" s="1782">
        <f xml:space="preserve"> AM$154*VLOOKUP(AM$13,'II. Inputs, Baseline Energy Mix'!$F$133:$Y$182,12, FALSE)</f>
        <v>0</v>
      </c>
      <c r="AN164" s="1782">
        <f xml:space="preserve"> AN$154*VLOOKUP(AN$13,'II. Inputs, Baseline Energy Mix'!$F$133:$Y$182,12, FALSE)</f>
        <v>0</v>
      </c>
      <c r="AO164" s="1782">
        <f xml:space="preserve"> AO$154*VLOOKUP(AO$13,'II. Inputs, Baseline Energy Mix'!$F$133:$Y$182,12, FALSE)</f>
        <v>0</v>
      </c>
      <c r="AP164" s="1782">
        <f xml:space="preserve"> AP$154*VLOOKUP(AP$13,'II. Inputs, Baseline Energy Mix'!$F$133:$Y$182,12, FALSE)</f>
        <v>0</v>
      </c>
      <c r="AQ164" s="1782">
        <f xml:space="preserve"> AQ$154*VLOOKUP(AQ$13,'II. Inputs, Baseline Energy Mix'!$F$133:$Y$182,12, FALSE)</f>
        <v>0</v>
      </c>
      <c r="AR164" s="1782">
        <f xml:space="preserve"> AR$154*VLOOKUP(AR$13,'II. Inputs, Baseline Energy Mix'!$F$133:$Y$182,12, FALSE)</f>
        <v>0</v>
      </c>
      <c r="AS164" s="1782">
        <f xml:space="preserve"> AS$154*VLOOKUP(AS$13,'II. Inputs, Baseline Energy Mix'!$F$133:$Y$182,12, FALSE)</f>
        <v>0</v>
      </c>
      <c r="AT164" s="1782">
        <f xml:space="preserve"> AT$154*VLOOKUP(AT$13,'II. Inputs, Baseline Energy Mix'!$F$133:$Y$182,12, FALSE)</f>
        <v>0</v>
      </c>
      <c r="AU164" s="1782">
        <f xml:space="preserve"> AU$154*VLOOKUP(AU$13,'II. Inputs, Baseline Energy Mix'!$F$133:$Y$182,12, FALSE)</f>
        <v>0</v>
      </c>
      <c r="AV164" s="1782">
        <f xml:space="preserve"> AV$154*VLOOKUP(AV$13,'II. Inputs, Baseline Energy Mix'!$F$133:$Y$182,12, FALSE)</f>
        <v>0</v>
      </c>
      <c r="AW164" s="1782">
        <f xml:space="preserve"> AW$154*VLOOKUP(AW$13,'II. Inputs, Baseline Energy Mix'!$F$133:$Y$182,12, FALSE)</f>
        <v>0</v>
      </c>
      <c r="AX164" s="1782">
        <f xml:space="preserve"> AX$154*VLOOKUP(AX$13,'II. Inputs, Baseline Energy Mix'!$F$133:$Y$182,12, FALSE)</f>
        <v>0</v>
      </c>
      <c r="AY164" s="1782">
        <f xml:space="preserve"> AY$154*VLOOKUP(AY$13,'II. Inputs, Baseline Energy Mix'!$F$133:$Y$182,12, FALSE)</f>
        <v>0</v>
      </c>
      <c r="AZ164" s="1782">
        <f xml:space="preserve"> AZ$154*VLOOKUP(AZ$13,'II. Inputs, Baseline Energy Mix'!$F$133:$Y$182,12, FALSE)</f>
        <v>0</v>
      </c>
      <c r="BA164" s="1782">
        <f xml:space="preserve"> BA$154*VLOOKUP(BA$13,'II. Inputs, Baseline Energy Mix'!$F$133:$Y$182,12, FALSE)</f>
        <v>0</v>
      </c>
      <c r="BB164" s="1782">
        <f xml:space="preserve"> BB$154*VLOOKUP(BB$13,'II. Inputs, Baseline Energy Mix'!$F$133:$Y$182,12, FALSE)</f>
        <v>0</v>
      </c>
      <c r="BC164" s="1782">
        <f xml:space="preserve"> BC$154*VLOOKUP(BC$13,'II. Inputs, Baseline Energy Mix'!$F$133:$Y$182,12, FALSE)</f>
        <v>0</v>
      </c>
      <c r="BD164" s="1782">
        <f xml:space="preserve"> BD$154*VLOOKUP(BD$13,'II. Inputs, Baseline Energy Mix'!$F$133:$Y$182,12, FALSE)</f>
        <v>0</v>
      </c>
      <c r="BE164" s="1783">
        <f xml:space="preserve"> BE$154*VLOOKUP(BE$13,'II. Inputs, Baseline Energy Mix'!$F$133:$Y$182,12, FALSE)</f>
        <v>0</v>
      </c>
      <c r="BF164" s="695"/>
    </row>
    <row r="165" spans="1:58" outlineLevel="1" x14ac:dyDescent="0.45">
      <c r="A165" s="695"/>
      <c r="B165" s="918"/>
      <c r="C165" s="919" t="s">
        <v>622</v>
      </c>
      <c r="D165" s="919"/>
      <c r="E165" s="922"/>
      <c r="F165" s="922"/>
      <c r="G165" s="919"/>
      <c r="H165" s="1782">
        <f xml:space="preserve"> H$154*VLOOKUP(H$13,'II. Inputs, Baseline Energy Mix'!$F$133:$Y$182,18, FALSE)</f>
        <v>0</v>
      </c>
      <c r="I165" s="1782">
        <f xml:space="preserve"> I$154*VLOOKUP(I$13,'II. Inputs, Baseline Energy Mix'!$F$133:$Y$182,18, FALSE)</f>
        <v>0</v>
      </c>
      <c r="J165" s="1782">
        <f xml:space="preserve"> J$154*VLOOKUP(J$13,'II. Inputs, Baseline Energy Mix'!$F$133:$Y$182,18, FALSE)</f>
        <v>0</v>
      </c>
      <c r="K165" s="1782">
        <f xml:space="preserve"> K$154*VLOOKUP(K$13,'II. Inputs, Baseline Energy Mix'!$F$133:$Y$182,18, FALSE)</f>
        <v>0</v>
      </c>
      <c r="L165" s="1782">
        <f xml:space="preserve"> L$154*VLOOKUP(L$13,'II. Inputs, Baseline Energy Mix'!$F$133:$Y$182,18, FALSE)</f>
        <v>0</v>
      </c>
      <c r="M165" s="1782">
        <f xml:space="preserve"> M$154*VLOOKUP(M$13,'II. Inputs, Baseline Energy Mix'!$F$133:$Y$182,18, FALSE)</f>
        <v>0</v>
      </c>
      <c r="N165" s="1782">
        <f xml:space="preserve"> N$154*VLOOKUP(N$13,'II. Inputs, Baseline Energy Mix'!$F$133:$Y$182,18, FALSE)</f>
        <v>0</v>
      </c>
      <c r="O165" s="1782">
        <f xml:space="preserve"> O$154*VLOOKUP(O$13,'II. Inputs, Baseline Energy Mix'!$F$133:$Y$182,18, FALSE)</f>
        <v>0</v>
      </c>
      <c r="P165" s="1782">
        <f xml:space="preserve"> P$154*VLOOKUP(P$13,'II. Inputs, Baseline Energy Mix'!$F$133:$Y$182,18, FALSE)</f>
        <v>0</v>
      </c>
      <c r="Q165" s="1782">
        <f xml:space="preserve"> Q$154*VLOOKUP(Q$13,'II. Inputs, Baseline Energy Mix'!$F$133:$Y$182,18, FALSE)</f>
        <v>0</v>
      </c>
      <c r="R165" s="1782">
        <f xml:space="preserve"> R$154*VLOOKUP(R$13,'II. Inputs, Baseline Energy Mix'!$F$133:$Y$182,18, FALSE)</f>
        <v>0</v>
      </c>
      <c r="S165" s="1782">
        <f xml:space="preserve"> S$154*VLOOKUP(S$13,'II. Inputs, Baseline Energy Mix'!$F$133:$Y$182,18, FALSE)</f>
        <v>0</v>
      </c>
      <c r="T165" s="1782">
        <f xml:space="preserve"> T$154*VLOOKUP(T$13,'II. Inputs, Baseline Energy Mix'!$F$133:$Y$182,18, FALSE)</f>
        <v>0</v>
      </c>
      <c r="U165" s="1782">
        <f xml:space="preserve"> U$154*VLOOKUP(U$13,'II. Inputs, Baseline Energy Mix'!$F$133:$Y$182,18, FALSE)</f>
        <v>0</v>
      </c>
      <c r="V165" s="1782">
        <f xml:space="preserve"> V$154*VLOOKUP(V$13,'II. Inputs, Baseline Energy Mix'!$F$133:$Y$182,18, FALSE)</f>
        <v>0</v>
      </c>
      <c r="W165" s="1782">
        <f xml:space="preserve"> W$154*VLOOKUP(W$13,'II. Inputs, Baseline Energy Mix'!$F$133:$Y$182,18, FALSE)</f>
        <v>0</v>
      </c>
      <c r="X165" s="1782">
        <f xml:space="preserve"> X$154*VLOOKUP(X$13,'II. Inputs, Baseline Energy Mix'!$F$133:$Y$182,18, FALSE)</f>
        <v>0</v>
      </c>
      <c r="Y165" s="1782">
        <f xml:space="preserve"> Y$154*VLOOKUP(Y$13,'II. Inputs, Baseline Energy Mix'!$F$133:$Y$182,18, FALSE)</f>
        <v>0</v>
      </c>
      <c r="Z165" s="1782">
        <f xml:space="preserve"> Z$154*VLOOKUP(Z$13,'II. Inputs, Baseline Energy Mix'!$F$133:$Y$182,18, FALSE)</f>
        <v>0</v>
      </c>
      <c r="AA165" s="1782">
        <f xml:space="preserve"> AA$154*VLOOKUP(AA$13,'II. Inputs, Baseline Energy Mix'!$F$133:$Y$182,18, FALSE)</f>
        <v>0</v>
      </c>
      <c r="AB165" s="1782">
        <f xml:space="preserve"> AB$154*VLOOKUP(AB$13,'II. Inputs, Baseline Energy Mix'!$F$133:$Y$182,18, FALSE)</f>
        <v>0</v>
      </c>
      <c r="AC165" s="1782">
        <f xml:space="preserve"> AC$154*VLOOKUP(AC$13,'II. Inputs, Baseline Energy Mix'!$F$133:$Y$182,18, FALSE)</f>
        <v>0</v>
      </c>
      <c r="AD165" s="1782">
        <f xml:space="preserve"> AD$154*VLOOKUP(AD$13,'II. Inputs, Baseline Energy Mix'!$F$133:$Y$182,18, FALSE)</f>
        <v>0</v>
      </c>
      <c r="AE165" s="1782">
        <f xml:space="preserve"> AE$154*VLOOKUP(AE$13,'II. Inputs, Baseline Energy Mix'!$F$133:$Y$182,18, FALSE)</f>
        <v>0</v>
      </c>
      <c r="AF165" s="1782">
        <f xml:space="preserve"> AF$154*VLOOKUP(AF$13,'II. Inputs, Baseline Energy Mix'!$F$133:$Y$182,18, FALSE)</f>
        <v>0</v>
      </c>
      <c r="AG165" s="1782">
        <f xml:space="preserve"> AG$154*VLOOKUP(AG$13,'II. Inputs, Baseline Energy Mix'!$F$133:$Y$182,18, FALSE)</f>
        <v>0</v>
      </c>
      <c r="AH165" s="1782">
        <f xml:space="preserve"> AH$154*VLOOKUP(AH$13,'II. Inputs, Baseline Energy Mix'!$F$133:$Y$182,18, FALSE)</f>
        <v>0</v>
      </c>
      <c r="AI165" s="1782">
        <f xml:space="preserve"> AI$154*VLOOKUP(AI$13,'II. Inputs, Baseline Energy Mix'!$F$133:$Y$182,18, FALSE)</f>
        <v>0</v>
      </c>
      <c r="AJ165" s="1782">
        <f xml:space="preserve"> AJ$154*VLOOKUP(AJ$13,'II. Inputs, Baseline Energy Mix'!$F$133:$Y$182,18, FALSE)</f>
        <v>0</v>
      </c>
      <c r="AK165" s="1782">
        <f xml:space="preserve"> AK$154*VLOOKUP(AK$13,'II. Inputs, Baseline Energy Mix'!$F$133:$Y$182,18, FALSE)</f>
        <v>0</v>
      </c>
      <c r="AL165" s="1782">
        <f xml:space="preserve"> AL$154*VLOOKUP(AL$13,'II. Inputs, Baseline Energy Mix'!$F$133:$Y$182,18, FALSE)</f>
        <v>0</v>
      </c>
      <c r="AM165" s="1782">
        <f xml:space="preserve"> AM$154*VLOOKUP(AM$13,'II. Inputs, Baseline Energy Mix'!$F$133:$Y$182,18, FALSE)</f>
        <v>0</v>
      </c>
      <c r="AN165" s="1782">
        <f xml:space="preserve"> AN$154*VLOOKUP(AN$13,'II. Inputs, Baseline Energy Mix'!$F$133:$Y$182,18, FALSE)</f>
        <v>0</v>
      </c>
      <c r="AO165" s="1782">
        <f xml:space="preserve"> AO$154*VLOOKUP(AO$13,'II. Inputs, Baseline Energy Mix'!$F$133:$Y$182,18, FALSE)</f>
        <v>0</v>
      </c>
      <c r="AP165" s="1782">
        <f xml:space="preserve"> AP$154*VLOOKUP(AP$13,'II. Inputs, Baseline Energy Mix'!$F$133:$Y$182,18, FALSE)</f>
        <v>0</v>
      </c>
      <c r="AQ165" s="1782">
        <f xml:space="preserve"> AQ$154*VLOOKUP(AQ$13,'II. Inputs, Baseline Energy Mix'!$F$133:$Y$182,18, FALSE)</f>
        <v>0</v>
      </c>
      <c r="AR165" s="1782">
        <f xml:space="preserve"> AR$154*VLOOKUP(AR$13,'II. Inputs, Baseline Energy Mix'!$F$133:$Y$182,18, FALSE)</f>
        <v>0</v>
      </c>
      <c r="AS165" s="1782">
        <f xml:space="preserve"> AS$154*VLOOKUP(AS$13,'II. Inputs, Baseline Energy Mix'!$F$133:$Y$182,18, FALSE)</f>
        <v>0</v>
      </c>
      <c r="AT165" s="1782">
        <f xml:space="preserve"> AT$154*VLOOKUP(AT$13,'II. Inputs, Baseline Energy Mix'!$F$133:$Y$182,18, FALSE)</f>
        <v>0</v>
      </c>
      <c r="AU165" s="1782">
        <f xml:space="preserve"> AU$154*VLOOKUP(AU$13,'II. Inputs, Baseline Energy Mix'!$F$133:$Y$182,18, FALSE)</f>
        <v>0</v>
      </c>
      <c r="AV165" s="1782">
        <f xml:space="preserve"> AV$154*VLOOKUP(AV$13,'II. Inputs, Baseline Energy Mix'!$F$133:$Y$182,18, FALSE)</f>
        <v>0</v>
      </c>
      <c r="AW165" s="1782">
        <f xml:space="preserve"> AW$154*VLOOKUP(AW$13,'II. Inputs, Baseline Energy Mix'!$F$133:$Y$182,18, FALSE)</f>
        <v>0</v>
      </c>
      <c r="AX165" s="1782">
        <f xml:space="preserve"> AX$154*VLOOKUP(AX$13,'II. Inputs, Baseline Energy Mix'!$F$133:$Y$182,18, FALSE)</f>
        <v>0</v>
      </c>
      <c r="AY165" s="1782">
        <f xml:space="preserve"> AY$154*VLOOKUP(AY$13,'II. Inputs, Baseline Energy Mix'!$F$133:$Y$182,18, FALSE)</f>
        <v>0</v>
      </c>
      <c r="AZ165" s="1782">
        <f xml:space="preserve"> AZ$154*VLOOKUP(AZ$13,'II. Inputs, Baseline Energy Mix'!$F$133:$Y$182,18, FALSE)</f>
        <v>0</v>
      </c>
      <c r="BA165" s="1782">
        <f xml:space="preserve"> BA$154*VLOOKUP(BA$13,'II. Inputs, Baseline Energy Mix'!$F$133:$Y$182,18, FALSE)</f>
        <v>0</v>
      </c>
      <c r="BB165" s="1782">
        <f xml:space="preserve"> BB$154*VLOOKUP(BB$13,'II. Inputs, Baseline Energy Mix'!$F$133:$Y$182,18, FALSE)</f>
        <v>0</v>
      </c>
      <c r="BC165" s="1782">
        <f xml:space="preserve"> BC$154*VLOOKUP(BC$13,'II. Inputs, Baseline Energy Mix'!$F$133:$Y$182,18, FALSE)</f>
        <v>0</v>
      </c>
      <c r="BD165" s="1782">
        <f xml:space="preserve"> BD$154*VLOOKUP(BD$13,'II. Inputs, Baseline Energy Mix'!$F$133:$Y$182,18, FALSE)</f>
        <v>0</v>
      </c>
      <c r="BE165" s="1783">
        <f xml:space="preserve"> BE$154*VLOOKUP(BE$13,'II. Inputs, Baseline Energy Mix'!$F$133:$Y$182,18, FALSE)</f>
        <v>0</v>
      </c>
      <c r="BF165" s="695"/>
    </row>
    <row r="166" spans="1:58" outlineLevel="1" x14ac:dyDescent="0.45">
      <c r="A166" s="695"/>
      <c r="B166" s="918"/>
      <c r="C166" s="919"/>
      <c r="D166" s="919"/>
      <c r="E166" s="922"/>
      <c r="F166" s="922"/>
      <c r="G166" s="919"/>
      <c r="H166" s="929"/>
      <c r="I166" s="929"/>
      <c r="J166" s="929"/>
      <c r="K166" s="929"/>
      <c r="L166" s="929"/>
      <c r="M166" s="929"/>
      <c r="N166" s="929"/>
      <c r="O166" s="929"/>
      <c r="P166" s="929"/>
      <c r="Q166" s="929"/>
      <c r="R166" s="929"/>
      <c r="S166" s="929"/>
      <c r="T166" s="929"/>
      <c r="U166" s="929"/>
      <c r="V166" s="929"/>
      <c r="W166" s="929"/>
      <c r="X166" s="929"/>
      <c r="Y166" s="929"/>
      <c r="Z166" s="929"/>
      <c r="AA166" s="929"/>
      <c r="AB166" s="929"/>
      <c r="AC166" s="929"/>
      <c r="AD166" s="929"/>
      <c r="AE166" s="929"/>
      <c r="AF166" s="929"/>
      <c r="AG166" s="929"/>
      <c r="AH166" s="929"/>
      <c r="AI166" s="929"/>
      <c r="AJ166" s="929"/>
      <c r="AK166" s="929"/>
      <c r="AL166" s="929"/>
      <c r="AM166" s="929"/>
      <c r="AN166" s="929"/>
      <c r="AO166" s="929"/>
      <c r="AP166" s="929"/>
      <c r="AQ166" s="929"/>
      <c r="AR166" s="929"/>
      <c r="AS166" s="929"/>
      <c r="AT166" s="929"/>
      <c r="AU166" s="929"/>
      <c r="AV166" s="929"/>
      <c r="AW166" s="929"/>
      <c r="AX166" s="929"/>
      <c r="AY166" s="929"/>
      <c r="AZ166" s="929"/>
      <c r="BA166" s="929"/>
      <c r="BB166" s="929"/>
      <c r="BC166" s="929"/>
      <c r="BD166" s="929"/>
      <c r="BE166" s="930"/>
      <c r="BF166" s="695"/>
    </row>
    <row r="167" spans="1:58" x14ac:dyDescent="0.45">
      <c r="A167" s="695"/>
      <c r="B167" s="918" t="s">
        <v>124</v>
      </c>
      <c r="C167" s="919"/>
      <c r="D167" s="919"/>
      <c r="E167" s="922"/>
      <c r="F167" s="922" t="s">
        <v>748</v>
      </c>
      <c r="G167" s="1566"/>
      <c r="H167" s="1564">
        <f>H162*H156*H154/'II. Inputs, Baseline Energy Mix'!$Q$104</f>
        <v>0</v>
      </c>
      <c r="I167" s="1564">
        <f>I162*I156*I154/'II. Inputs, Baseline Energy Mix'!$Q$104</f>
        <v>0</v>
      </c>
      <c r="J167" s="1564">
        <f>J162*J156*J154/'II. Inputs, Baseline Energy Mix'!$Q$104</f>
        <v>0</v>
      </c>
      <c r="K167" s="1564">
        <f>K162*K156*K154/'II. Inputs, Baseline Energy Mix'!$Q$104</f>
        <v>0</v>
      </c>
      <c r="L167" s="1564">
        <f>L162*L156*L154/'II. Inputs, Baseline Energy Mix'!$Q$104</f>
        <v>0</v>
      </c>
      <c r="M167" s="1564">
        <f>M162*M156*M154/'II. Inputs, Baseline Energy Mix'!$Q$104</f>
        <v>0</v>
      </c>
      <c r="N167" s="1564">
        <f>N162*N156*N154/'II. Inputs, Baseline Energy Mix'!$Q$104</f>
        <v>0</v>
      </c>
      <c r="O167" s="1564">
        <f>O162*O156*O154/'II. Inputs, Baseline Energy Mix'!$Q$104</f>
        <v>0</v>
      </c>
      <c r="P167" s="1564">
        <f>P162*P156*P154/'II. Inputs, Baseline Energy Mix'!$Q$104</f>
        <v>0</v>
      </c>
      <c r="Q167" s="1564">
        <f>Q162*Q156*Q154/'II. Inputs, Baseline Energy Mix'!$Q$104</f>
        <v>0</v>
      </c>
      <c r="R167" s="1564">
        <f>R162*R156*R154/'II. Inputs, Baseline Energy Mix'!$Q$104</f>
        <v>0</v>
      </c>
      <c r="S167" s="1564">
        <f>S162*S156*S154/'II. Inputs, Baseline Energy Mix'!$Q$104</f>
        <v>0</v>
      </c>
      <c r="T167" s="1564">
        <f>T162*T156*T154/'II. Inputs, Baseline Energy Mix'!$Q$104</f>
        <v>0</v>
      </c>
      <c r="U167" s="1564">
        <f>U162*U156*U154/'II. Inputs, Baseline Energy Mix'!$Q$104</f>
        <v>0</v>
      </c>
      <c r="V167" s="1564">
        <f>V162*V156*V154/'II. Inputs, Baseline Energy Mix'!$Q$104</f>
        <v>0</v>
      </c>
      <c r="W167" s="1564">
        <f>W162*W156*W154/'II. Inputs, Baseline Energy Mix'!$Q$104</f>
        <v>0</v>
      </c>
      <c r="X167" s="1564">
        <f>X162*X156*X154/'II. Inputs, Baseline Energy Mix'!$Q$104</f>
        <v>0</v>
      </c>
      <c r="Y167" s="1564">
        <f>Y162*Y156*Y154/'II. Inputs, Baseline Energy Mix'!$Q$104</f>
        <v>0</v>
      </c>
      <c r="Z167" s="1564">
        <f>Z162*Z156*Z154/'II. Inputs, Baseline Energy Mix'!$Q$104</f>
        <v>0</v>
      </c>
      <c r="AA167" s="1564">
        <f>AA162*AA156*AA154/'II. Inputs, Baseline Energy Mix'!$Q$104</f>
        <v>0</v>
      </c>
      <c r="AB167" s="1564">
        <f>AB162*AB156*AB154/'II. Inputs, Baseline Energy Mix'!$Q$104</f>
        <v>0</v>
      </c>
      <c r="AC167" s="1564">
        <f>AC162*AC156*AC154/'II. Inputs, Baseline Energy Mix'!$Q$104</f>
        <v>0</v>
      </c>
      <c r="AD167" s="1564">
        <f>AD162*AD156*AD154/'II. Inputs, Baseline Energy Mix'!$Q$104</f>
        <v>0</v>
      </c>
      <c r="AE167" s="1564">
        <f>AE162*AE156*AE154/'II. Inputs, Baseline Energy Mix'!$Q$104</f>
        <v>0</v>
      </c>
      <c r="AF167" s="1564">
        <f>AF162*AF156*AF154/'II. Inputs, Baseline Energy Mix'!$Q$104</f>
        <v>0</v>
      </c>
      <c r="AG167" s="1564">
        <f>AG162*AG156*AG154/'II. Inputs, Baseline Energy Mix'!$Q$104</f>
        <v>0</v>
      </c>
      <c r="AH167" s="1564">
        <f>AH162*AH156*AH154/'II. Inputs, Baseline Energy Mix'!$Q$104</f>
        <v>0</v>
      </c>
      <c r="AI167" s="1564">
        <f>AI162*AI156*AI154/'II. Inputs, Baseline Energy Mix'!$Q$104</f>
        <v>0</v>
      </c>
      <c r="AJ167" s="1564">
        <f>AJ162*AJ156*AJ154/'II. Inputs, Baseline Energy Mix'!$Q$104</f>
        <v>0</v>
      </c>
      <c r="AK167" s="1564">
        <f>AK162*AK156*AK154/'II. Inputs, Baseline Energy Mix'!$Q$104</f>
        <v>0</v>
      </c>
      <c r="AL167" s="1564">
        <f>AL162*AL156*AL154/'II. Inputs, Baseline Energy Mix'!$Q$104</f>
        <v>0</v>
      </c>
      <c r="AM167" s="1564">
        <f>AM162*AM156*AM154/'II. Inputs, Baseline Energy Mix'!$Q$104</f>
        <v>0</v>
      </c>
      <c r="AN167" s="1564">
        <f>AN162*AN156*AN154/'II. Inputs, Baseline Energy Mix'!$Q$104</f>
        <v>0</v>
      </c>
      <c r="AO167" s="1564">
        <f>AO162*AO156*AO154/'II. Inputs, Baseline Energy Mix'!$Q$104</f>
        <v>0</v>
      </c>
      <c r="AP167" s="1564">
        <f>AP162*AP156*AP154/'II. Inputs, Baseline Energy Mix'!$Q$104</f>
        <v>0</v>
      </c>
      <c r="AQ167" s="1564">
        <f>AQ162*AQ156*AQ154/'II. Inputs, Baseline Energy Mix'!$Q$104</f>
        <v>0</v>
      </c>
      <c r="AR167" s="1564">
        <f>AR162*AR156*AR154/'II. Inputs, Baseline Energy Mix'!$Q$104</f>
        <v>0</v>
      </c>
      <c r="AS167" s="1564">
        <f>AS162*AS156*AS154/'II. Inputs, Baseline Energy Mix'!$Q$104</f>
        <v>0</v>
      </c>
      <c r="AT167" s="1564">
        <f>AT162*AT156*AT154/'II. Inputs, Baseline Energy Mix'!$Q$104</f>
        <v>0</v>
      </c>
      <c r="AU167" s="1564">
        <f>AU162*AU156*AU154/'II. Inputs, Baseline Energy Mix'!$Q$104</f>
        <v>0</v>
      </c>
      <c r="AV167" s="1564">
        <f>AV162*AV156*AV154/'II. Inputs, Baseline Energy Mix'!$Q$104</f>
        <v>0</v>
      </c>
      <c r="AW167" s="1564">
        <f>AW162*AW156*AW154/'II. Inputs, Baseline Energy Mix'!$Q$104</f>
        <v>0</v>
      </c>
      <c r="AX167" s="1564">
        <f>AX162*AX156*AX154/'II. Inputs, Baseline Energy Mix'!$Q$104</f>
        <v>0</v>
      </c>
      <c r="AY167" s="1564">
        <f>AY162*AY156*AY154/'II. Inputs, Baseline Energy Mix'!$Q$104</f>
        <v>0</v>
      </c>
      <c r="AZ167" s="1564">
        <f>AZ162*AZ156*AZ154/'II. Inputs, Baseline Energy Mix'!$Q$104</f>
        <v>0</v>
      </c>
      <c r="BA167" s="1564">
        <f>BA162*BA156*BA154/'II. Inputs, Baseline Energy Mix'!$Q$104</f>
        <v>0</v>
      </c>
      <c r="BB167" s="1564">
        <f>BB162*BB156*BB154/'II. Inputs, Baseline Energy Mix'!$Q$104</f>
        <v>0</v>
      </c>
      <c r="BC167" s="1564">
        <f>BC162*BC156*BC154/'II. Inputs, Baseline Energy Mix'!$Q$104</f>
        <v>0</v>
      </c>
      <c r="BD167" s="1564">
        <f>BD162*BD156*BD154/'II. Inputs, Baseline Energy Mix'!$Q$104</f>
        <v>0</v>
      </c>
      <c r="BE167" s="1565">
        <f>BE162*BE156*BE154/'II. Inputs, Baseline Energy Mix'!$Q$104</f>
        <v>0</v>
      </c>
      <c r="BF167" s="695"/>
    </row>
    <row r="168" spans="1:58" x14ac:dyDescent="0.45">
      <c r="A168" s="695"/>
      <c r="B168" s="918"/>
      <c r="C168" s="919"/>
      <c r="D168" s="919"/>
      <c r="E168" s="922"/>
      <c r="F168" s="922"/>
      <c r="G168" s="1566"/>
      <c r="H168" s="1564"/>
      <c r="I168" s="1566"/>
      <c r="J168" s="1566"/>
      <c r="K168" s="1566"/>
      <c r="L168" s="1566"/>
      <c r="M168" s="1566"/>
      <c r="N168" s="1566"/>
      <c r="O168" s="1566"/>
      <c r="P168" s="1566"/>
      <c r="Q168" s="1566"/>
      <c r="R168" s="1566"/>
      <c r="S168" s="1566"/>
      <c r="T168" s="1566"/>
      <c r="U168" s="1566"/>
      <c r="V168" s="1566"/>
      <c r="W168" s="1566"/>
      <c r="X168" s="1566"/>
      <c r="Y168" s="1566"/>
      <c r="Z168" s="1566"/>
      <c r="AA168" s="1566"/>
      <c r="AB168" s="1566"/>
      <c r="AC168" s="1566"/>
      <c r="AD168" s="1566"/>
      <c r="AE168" s="1566"/>
      <c r="AF168" s="1566"/>
      <c r="AG168" s="1566"/>
      <c r="AH168" s="1566"/>
      <c r="AI168" s="1566"/>
      <c r="AJ168" s="1566"/>
      <c r="AK168" s="1566"/>
      <c r="AL168" s="1566"/>
      <c r="AM168" s="1566"/>
      <c r="AN168" s="1566"/>
      <c r="AO168" s="1566"/>
      <c r="AP168" s="1566"/>
      <c r="AQ168" s="1566"/>
      <c r="AR168" s="1566"/>
      <c r="AS168" s="1566"/>
      <c r="AT168" s="1566"/>
      <c r="AU168" s="1566"/>
      <c r="AV168" s="1566"/>
      <c r="AW168" s="1566"/>
      <c r="AX168" s="1566"/>
      <c r="AY168" s="1566"/>
      <c r="AZ168" s="1566"/>
      <c r="BA168" s="1566"/>
      <c r="BB168" s="1566"/>
      <c r="BC168" s="1566"/>
      <c r="BD168" s="1566"/>
      <c r="BE168" s="1567"/>
      <c r="BF168" s="695"/>
    </row>
    <row r="169" spans="1:58" x14ac:dyDescent="0.45">
      <c r="A169" s="695"/>
      <c r="B169" s="918" t="s">
        <v>89</v>
      </c>
      <c r="C169" s="919"/>
      <c r="D169" s="919"/>
      <c r="E169" s="922"/>
      <c r="F169" s="922" t="s">
        <v>748</v>
      </c>
      <c r="G169" s="1566"/>
      <c r="H169" s="1566">
        <f>H811</f>
        <v>0</v>
      </c>
      <c r="I169" s="1566">
        <f t="shared" ref="I169:BE169" si="59">I811</f>
        <v>0</v>
      </c>
      <c r="J169" s="1566">
        <f t="shared" si="59"/>
        <v>0</v>
      </c>
      <c r="K169" s="1566">
        <f t="shared" si="59"/>
        <v>0</v>
      </c>
      <c r="L169" s="1566">
        <f t="shared" si="59"/>
        <v>0</v>
      </c>
      <c r="M169" s="1566">
        <f t="shared" si="59"/>
        <v>0</v>
      </c>
      <c r="N169" s="1566">
        <f t="shared" si="59"/>
        <v>0</v>
      </c>
      <c r="O169" s="1566">
        <f t="shared" si="59"/>
        <v>0</v>
      </c>
      <c r="P169" s="1566">
        <f t="shared" si="59"/>
        <v>0</v>
      </c>
      <c r="Q169" s="1566">
        <f t="shared" si="59"/>
        <v>0</v>
      </c>
      <c r="R169" s="1566">
        <f t="shared" si="59"/>
        <v>0</v>
      </c>
      <c r="S169" s="1566">
        <f t="shared" si="59"/>
        <v>0</v>
      </c>
      <c r="T169" s="1566">
        <f t="shared" si="59"/>
        <v>0</v>
      </c>
      <c r="U169" s="1566">
        <f t="shared" si="59"/>
        <v>0</v>
      </c>
      <c r="V169" s="1566">
        <f t="shared" si="59"/>
        <v>0</v>
      </c>
      <c r="W169" s="1566">
        <f t="shared" si="59"/>
        <v>0</v>
      </c>
      <c r="X169" s="1566">
        <f t="shared" si="59"/>
        <v>0</v>
      </c>
      <c r="Y169" s="1566">
        <f t="shared" si="59"/>
        <v>0</v>
      </c>
      <c r="Z169" s="1566">
        <f t="shared" si="59"/>
        <v>0</v>
      </c>
      <c r="AA169" s="1566">
        <f t="shared" si="59"/>
        <v>0</v>
      </c>
      <c r="AB169" s="1566">
        <f t="shared" si="59"/>
        <v>0</v>
      </c>
      <c r="AC169" s="1566">
        <f t="shared" si="59"/>
        <v>0</v>
      </c>
      <c r="AD169" s="1566">
        <f t="shared" si="59"/>
        <v>0</v>
      </c>
      <c r="AE169" s="1566">
        <f t="shared" si="59"/>
        <v>0</v>
      </c>
      <c r="AF169" s="1566">
        <f t="shared" si="59"/>
        <v>0</v>
      </c>
      <c r="AG169" s="1566">
        <f t="shared" si="59"/>
        <v>0</v>
      </c>
      <c r="AH169" s="1566">
        <f t="shared" si="59"/>
        <v>0</v>
      </c>
      <c r="AI169" s="1566">
        <f t="shared" si="59"/>
        <v>0</v>
      </c>
      <c r="AJ169" s="1566">
        <f t="shared" si="59"/>
        <v>0</v>
      </c>
      <c r="AK169" s="1566">
        <f t="shared" si="59"/>
        <v>0</v>
      </c>
      <c r="AL169" s="1566">
        <f t="shared" si="59"/>
        <v>0</v>
      </c>
      <c r="AM169" s="1566">
        <f t="shared" si="59"/>
        <v>0</v>
      </c>
      <c r="AN169" s="1566">
        <f t="shared" si="59"/>
        <v>0</v>
      </c>
      <c r="AO169" s="1566">
        <f t="shared" si="59"/>
        <v>0</v>
      </c>
      <c r="AP169" s="1566">
        <f t="shared" si="59"/>
        <v>0</v>
      </c>
      <c r="AQ169" s="1566">
        <f t="shared" si="59"/>
        <v>0</v>
      </c>
      <c r="AR169" s="1566">
        <f t="shared" si="59"/>
        <v>0</v>
      </c>
      <c r="AS169" s="1566">
        <f t="shared" si="59"/>
        <v>0</v>
      </c>
      <c r="AT169" s="1566">
        <f t="shared" si="59"/>
        <v>0</v>
      </c>
      <c r="AU169" s="1566">
        <f t="shared" si="59"/>
        <v>0</v>
      </c>
      <c r="AV169" s="1566">
        <f t="shared" si="59"/>
        <v>0</v>
      </c>
      <c r="AW169" s="1566">
        <f t="shared" si="59"/>
        <v>0</v>
      </c>
      <c r="AX169" s="1566">
        <f t="shared" si="59"/>
        <v>0</v>
      </c>
      <c r="AY169" s="1566">
        <f t="shared" si="59"/>
        <v>0</v>
      </c>
      <c r="AZ169" s="1566">
        <f t="shared" si="59"/>
        <v>0</v>
      </c>
      <c r="BA169" s="1566">
        <f t="shared" si="59"/>
        <v>0</v>
      </c>
      <c r="BB169" s="1566">
        <f t="shared" si="59"/>
        <v>0</v>
      </c>
      <c r="BC169" s="1566">
        <f t="shared" si="59"/>
        <v>0</v>
      </c>
      <c r="BD169" s="1566">
        <f t="shared" si="59"/>
        <v>0</v>
      </c>
      <c r="BE169" s="1567">
        <f t="shared" si="59"/>
        <v>0</v>
      </c>
      <c r="BF169" s="695"/>
    </row>
    <row r="170" spans="1:58" x14ac:dyDescent="0.45">
      <c r="A170" s="695"/>
      <c r="B170" s="918"/>
      <c r="C170" s="919"/>
      <c r="D170" s="919"/>
      <c r="E170" s="922"/>
      <c r="F170" s="922"/>
      <c r="G170" s="1566"/>
      <c r="H170" s="1566"/>
      <c r="I170" s="1566"/>
      <c r="J170" s="1566"/>
      <c r="K170" s="1566"/>
      <c r="L170" s="1566"/>
      <c r="M170" s="1566"/>
      <c r="N170" s="1566"/>
      <c r="O170" s="1566"/>
      <c r="P170" s="1566"/>
      <c r="Q170" s="1566"/>
      <c r="R170" s="1566"/>
      <c r="S170" s="1566"/>
      <c r="T170" s="1566"/>
      <c r="U170" s="1566"/>
      <c r="V170" s="1566"/>
      <c r="W170" s="1566"/>
      <c r="X170" s="1566"/>
      <c r="Y170" s="1566"/>
      <c r="Z170" s="1566"/>
      <c r="AA170" s="1566"/>
      <c r="AB170" s="1566"/>
      <c r="AC170" s="1566"/>
      <c r="AD170" s="1566"/>
      <c r="AE170" s="1566"/>
      <c r="AF170" s="1566"/>
      <c r="AG170" s="1566"/>
      <c r="AH170" s="1566"/>
      <c r="AI170" s="1566"/>
      <c r="AJ170" s="1566"/>
      <c r="AK170" s="1566"/>
      <c r="AL170" s="1566"/>
      <c r="AM170" s="1566"/>
      <c r="AN170" s="1566"/>
      <c r="AO170" s="1566"/>
      <c r="AP170" s="1566"/>
      <c r="AQ170" s="1566"/>
      <c r="AR170" s="1566"/>
      <c r="AS170" s="1566"/>
      <c r="AT170" s="1566"/>
      <c r="AU170" s="1566"/>
      <c r="AV170" s="1566"/>
      <c r="AW170" s="1566"/>
      <c r="AX170" s="1566"/>
      <c r="AY170" s="1566"/>
      <c r="AZ170" s="1566"/>
      <c r="BA170" s="1566"/>
      <c r="BB170" s="1566"/>
      <c r="BC170" s="1566"/>
      <c r="BD170" s="1566"/>
      <c r="BE170" s="1567"/>
      <c r="BF170" s="695"/>
    </row>
    <row r="171" spans="1:58" x14ac:dyDescent="0.45">
      <c r="A171" s="695"/>
      <c r="B171" s="918" t="s">
        <v>219</v>
      </c>
      <c r="C171" s="919"/>
      <c r="D171" s="919"/>
      <c r="E171" s="922"/>
      <c r="F171" s="922" t="s">
        <v>748</v>
      </c>
      <c r="G171" s="1566"/>
      <c r="H171" s="1566">
        <f>H532</f>
        <v>0</v>
      </c>
      <c r="I171" s="1566">
        <f t="shared" ref="I171:BE171" si="60">I532</f>
        <v>0</v>
      </c>
      <c r="J171" s="1566">
        <f t="shared" si="60"/>
        <v>0</v>
      </c>
      <c r="K171" s="1566">
        <f t="shared" si="60"/>
        <v>0</v>
      </c>
      <c r="L171" s="1566">
        <f t="shared" si="60"/>
        <v>0</v>
      </c>
      <c r="M171" s="1566">
        <f t="shared" si="60"/>
        <v>0</v>
      </c>
      <c r="N171" s="1566">
        <f t="shared" si="60"/>
        <v>0</v>
      </c>
      <c r="O171" s="1566">
        <f t="shared" si="60"/>
        <v>0</v>
      </c>
      <c r="P171" s="1566">
        <f t="shared" si="60"/>
        <v>0</v>
      </c>
      <c r="Q171" s="1566">
        <f t="shared" si="60"/>
        <v>0</v>
      </c>
      <c r="R171" s="1566">
        <f t="shared" si="60"/>
        <v>0</v>
      </c>
      <c r="S171" s="1566">
        <f t="shared" si="60"/>
        <v>0</v>
      </c>
      <c r="T171" s="1566">
        <f t="shared" si="60"/>
        <v>0</v>
      </c>
      <c r="U171" s="1566">
        <f t="shared" si="60"/>
        <v>0</v>
      </c>
      <c r="V171" s="1566">
        <f t="shared" si="60"/>
        <v>0</v>
      </c>
      <c r="W171" s="1566">
        <f t="shared" si="60"/>
        <v>0</v>
      </c>
      <c r="X171" s="1566">
        <f t="shared" si="60"/>
        <v>0</v>
      </c>
      <c r="Y171" s="1566">
        <f t="shared" si="60"/>
        <v>0</v>
      </c>
      <c r="Z171" s="1566">
        <f t="shared" si="60"/>
        <v>0</v>
      </c>
      <c r="AA171" s="1566">
        <f t="shared" si="60"/>
        <v>0</v>
      </c>
      <c r="AB171" s="1566">
        <f t="shared" si="60"/>
        <v>0</v>
      </c>
      <c r="AC171" s="1566">
        <f t="shared" si="60"/>
        <v>0</v>
      </c>
      <c r="AD171" s="1566">
        <f t="shared" si="60"/>
        <v>0</v>
      </c>
      <c r="AE171" s="1566">
        <f t="shared" si="60"/>
        <v>0</v>
      </c>
      <c r="AF171" s="1566">
        <f t="shared" si="60"/>
        <v>0</v>
      </c>
      <c r="AG171" s="1566">
        <f t="shared" si="60"/>
        <v>0</v>
      </c>
      <c r="AH171" s="1566">
        <f t="shared" si="60"/>
        <v>0</v>
      </c>
      <c r="AI171" s="1566">
        <f t="shared" si="60"/>
        <v>0</v>
      </c>
      <c r="AJ171" s="1566">
        <f t="shared" si="60"/>
        <v>0</v>
      </c>
      <c r="AK171" s="1566">
        <f t="shared" si="60"/>
        <v>0</v>
      </c>
      <c r="AL171" s="1566">
        <f t="shared" si="60"/>
        <v>0</v>
      </c>
      <c r="AM171" s="1566">
        <f t="shared" si="60"/>
        <v>0</v>
      </c>
      <c r="AN171" s="1566">
        <f t="shared" si="60"/>
        <v>0</v>
      </c>
      <c r="AO171" s="1566">
        <f t="shared" si="60"/>
        <v>0</v>
      </c>
      <c r="AP171" s="1566">
        <f t="shared" si="60"/>
        <v>0</v>
      </c>
      <c r="AQ171" s="1566">
        <f t="shared" si="60"/>
        <v>0</v>
      </c>
      <c r="AR171" s="1566">
        <f t="shared" si="60"/>
        <v>0</v>
      </c>
      <c r="AS171" s="1566">
        <f t="shared" si="60"/>
        <v>0</v>
      </c>
      <c r="AT171" s="1566">
        <f t="shared" si="60"/>
        <v>0</v>
      </c>
      <c r="AU171" s="1566">
        <f t="shared" si="60"/>
        <v>0</v>
      </c>
      <c r="AV171" s="1566">
        <f t="shared" si="60"/>
        <v>0</v>
      </c>
      <c r="AW171" s="1566">
        <f t="shared" si="60"/>
        <v>0</v>
      </c>
      <c r="AX171" s="1566">
        <f t="shared" si="60"/>
        <v>0</v>
      </c>
      <c r="AY171" s="1566">
        <f t="shared" si="60"/>
        <v>0</v>
      </c>
      <c r="AZ171" s="1566">
        <f t="shared" si="60"/>
        <v>0</v>
      </c>
      <c r="BA171" s="1566">
        <f t="shared" si="60"/>
        <v>0</v>
      </c>
      <c r="BB171" s="1566">
        <f t="shared" si="60"/>
        <v>0</v>
      </c>
      <c r="BC171" s="1566">
        <f t="shared" si="60"/>
        <v>0</v>
      </c>
      <c r="BD171" s="1566">
        <f t="shared" si="60"/>
        <v>0</v>
      </c>
      <c r="BE171" s="1567">
        <f t="shared" si="60"/>
        <v>0</v>
      </c>
      <c r="BF171" s="695"/>
    </row>
    <row r="172" spans="1:58" x14ac:dyDescent="0.45">
      <c r="A172" s="695"/>
      <c r="B172" s="918" t="s">
        <v>160</v>
      </c>
      <c r="C172" s="919"/>
      <c r="D172" s="919"/>
      <c r="E172" s="922"/>
      <c r="F172" s="922" t="s">
        <v>748</v>
      </c>
      <c r="G172" s="1566"/>
      <c r="H172" s="1566">
        <f>H553</f>
        <v>0</v>
      </c>
      <c r="I172" s="1566">
        <f t="shared" ref="I172:BE172" si="61">I553</f>
        <v>0</v>
      </c>
      <c r="J172" s="1566">
        <f t="shared" si="61"/>
        <v>0</v>
      </c>
      <c r="K172" s="1566">
        <f t="shared" si="61"/>
        <v>0</v>
      </c>
      <c r="L172" s="1566">
        <f t="shared" si="61"/>
        <v>0</v>
      </c>
      <c r="M172" s="1566">
        <f t="shared" si="61"/>
        <v>0</v>
      </c>
      <c r="N172" s="1566">
        <f t="shared" si="61"/>
        <v>0</v>
      </c>
      <c r="O172" s="1566">
        <f t="shared" si="61"/>
        <v>0</v>
      </c>
      <c r="P172" s="1566">
        <f t="shared" si="61"/>
        <v>0</v>
      </c>
      <c r="Q172" s="1566">
        <f t="shared" si="61"/>
        <v>0</v>
      </c>
      <c r="R172" s="1566">
        <f t="shared" si="61"/>
        <v>0</v>
      </c>
      <c r="S172" s="1566">
        <f t="shared" si="61"/>
        <v>0</v>
      </c>
      <c r="T172" s="1566">
        <f t="shared" si="61"/>
        <v>0</v>
      </c>
      <c r="U172" s="1566">
        <f t="shared" si="61"/>
        <v>0</v>
      </c>
      <c r="V172" s="1566">
        <f t="shared" si="61"/>
        <v>0</v>
      </c>
      <c r="W172" s="1566">
        <f t="shared" si="61"/>
        <v>0</v>
      </c>
      <c r="X172" s="1566">
        <f t="shared" si="61"/>
        <v>0</v>
      </c>
      <c r="Y172" s="1566">
        <f t="shared" si="61"/>
        <v>0</v>
      </c>
      <c r="Z172" s="1566">
        <f t="shared" si="61"/>
        <v>0</v>
      </c>
      <c r="AA172" s="1566">
        <f t="shared" si="61"/>
        <v>0</v>
      </c>
      <c r="AB172" s="1566">
        <f t="shared" si="61"/>
        <v>0</v>
      </c>
      <c r="AC172" s="1566">
        <f t="shared" si="61"/>
        <v>0</v>
      </c>
      <c r="AD172" s="1566">
        <f t="shared" si="61"/>
        <v>0</v>
      </c>
      <c r="AE172" s="1566">
        <f t="shared" si="61"/>
        <v>0</v>
      </c>
      <c r="AF172" s="1566">
        <f t="shared" si="61"/>
        <v>0</v>
      </c>
      <c r="AG172" s="1566">
        <f t="shared" si="61"/>
        <v>0</v>
      </c>
      <c r="AH172" s="1566">
        <f t="shared" si="61"/>
        <v>0</v>
      </c>
      <c r="AI172" s="1566">
        <f t="shared" si="61"/>
        <v>0</v>
      </c>
      <c r="AJ172" s="1566">
        <f t="shared" si="61"/>
        <v>0</v>
      </c>
      <c r="AK172" s="1566">
        <f t="shared" si="61"/>
        <v>0</v>
      </c>
      <c r="AL172" s="1566">
        <f t="shared" si="61"/>
        <v>0</v>
      </c>
      <c r="AM172" s="1566">
        <f t="shared" si="61"/>
        <v>0</v>
      </c>
      <c r="AN172" s="1566">
        <f t="shared" si="61"/>
        <v>0</v>
      </c>
      <c r="AO172" s="1566">
        <f t="shared" si="61"/>
        <v>0</v>
      </c>
      <c r="AP172" s="1566">
        <f t="shared" si="61"/>
        <v>0</v>
      </c>
      <c r="AQ172" s="1566">
        <f t="shared" si="61"/>
        <v>0</v>
      </c>
      <c r="AR172" s="1566">
        <f t="shared" si="61"/>
        <v>0</v>
      </c>
      <c r="AS172" s="1566">
        <f t="shared" si="61"/>
        <v>0</v>
      </c>
      <c r="AT172" s="1566">
        <f t="shared" si="61"/>
        <v>0</v>
      </c>
      <c r="AU172" s="1566">
        <f t="shared" si="61"/>
        <v>0</v>
      </c>
      <c r="AV172" s="1566">
        <f t="shared" si="61"/>
        <v>0</v>
      </c>
      <c r="AW172" s="1566">
        <f t="shared" si="61"/>
        <v>0</v>
      </c>
      <c r="AX172" s="1566">
        <f t="shared" si="61"/>
        <v>0</v>
      </c>
      <c r="AY172" s="1566">
        <f t="shared" si="61"/>
        <v>0</v>
      </c>
      <c r="AZ172" s="1566">
        <f t="shared" si="61"/>
        <v>0</v>
      </c>
      <c r="BA172" s="1566">
        <f t="shared" si="61"/>
        <v>0</v>
      </c>
      <c r="BB172" s="1566">
        <f t="shared" si="61"/>
        <v>0</v>
      </c>
      <c r="BC172" s="1566">
        <f t="shared" si="61"/>
        <v>0</v>
      </c>
      <c r="BD172" s="1566">
        <f t="shared" si="61"/>
        <v>0</v>
      </c>
      <c r="BE172" s="1567">
        <f t="shared" si="61"/>
        <v>0</v>
      </c>
      <c r="BF172" s="695"/>
    </row>
    <row r="173" spans="1:58" x14ac:dyDescent="0.45">
      <c r="A173" s="695"/>
      <c r="B173" s="918" t="s">
        <v>161</v>
      </c>
      <c r="C173" s="919"/>
      <c r="D173" s="919"/>
      <c r="E173" s="922"/>
      <c r="F173" s="922" t="s">
        <v>748</v>
      </c>
      <c r="G173" s="1566"/>
      <c r="H173" s="1566">
        <f>H574</f>
        <v>0</v>
      </c>
      <c r="I173" s="1566">
        <f t="shared" ref="I173:BE173" si="62">I574</f>
        <v>0</v>
      </c>
      <c r="J173" s="1566">
        <f t="shared" si="62"/>
        <v>0</v>
      </c>
      <c r="K173" s="1566">
        <f t="shared" si="62"/>
        <v>0</v>
      </c>
      <c r="L173" s="1566">
        <f t="shared" si="62"/>
        <v>0</v>
      </c>
      <c r="M173" s="1566">
        <f t="shared" si="62"/>
        <v>0</v>
      </c>
      <c r="N173" s="1566">
        <f t="shared" si="62"/>
        <v>0</v>
      </c>
      <c r="O173" s="1566">
        <f t="shared" si="62"/>
        <v>0</v>
      </c>
      <c r="P173" s="1566">
        <f t="shared" si="62"/>
        <v>0</v>
      </c>
      <c r="Q173" s="1566">
        <f t="shared" si="62"/>
        <v>0</v>
      </c>
      <c r="R173" s="1566">
        <f t="shared" si="62"/>
        <v>0</v>
      </c>
      <c r="S173" s="1566">
        <f t="shared" si="62"/>
        <v>0</v>
      </c>
      <c r="T173" s="1566">
        <f t="shared" si="62"/>
        <v>0</v>
      </c>
      <c r="U173" s="1566">
        <f t="shared" si="62"/>
        <v>0</v>
      </c>
      <c r="V173" s="1566">
        <f t="shared" si="62"/>
        <v>0</v>
      </c>
      <c r="W173" s="1566">
        <f t="shared" si="62"/>
        <v>0</v>
      </c>
      <c r="X173" s="1566">
        <f t="shared" si="62"/>
        <v>0</v>
      </c>
      <c r="Y173" s="1566">
        <f t="shared" si="62"/>
        <v>0</v>
      </c>
      <c r="Z173" s="1566">
        <f t="shared" si="62"/>
        <v>0</v>
      </c>
      <c r="AA173" s="1566">
        <f t="shared" si="62"/>
        <v>0</v>
      </c>
      <c r="AB173" s="1566">
        <f t="shared" si="62"/>
        <v>0</v>
      </c>
      <c r="AC173" s="1566">
        <f t="shared" si="62"/>
        <v>0</v>
      </c>
      <c r="AD173" s="1566">
        <f t="shared" si="62"/>
        <v>0</v>
      </c>
      <c r="AE173" s="1566">
        <f t="shared" si="62"/>
        <v>0</v>
      </c>
      <c r="AF173" s="1566">
        <f t="shared" si="62"/>
        <v>0</v>
      </c>
      <c r="AG173" s="1566">
        <f t="shared" si="62"/>
        <v>0</v>
      </c>
      <c r="AH173" s="1566">
        <f t="shared" si="62"/>
        <v>0</v>
      </c>
      <c r="AI173" s="1566">
        <f t="shared" si="62"/>
        <v>0</v>
      </c>
      <c r="AJ173" s="1566">
        <f t="shared" si="62"/>
        <v>0</v>
      </c>
      <c r="AK173" s="1566">
        <f t="shared" si="62"/>
        <v>0</v>
      </c>
      <c r="AL173" s="1566">
        <f t="shared" si="62"/>
        <v>0</v>
      </c>
      <c r="AM173" s="1566">
        <f t="shared" si="62"/>
        <v>0</v>
      </c>
      <c r="AN173" s="1566">
        <f t="shared" si="62"/>
        <v>0</v>
      </c>
      <c r="AO173" s="1566">
        <f t="shared" si="62"/>
        <v>0</v>
      </c>
      <c r="AP173" s="1566">
        <f t="shared" si="62"/>
        <v>0</v>
      </c>
      <c r="AQ173" s="1566">
        <f t="shared" si="62"/>
        <v>0</v>
      </c>
      <c r="AR173" s="1566">
        <f t="shared" si="62"/>
        <v>0</v>
      </c>
      <c r="AS173" s="1566">
        <f t="shared" si="62"/>
        <v>0</v>
      </c>
      <c r="AT173" s="1566">
        <f t="shared" si="62"/>
        <v>0</v>
      </c>
      <c r="AU173" s="1566">
        <f t="shared" si="62"/>
        <v>0</v>
      </c>
      <c r="AV173" s="1566">
        <f t="shared" si="62"/>
        <v>0</v>
      </c>
      <c r="AW173" s="1566">
        <f t="shared" si="62"/>
        <v>0</v>
      </c>
      <c r="AX173" s="1566">
        <f t="shared" si="62"/>
        <v>0</v>
      </c>
      <c r="AY173" s="1566">
        <f t="shared" si="62"/>
        <v>0</v>
      </c>
      <c r="AZ173" s="1566">
        <f t="shared" si="62"/>
        <v>0</v>
      </c>
      <c r="BA173" s="1566">
        <f t="shared" si="62"/>
        <v>0</v>
      </c>
      <c r="BB173" s="1566">
        <f t="shared" si="62"/>
        <v>0</v>
      </c>
      <c r="BC173" s="1566">
        <f t="shared" si="62"/>
        <v>0</v>
      </c>
      <c r="BD173" s="1566">
        <f t="shared" si="62"/>
        <v>0</v>
      </c>
      <c r="BE173" s="1567">
        <f t="shared" si="62"/>
        <v>0</v>
      </c>
      <c r="BF173" s="695"/>
    </row>
    <row r="174" spans="1:58" x14ac:dyDescent="0.45">
      <c r="A174" s="695"/>
      <c r="B174" s="918" t="s">
        <v>120</v>
      </c>
      <c r="C174" s="919"/>
      <c r="D174" s="919"/>
      <c r="E174" s="922"/>
      <c r="F174" s="922" t="s">
        <v>748</v>
      </c>
      <c r="G174" s="1566"/>
      <c r="H174" s="1566">
        <f>(H543+H564+H585)</f>
        <v>0</v>
      </c>
      <c r="I174" s="1566">
        <f>(I543+I564+I585)</f>
        <v>0</v>
      </c>
      <c r="J174" s="1566">
        <f t="shared" ref="J174:BE174" si="63">(J543+J564+J585)</f>
        <v>0</v>
      </c>
      <c r="K174" s="1566">
        <f t="shared" si="63"/>
        <v>0</v>
      </c>
      <c r="L174" s="1566">
        <f t="shared" si="63"/>
        <v>0</v>
      </c>
      <c r="M174" s="1566">
        <f t="shared" si="63"/>
        <v>0</v>
      </c>
      <c r="N174" s="1566">
        <f t="shared" si="63"/>
        <v>0</v>
      </c>
      <c r="O174" s="1566">
        <f t="shared" si="63"/>
        <v>0</v>
      </c>
      <c r="P174" s="1566">
        <f t="shared" si="63"/>
        <v>0</v>
      </c>
      <c r="Q174" s="1566">
        <f t="shared" si="63"/>
        <v>0</v>
      </c>
      <c r="R174" s="1566">
        <f t="shared" si="63"/>
        <v>0</v>
      </c>
      <c r="S174" s="1566">
        <f t="shared" si="63"/>
        <v>0</v>
      </c>
      <c r="T174" s="1566">
        <f t="shared" si="63"/>
        <v>0</v>
      </c>
      <c r="U174" s="1566">
        <f t="shared" si="63"/>
        <v>0</v>
      </c>
      <c r="V174" s="1566">
        <f t="shared" si="63"/>
        <v>0</v>
      </c>
      <c r="W174" s="1566">
        <f t="shared" si="63"/>
        <v>0</v>
      </c>
      <c r="X174" s="1566">
        <f t="shared" si="63"/>
        <v>0</v>
      </c>
      <c r="Y174" s="1566">
        <f t="shared" si="63"/>
        <v>0</v>
      </c>
      <c r="Z174" s="1566">
        <f t="shared" si="63"/>
        <v>0</v>
      </c>
      <c r="AA174" s="1566">
        <f t="shared" si="63"/>
        <v>0</v>
      </c>
      <c r="AB174" s="1566">
        <f t="shared" si="63"/>
        <v>0</v>
      </c>
      <c r="AC174" s="1566">
        <f t="shared" si="63"/>
        <v>0</v>
      </c>
      <c r="AD174" s="1566">
        <f t="shared" si="63"/>
        <v>0</v>
      </c>
      <c r="AE174" s="1566">
        <f t="shared" si="63"/>
        <v>0</v>
      </c>
      <c r="AF174" s="1566">
        <f t="shared" si="63"/>
        <v>0</v>
      </c>
      <c r="AG174" s="1566">
        <f t="shared" si="63"/>
        <v>0</v>
      </c>
      <c r="AH174" s="1566">
        <f t="shared" si="63"/>
        <v>0</v>
      </c>
      <c r="AI174" s="1566">
        <f t="shared" si="63"/>
        <v>0</v>
      </c>
      <c r="AJ174" s="1566">
        <f t="shared" si="63"/>
        <v>0</v>
      </c>
      <c r="AK174" s="1566">
        <f t="shared" si="63"/>
        <v>0</v>
      </c>
      <c r="AL174" s="1566">
        <f t="shared" si="63"/>
        <v>0</v>
      </c>
      <c r="AM174" s="1566">
        <f t="shared" si="63"/>
        <v>0</v>
      </c>
      <c r="AN174" s="1566">
        <f t="shared" si="63"/>
        <v>0</v>
      </c>
      <c r="AO174" s="1566">
        <f t="shared" si="63"/>
        <v>0</v>
      </c>
      <c r="AP174" s="1566">
        <f t="shared" si="63"/>
        <v>0</v>
      </c>
      <c r="AQ174" s="1566">
        <f t="shared" si="63"/>
        <v>0</v>
      </c>
      <c r="AR174" s="1566">
        <f t="shared" si="63"/>
        <v>0</v>
      </c>
      <c r="AS174" s="1566">
        <f t="shared" si="63"/>
        <v>0</v>
      </c>
      <c r="AT174" s="1566">
        <f t="shared" si="63"/>
        <v>0</v>
      </c>
      <c r="AU174" s="1566">
        <f t="shared" si="63"/>
        <v>0</v>
      </c>
      <c r="AV174" s="1566">
        <f t="shared" si="63"/>
        <v>0</v>
      </c>
      <c r="AW174" s="1566">
        <f t="shared" si="63"/>
        <v>0</v>
      </c>
      <c r="AX174" s="1566">
        <f t="shared" si="63"/>
        <v>0</v>
      </c>
      <c r="AY174" s="1566">
        <f t="shared" si="63"/>
        <v>0</v>
      </c>
      <c r="AZ174" s="1566">
        <f t="shared" si="63"/>
        <v>0</v>
      </c>
      <c r="BA174" s="1566">
        <f t="shared" si="63"/>
        <v>0</v>
      </c>
      <c r="BB174" s="1566">
        <f t="shared" si="63"/>
        <v>0</v>
      </c>
      <c r="BC174" s="1566">
        <f t="shared" si="63"/>
        <v>0</v>
      </c>
      <c r="BD174" s="1566">
        <f t="shared" si="63"/>
        <v>0</v>
      </c>
      <c r="BE174" s="1567">
        <f t="shared" si="63"/>
        <v>0</v>
      </c>
      <c r="BF174" s="695"/>
    </row>
    <row r="175" spans="1:58" x14ac:dyDescent="0.45">
      <c r="A175" s="695"/>
      <c r="B175" s="918" t="s">
        <v>162</v>
      </c>
      <c r="C175" s="919"/>
      <c r="D175" s="919"/>
      <c r="E175" s="922"/>
      <c r="F175" s="922" t="s">
        <v>748</v>
      </c>
      <c r="G175" s="1566"/>
      <c r="H175" s="1566">
        <f>(H565+H566)</f>
        <v>0</v>
      </c>
      <c r="I175" s="1566">
        <f>(I566)</f>
        <v>0</v>
      </c>
      <c r="J175" s="1566">
        <f t="shared" ref="J175:BE175" si="64">(J566)</f>
        <v>0</v>
      </c>
      <c r="K175" s="1566">
        <f t="shared" si="64"/>
        <v>0</v>
      </c>
      <c r="L175" s="1566">
        <f t="shared" si="64"/>
        <v>0</v>
      </c>
      <c r="M175" s="1566">
        <f t="shared" si="64"/>
        <v>0</v>
      </c>
      <c r="N175" s="1566">
        <f t="shared" si="64"/>
        <v>0</v>
      </c>
      <c r="O175" s="1566">
        <f t="shared" si="64"/>
        <v>0</v>
      </c>
      <c r="P175" s="1566">
        <f t="shared" si="64"/>
        <v>0</v>
      </c>
      <c r="Q175" s="1566">
        <f t="shared" si="64"/>
        <v>0</v>
      </c>
      <c r="R175" s="1566">
        <f t="shared" si="64"/>
        <v>0</v>
      </c>
      <c r="S175" s="1566">
        <f t="shared" si="64"/>
        <v>0</v>
      </c>
      <c r="T175" s="1566">
        <f t="shared" si="64"/>
        <v>0</v>
      </c>
      <c r="U175" s="1566">
        <f t="shared" si="64"/>
        <v>0</v>
      </c>
      <c r="V175" s="1566">
        <f t="shared" si="64"/>
        <v>0</v>
      </c>
      <c r="W175" s="1566">
        <f t="shared" si="64"/>
        <v>0</v>
      </c>
      <c r="X175" s="1566">
        <f t="shared" si="64"/>
        <v>0</v>
      </c>
      <c r="Y175" s="1566">
        <f t="shared" si="64"/>
        <v>0</v>
      </c>
      <c r="Z175" s="1566">
        <f t="shared" si="64"/>
        <v>0</v>
      </c>
      <c r="AA175" s="1566">
        <f t="shared" si="64"/>
        <v>0</v>
      </c>
      <c r="AB175" s="1566">
        <f t="shared" si="64"/>
        <v>0</v>
      </c>
      <c r="AC175" s="1566">
        <f t="shared" si="64"/>
        <v>0</v>
      </c>
      <c r="AD175" s="1566">
        <f t="shared" si="64"/>
        <v>0</v>
      </c>
      <c r="AE175" s="1566">
        <f t="shared" si="64"/>
        <v>0</v>
      </c>
      <c r="AF175" s="1566">
        <f t="shared" si="64"/>
        <v>0</v>
      </c>
      <c r="AG175" s="1566">
        <f t="shared" si="64"/>
        <v>0</v>
      </c>
      <c r="AH175" s="1566">
        <f t="shared" si="64"/>
        <v>0</v>
      </c>
      <c r="AI175" s="1566">
        <f t="shared" si="64"/>
        <v>0</v>
      </c>
      <c r="AJ175" s="1566">
        <f t="shared" si="64"/>
        <v>0</v>
      </c>
      <c r="AK175" s="1566">
        <f t="shared" si="64"/>
        <v>0</v>
      </c>
      <c r="AL175" s="1566">
        <f t="shared" si="64"/>
        <v>0</v>
      </c>
      <c r="AM175" s="1566">
        <f t="shared" si="64"/>
        <v>0</v>
      </c>
      <c r="AN175" s="1566">
        <f t="shared" si="64"/>
        <v>0</v>
      </c>
      <c r="AO175" s="1566">
        <f t="shared" si="64"/>
        <v>0</v>
      </c>
      <c r="AP175" s="1566">
        <f t="shared" si="64"/>
        <v>0</v>
      </c>
      <c r="AQ175" s="1566">
        <f t="shared" si="64"/>
        <v>0</v>
      </c>
      <c r="AR175" s="1566">
        <f t="shared" si="64"/>
        <v>0</v>
      </c>
      <c r="AS175" s="1566">
        <f t="shared" si="64"/>
        <v>0</v>
      </c>
      <c r="AT175" s="1566">
        <f t="shared" si="64"/>
        <v>0</v>
      </c>
      <c r="AU175" s="1566">
        <f t="shared" si="64"/>
        <v>0</v>
      </c>
      <c r="AV175" s="1566">
        <f t="shared" si="64"/>
        <v>0</v>
      </c>
      <c r="AW175" s="1566">
        <f t="shared" si="64"/>
        <v>0</v>
      </c>
      <c r="AX175" s="1566">
        <f t="shared" si="64"/>
        <v>0</v>
      </c>
      <c r="AY175" s="1566">
        <f t="shared" si="64"/>
        <v>0</v>
      </c>
      <c r="AZ175" s="1566">
        <f t="shared" si="64"/>
        <v>0</v>
      </c>
      <c r="BA175" s="1566">
        <f t="shared" si="64"/>
        <v>0</v>
      </c>
      <c r="BB175" s="1566">
        <f t="shared" si="64"/>
        <v>0</v>
      </c>
      <c r="BC175" s="1566">
        <f t="shared" si="64"/>
        <v>0</v>
      </c>
      <c r="BD175" s="1566">
        <f t="shared" si="64"/>
        <v>0</v>
      </c>
      <c r="BE175" s="1567">
        <f t="shared" si="64"/>
        <v>0</v>
      </c>
      <c r="BF175" s="695"/>
    </row>
    <row r="176" spans="1:58" x14ac:dyDescent="0.45">
      <c r="A176" s="695"/>
      <c r="B176" s="918" t="s">
        <v>121</v>
      </c>
      <c r="C176" s="919"/>
      <c r="D176" s="919"/>
      <c r="E176" s="922"/>
      <c r="F176" s="922" t="s">
        <v>748</v>
      </c>
      <c r="G176" s="1566"/>
      <c r="H176" s="1566">
        <f>(H595+H596)</f>
        <v>0</v>
      </c>
      <c r="I176" s="1566">
        <f>(+I596)</f>
        <v>0</v>
      </c>
      <c r="J176" s="1566">
        <f t="shared" ref="J176:BE176" si="65">(+J596)</f>
        <v>0</v>
      </c>
      <c r="K176" s="1566">
        <f t="shared" si="65"/>
        <v>0</v>
      </c>
      <c r="L176" s="1566">
        <f t="shared" si="65"/>
        <v>0</v>
      </c>
      <c r="M176" s="1566">
        <f t="shared" si="65"/>
        <v>0</v>
      </c>
      <c r="N176" s="1566">
        <f t="shared" si="65"/>
        <v>0</v>
      </c>
      <c r="O176" s="1566">
        <f t="shared" si="65"/>
        <v>0</v>
      </c>
      <c r="P176" s="1566">
        <f t="shared" si="65"/>
        <v>0</v>
      </c>
      <c r="Q176" s="1566">
        <f t="shared" si="65"/>
        <v>0</v>
      </c>
      <c r="R176" s="1566">
        <f t="shared" si="65"/>
        <v>0</v>
      </c>
      <c r="S176" s="1566">
        <f t="shared" si="65"/>
        <v>0</v>
      </c>
      <c r="T176" s="1566">
        <f t="shared" si="65"/>
        <v>0</v>
      </c>
      <c r="U176" s="1566">
        <f t="shared" si="65"/>
        <v>0</v>
      </c>
      <c r="V176" s="1566">
        <f t="shared" si="65"/>
        <v>0</v>
      </c>
      <c r="W176" s="1566">
        <f t="shared" si="65"/>
        <v>0</v>
      </c>
      <c r="X176" s="1566">
        <f t="shared" si="65"/>
        <v>0</v>
      </c>
      <c r="Y176" s="1566">
        <f t="shared" si="65"/>
        <v>0</v>
      </c>
      <c r="Z176" s="1566">
        <f t="shared" si="65"/>
        <v>0</v>
      </c>
      <c r="AA176" s="1566">
        <f t="shared" si="65"/>
        <v>0</v>
      </c>
      <c r="AB176" s="1566">
        <f t="shared" si="65"/>
        <v>0</v>
      </c>
      <c r="AC176" s="1566">
        <f t="shared" si="65"/>
        <v>0</v>
      </c>
      <c r="AD176" s="1566">
        <f t="shared" si="65"/>
        <v>0</v>
      </c>
      <c r="AE176" s="1566">
        <f t="shared" si="65"/>
        <v>0</v>
      </c>
      <c r="AF176" s="1566">
        <f t="shared" si="65"/>
        <v>0</v>
      </c>
      <c r="AG176" s="1566">
        <f t="shared" si="65"/>
        <v>0</v>
      </c>
      <c r="AH176" s="1566">
        <f t="shared" si="65"/>
        <v>0</v>
      </c>
      <c r="AI176" s="1566">
        <f t="shared" si="65"/>
        <v>0</v>
      </c>
      <c r="AJ176" s="1566">
        <f t="shared" si="65"/>
        <v>0</v>
      </c>
      <c r="AK176" s="1566">
        <f t="shared" si="65"/>
        <v>0</v>
      </c>
      <c r="AL176" s="1566">
        <f t="shared" si="65"/>
        <v>0</v>
      </c>
      <c r="AM176" s="1566">
        <f t="shared" si="65"/>
        <v>0</v>
      </c>
      <c r="AN176" s="1566">
        <f t="shared" si="65"/>
        <v>0</v>
      </c>
      <c r="AO176" s="1566">
        <f t="shared" si="65"/>
        <v>0</v>
      </c>
      <c r="AP176" s="1566">
        <f t="shared" si="65"/>
        <v>0</v>
      </c>
      <c r="AQ176" s="1566">
        <f t="shared" si="65"/>
        <v>0</v>
      </c>
      <c r="AR176" s="1566">
        <f t="shared" si="65"/>
        <v>0</v>
      </c>
      <c r="AS176" s="1566">
        <f t="shared" si="65"/>
        <v>0</v>
      </c>
      <c r="AT176" s="1566">
        <f t="shared" si="65"/>
        <v>0</v>
      </c>
      <c r="AU176" s="1566">
        <f t="shared" si="65"/>
        <v>0</v>
      </c>
      <c r="AV176" s="1566">
        <f t="shared" si="65"/>
        <v>0</v>
      </c>
      <c r="AW176" s="1566">
        <f t="shared" si="65"/>
        <v>0</v>
      </c>
      <c r="AX176" s="1566">
        <f t="shared" si="65"/>
        <v>0</v>
      </c>
      <c r="AY176" s="1566">
        <f t="shared" si="65"/>
        <v>0</v>
      </c>
      <c r="AZ176" s="1566">
        <f t="shared" si="65"/>
        <v>0</v>
      </c>
      <c r="BA176" s="1566">
        <f t="shared" si="65"/>
        <v>0</v>
      </c>
      <c r="BB176" s="1566">
        <f t="shared" si="65"/>
        <v>0</v>
      </c>
      <c r="BC176" s="1566">
        <f t="shared" si="65"/>
        <v>0</v>
      </c>
      <c r="BD176" s="1566">
        <f t="shared" si="65"/>
        <v>0</v>
      </c>
      <c r="BE176" s="1567">
        <f t="shared" si="65"/>
        <v>0</v>
      </c>
      <c r="BF176" s="695"/>
    </row>
    <row r="177" spans="1:58" x14ac:dyDescent="0.45">
      <c r="A177" s="695"/>
      <c r="B177" s="918"/>
      <c r="C177" s="919"/>
      <c r="D177" s="919"/>
      <c r="E177" s="922"/>
      <c r="F177" s="922"/>
      <c r="G177" s="1566"/>
      <c r="H177" s="1566"/>
      <c r="I177" s="1566"/>
      <c r="J177" s="1566"/>
      <c r="K177" s="1566"/>
      <c r="L177" s="1566"/>
      <c r="M177" s="1566"/>
      <c r="N177" s="1566"/>
      <c r="O177" s="1566"/>
      <c r="P177" s="1566"/>
      <c r="Q177" s="1566"/>
      <c r="R177" s="1566"/>
      <c r="S177" s="1566"/>
      <c r="T177" s="1566"/>
      <c r="U177" s="1566"/>
      <c r="V177" s="1566"/>
      <c r="W177" s="1566"/>
      <c r="X177" s="1566"/>
      <c r="Y177" s="1566"/>
      <c r="Z177" s="1566"/>
      <c r="AA177" s="1566"/>
      <c r="AB177" s="1566"/>
      <c r="AC177" s="1566"/>
      <c r="AD177" s="1566"/>
      <c r="AE177" s="1566"/>
      <c r="AF177" s="1566"/>
      <c r="AG177" s="1566"/>
      <c r="AH177" s="1566"/>
      <c r="AI177" s="1566"/>
      <c r="AJ177" s="1566"/>
      <c r="AK177" s="1566"/>
      <c r="AL177" s="1566"/>
      <c r="AM177" s="1566"/>
      <c r="AN177" s="1566"/>
      <c r="AO177" s="1566"/>
      <c r="AP177" s="1566"/>
      <c r="AQ177" s="1566"/>
      <c r="AR177" s="1566"/>
      <c r="AS177" s="1566"/>
      <c r="AT177" s="1566"/>
      <c r="AU177" s="1566"/>
      <c r="AV177" s="1566"/>
      <c r="AW177" s="1566"/>
      <c r="AX177" s="1566"/>
      <c r="AY177" s="1566"/>
      <c r="AZ177" s="1566"/>
      <c r="BA177" s="1566"/>
      <c r="BB177" s="1566"/>
      <c r="BC177" s="1566"/>
      <c r="BD177" s="1566"/>
      <c r="BE177" s="1567"/>
      <c r="BF177" s="695"/>
    </row>
    <row r="178" spans="1:58" x14ac:dyDescent="0.45">
      <c r="A178" s="695"/>
      <c r="B178" s="918"/>
      <c r="C178" s="919"/>
      <c r="D178" s="919"/>
      <c r="E178" s="922"/>
      <c r="F178" s="922"/>
      <c r="G178" s="1566"/>
      <c r="H178" s="1566"/>
      <c r="I178" s="1566"/>
      <c r="J178" s="1566"/>
      <c r="K178" s="1566"/>
      <c r="L178" s="1566"/>
      <c r="M178" s="1566"/>
      <c r="N178" s="1566"/>
      <c r="O178" s="1566"/>
      <c r="P178" s="1566"/>
      <c r="Q178" s="1566"/>
      <c r="R178" s="1566"/>
      <c r="S178" s="1566"/>
      <c r="T178" s="1566"/>
      <c r="U178" s="1566"/>
      <c r="V178" s="1566"/>
      <c r="W178" s="1566"/>
      <c r="X178" s="1566"/>
      <c r="Y178" s="1566"/>
      <c r="Z178" s="1566"/>
      <c r="AA178" s="1566"/>
      <c r="AB178" s="1566"/>
      <c r="AC178" s="1566"/>
      <c r="AD178" s="1566"/>
      <c r="AE178" s="1566"/>
      <c r="AF178" s="1566"/>
      <c r="AG178" s="1566"/>
      <c r="AH178" s="1566"/>
      <c r="AI178" s="1566"/>
      <c r="AJ178" s="1566"/>
      <c r="AK178" s="1566"/>
      <c r="AL178" s="1566"/>
      <c r="AM178" s="1566"/>
      <c r="AN178" s="1566"/>
      <c r="AO178" s="1566"/>
      <c r="AP178" s="1566"/>
      <c r="AQ178" s="1566"/>
      <c r="AR178" s="1566"/>
      <c r="AS178" s="1566"/>
      <c r="AT178" s="1566"/>
      <c r="AU178" s="1566"/>
      <c r="AV178" s="1566"/>
      <c r="AW178" s="1566"/>
      <c r="AX178" s="1566"/>
      <c r="AY178" s="1566"/>
      <c r="AZ178" s="1566"/>
      <c r="BA178" s="1566"/>
      <c r="BB178" s="1566"/>
      <c r="BC178" s="1566"/>
      <c r="BD178" s="1566"/>
      <c r="BE178" s="1567"/>
      <c r="BF178" s="695"/>
    </row>
    <row r="179" spans="1:58" ht="13.15" x14ac:dyDescent="0.45">
      <c r="A179" s="695"/>
      <c r="B179" s="931" t="s">
        <v>460</v>
      </c>
      <c r="C179" s="919"/>
      <c r="D179" s="919"/>
      <c r="E179" s="922"/>
      <c r="F179" s="922"/>
      <c r="G179" s="1566"/>
      <c r="H179" s="1566"/>
      <c r="I179" s="1566"/>
      <c r="J179" s="1566"/>
      <c r="K179" s="1566"/>
      <c r="L179" s="1566"/>
      <c r="M179" s="1566"/>
      <c r="N179" s="1566"/>
      <c r="O179" s="1566"/>
      <c r="P179" s="1566"/>
      <c r="Q179" s="1566"/>
      <c r="R179" s="1566"/>
      <c r="S179" s="1566"/>
      <c r="T179" s="1566"/>
      <c r="U179" s="1566"/>
      <c r="V179" s="1566"/>
      <c r="W179" s="1566"/>
      <c r="X179" s="1566"/>
      <c r="Y179" s="1566"/>
      <c r="Z179" s="1566"/>
      <c r="AA179" s="1566"/>
      <c r="AB179" s="1566"/>
      <c r="AC179" s="1566"/>
      <c r="AD179" s="1566"/>
      <c r="AE179" s="1566"/>
      <c r="AF179" s="1566"/>
      <c r="AG179" s="1566"/>
      <c r="AH179" s="1566"/>
      <c r="AI179" s="1566"/>
      <c r="AJ179" s="1566"/>
      <c r="AK179" s="1566"/>
      <c r="AL179" s="1566"/>
      <c r="AM179" s="1566"/>
      <c r="AN179" s="1566"/>
      <c r="AO179" s="1566"/>
      <c r="AP179" s="1566"/>
      <c r="AQ179" s="1566"/>
      <c r="AR179" s="1566"/>
      <c r="AS179" s="1566"/>
      <c r="AT179" s="1566"/>
      <c r="AU179" s="1566"/>
      <c r="AV179" s="1566"/>
      <c r="AW179" s="1566"/>
      <c r="AX179" s="1566"/>
      <c r="AY179" s="1566"/>
      <c r="AZ179" s="1566"/>
      <c r="BA179" s="1566"/>
      <c r="BB179" s="1566"/>
      <c r="BC179" s="1566"/>
      <c r="BD179" s="1566"/>
      <c r="BE179" s="1567"/>
      <c r="BF179" s="695"/>
    </row>
    <row r="180" spans="1:58" x14ac:dyDescent="0.45">
      <c r="A180" s="695"/>
      <c r="B180" s="918"/>
      <c r="C180" s="919"/>
      <c r="D180" s="919"/>
      <c r="E180" s="922"/>
      <c r="F180" s="922"/>
      <c r="G180" s="1566"/>
      <c r="H180" s="1566"/>
      <c r="I180" s="1566"/>
      <c r="J180" s="1566"/>
      <c r="K180" s="1566"/>
      <c r="L180" s="1566"/>
      <c r="M180" s="1566"/>
      <c r="N180" s="1566"/>
      <c r="O180" s="1566"/>
      <c r="P180" s="1566"/>
      <c r="Q180" s="1566"/>
      <c r="R180" s="1566"/>
      <c r="S180" s="1566"/>
      <c r="T180" s="1566"/>
      <c r="U180" s="1566"/>
      <c r="V180" s="1566"/>
      <c r="W180" s="1566"/>
      <c r="X180" s="1566"/>
      <c r="Y180" s="1566"/>
      <c r="Z180" s="1566"/>
      <c r="AA180" s="1566"/>
      <c r="AB180" s="1566"/>
      <c r="AC180" s="1566"/>
      <c r="AD180" s="1566"/>
      <c r="AE180" s="1566"/>
      <c r="AF180" s="1566"/>
      <c r="AG180" s="1566"/>
      <c r="AH180" s="1566"/>
      <c r="AI180" s="1566"/>
      <c r="AJ180" s="1566"/>
      <c r="AK180" s="1566"/>
      <c r="AL180" s="1566"/>
      <c r="AM180" s="1566"/>
      <c r="AN180" s="1566"/>
      <c r="AO180" s="1566"/>
      <c r="AP180" s="1566"/>
      <c r="AQ180" s="1566"/>
      <c r="AR180" s="1566"/>
      <c r="AS180" s="1566"/>
      <c r="AT180" s="1566"/>
      <c r="AU180" s="1566"/>
      <c r="AV180" s="1566"/>
      <c r="AW180" s="1566"/>
      <c r="AX180" s="1566"/>
      <c r="AY180" s="1566"/>
      <c r="AZ180" s="1566"/>
      <c r="BA180" s="1566"/>
      <c r="BB180" s="1566"/>
      <c r="BC180" s="1566"/>
      <c r="BD180" s="1566"/>
      <c r="BE180" s="1567"/>
      <c r="BF180" s="695"/>
    </row>
    <row r="181" spans="1:58" x14ac:dyDescent="0.45">
      <c r="A181" s="695"/>
      <c r="B181" s="918" t="str">
        <f>B160</f>
        <v>Operations &amp; Maintenance Expenses, excluding fuel cost</v>
      </c>
      <c r="C181" s="919"/>
      <c r="D181" s="919"/>
      <c r="E181" s="922"/>
      <c r="F181" s="922" t="s">
        <v>748</v>
      </c>
      <c r="G181" s="1566"/>
      <c r="H181" s="1566">
        <f t="shared" ref="H181:AM181" si="66">-H160</f>
        <v>0</v>
      </c>
      <c r="I181" s="1566">
        <f t="shared" si="66"/>
        <v>0</v>
      </c>
      <c r="J181" s="1566">
        <f t="shared" si="66"/>
        <v>0</v>
      </c>
      <c r="K181" s="1566">
        <f t="shared" si="66"/>
        <v>0</v>
      </c>
      <c r="L181" s="1566">
        <f t="shared" si="66"/>
        <v>0</v>
      </c>
      <c r="M181" s="1566">
        <f t="shared" si="66"/>
        <v>0</v>
      </c>
      <c r="N181" s="1566">
        <f t="shared" si="66"/>
        <v>0</v>
      </c>
      <c r="O181" s="1566">
        <f t="shared" si="66"/>
        <v>0</v>
      </c>
      <c r="P181" s="1566">
        <f t="shared" si="66"/>
        <v>0</v>
      </c>
      <c r="Q181" s="1566">
        <f t="shared" si="66"/>
        <v>0</v>
      </c>
      <c r="R181" s="1566">
        <f t="shared" si="66"/>
        <v>0</v>
      </c>
      <c r="S181" s="1566">
        <f t="shared" si="66"/>
        <v>0</v>
      </c>
      <c r="T181" s="1566">
        <f t="shared" si="66"/>
        <v>0</v>
      </c>
      <c r="U181" s="1566">
        <f t="shared" si="66"/>
        <v>0</v>
      </c>
      <c r="V181" s="1566">
        <f t="shared" si="66"/>
        <v>0</v>
      </c>
      <c r="W181" s="1566">
        <f t="shared" si="66"/>
        <v>0</v>
      </c>
      <c r="X181" s="1566">
        <f t="shared" si="66"/>
        <v>0</v>
      </c>
      <c r="Y181" s="1566">
        <f t="shared" si="66"/>
        <v>0</v>
      </c>
      <c r="Z181" s="1566">
        <f t="shared" si="66"/>
        <v>0</v>
      </c>
      <c r="AA181" s="1566">
        <f t="shared" si="66"/>
        <v>0</v>
      </c>
      <c r="AB181" s="1566">
        <f t="shared" si="66"/>
        <v>0</v>
      </c>
      <c r="AC181" s="1566">
        <f t="shared" si="66"/>
        <v>0</v>
      </c>
      <c r="AD181" s="1566">
        <f t="shared" si="66"/>
        <v>0</v>
      </c>
      <c r="AE181" s="1566">
        <f t="shared" si="66"/>
        <v>0</v>
      </c>
      <c r="AF181" s="1566">
        <f t="shared" si="66"/>
        <v>0</v>
      </c>
      <c r="AG181" s="1566">
        <f t="shared" si="66"/>
        <v>0</v>
      </c>
      <c r="AH181" s="1566">
        <f t="shared" si="66"/>
        <v>0</v>
      </c>
      <c r="AI181" s="1566">
        <f t="shared" si="66"/>
        <v>0</v>
      </c>
      <c r="AJ181" s="1566">
        <f t="shared" si="66"/>
        <v>0</v>
      </c>
      <c r="AK181" s="1566">
        <f t="shared" si="66"/>
        <v>0</v>
      </c>
      <c r="AL181" s="1566">
        <f t="shared" si="66"/>
        <v>0</v>
      </c>
      <c r="AM181" s="1566">
        <f t="shared" si="66"/>
        <v>0</v>
      </c>
      <c r="AN181" s="1566">
        <f t="shared" ref="AN181:BE181" si="67">-AN160</f>
        <v>0</v>
      </c>
      <c r="AO181" s="1566">
        <f t="shared" si="67"/>
        <v>0</v>
      </c>
      <c r="AP181" s="1566">
        <f t="shared" si="67"/>
        <v>0</v>
      </c>
      <c r="AQ181" s="1566">
        <f t="shared" si="67"/>
        <v>0</v>
      </c>
      <c r="AR181" s="1566">
        <f t="shared" si="67"/>
        <v>0</v>
      </c>
      <c r="AS181" s="1566">
        <f t="shared" si="67"/>
        <v>0</v>
      </c>
      <c r="AT181" s="1566">
        <f t="shared" si="67"/>
        <v>0</v>
      </c>
      <c r="AU181" s="1566">
        <f t="shared" si="67"/>
        <v>0</v>
      </c>
      <c r="AV181" s="1566">
        <f t="shared" si="67"/>
        <v>0</v>
      </c>
      <c r="AW181" s="1566">
        <f t="shared" si="67"/>
        <v>0</v>
      </c>
      <c r="AX181" s="1566">
        <f t="shared" si="67"/>
        <v>0</v>
      </c>
      <c r="AY181" s="1566">
        <f t="shared" si="67"/>
        <v>0</v>
      </c>
      <c r="AZ181" s="1566">
        <f t="shared" si="67"/>
        <v>0</v>
      </c>
      <c r="BA181" s="1566">
        <f t="shared" si="67"/>
        <v>0</v>
      </c>
      <c r="BB181" s="1566">
        <f t="shared" si="67"/>
        <v>0</v>
      </c>
      <c r="BC181" s="1566">
        <f t="shared" si="67"/>
        <v>0</v>
      </c>
      <c r="BD181" s="1566">
        <f t="shared" si="67"/>
        <v>0</v>
      </c>
      <c r="BE181" s="1567">
        <f t="shared" si="67"/>
        <v>0</v>
      </c>
      <c r="BF181" s="695"/>
    </row>
    <row r="182" spans="1:58" x14ac:dyDescent="0.45">
      <c r="A182" s="695"/>
      <c r="B182" s="918" t="s">
        <v>35</v>
      </c>
      <c r="C182" s="919"/>
      <c r="D182" s="919"/>
      <c r="E182" s="922"/>
      <c r="F182" s="922" t="s">
        <v>748</v>
      </c>
      <c r="G182" s="1566"/>
      <c r="H182" s="1566">
        <f>-H167</f>
        <v>0</v>
      </c>
      <c r="I182" s="1566">
        <f t="shared" ref="I182:BE182" si="68">-I167</f>
        <v>0</v>
      </c>
      <c r="J182" s="1566">
        <f t="shared" si="68"/>
        <v>0</v>
      </c>
      <c r="K182" s="1566">
        <f t="shared" si="68"/>
        <v>0</v>
      </c>
      <c r="L182" s="1566">
        <f t="shared" si="68"/>
        <v>0</v>
      </c>
      <c r="M182" s="1566">
        <f t="shared" si="68"/>
        <v>0</v>
      </c>
      <c r="N182" s="1566">
        <f t="shared" si="68"/>
        <v>0</v>
      </c>
      <c r="O182" s="1566">
        <f t="shared" si="68"/>
        <v>0</v>
      </c>
      <c r="P182" s="1566">
        <f t="shared" si="68"/>
        <v>0</v>
      </c>
      <c r="Q182" s="1566">
        <f t="shared" si="68"/>
        <v>0</v>
      </c>
      <c r="R182" s="1566">
        <f t="shared" si="68"/>
        <v>0</v>
      </c>
      <c r="S182" s="1566">
        <f t="shared" si="68"/>
        <v>0</v>
      </c>
      <c r="T182" s="1566">
        <f t="shared" si="68"/>
        <v>0</v>
      </c>
      <c r="U182" s="1566">
        <f t="shared" si="68"/>
        <v>0</v>
      </c>
      <c r="V182" s="1566">
        <f t="shared" si="68"/>
        <v>0</v>
      </c>
      <c r="W182" s="1566">
        <f t="shared" si="68"/>
        <v>0</v>
      </c>
      <c r="X182" s="1566">
        <f t="shared" si="68"/>
        <v>0</v>
      </c>
      <c r="Y182" s="1566">
        <f t="shared" si="68"/>
        <v>0</v>
      </c>
      <c r="Z182" s="1566">
        <f t="shared" si="68"/>
        <v>0</v>
      </c>
      <c r="AA182" s="1566">
        <f t="shared" si="68"/>
        <v>0</v>
      </c>
      <c r="AB182" s="1566">
        <f t="shared" si="68"/>
        <v>0</v>
      </c>
      <c r="AC182" s="1566">
        <f t="shared" si="68"/>
        <v>0</v>
      </c>
      <c r="AD182" s="1566">
        <f t="shared" si="68"/>
        <v>0</v>
      </c>
      <c r="AE182" s="1566">
        <f t="shared" si="68"/>
        <v>0</v>
      </c>
      <c r="AF182" s="1566">
        <f t="shared" si="68"/>
        <v>0</v>
      </c>
      <c r="AG182" s="1566">
        <f t="shared" si="68"/>
        <v>0</v>
      </c>
      <c r="AH182" s="1566">
        <f t="shared" si="68"/>
        <v>0</v>
      </c>
      <c r="AI182" s="1566">
        <f t="shared" si="68"/>
        <v>0</v>
      </c>
      <c r="AJ182" s="1566">
        <f t="shared" si="68"/>
        <v>0</v>
      </c>
      <c r="AK182" s="1566">
        <f t="shared" si="68"/>
        <v>0</v>
      </c>
      <c r="AL182" s="1566">
        <f t="shared" si="68"/>
        <v>0</v>
      </c>
      <c r="AM182" s="1566">
        <f t="shared" si="68"/>
        <v>0</v>
      </c>
      <c r="AN182" s="1566">
        <f t="shared" si="68"/>
        <v>0</v>
      </c>
      <c r="AO182" s="1566">
        <f t="shared" si="68"/>
        <v>0</v>
      </c>
      <c r="AP182" s="1566">
        <f t="shared" si="68"/>
        <v>0</v>
      </c>
      <c r="AQ182" s="1566">
        <f t="shared" si="68"/>
        <v>0</v>
      </c>
      <c r="AR182" s="1566">
        <f t="shared" si="68"/>
        <v>0</v>
      </c>
      <c r="AS182" s="1566">
        <f t="shared" si="68"/>
        <v>0</v>
      </c>
      <c r="AT182" s="1566">
        <f t="shared" si="68"/>
        <v>0</v>
      </c>
      <c r="AU182" s="1566">
        <f t="shared" si="68"/>
        <v>0</v>
      </c>
      <c r="AV182" s="1566">
        <f t="shared" si="68"/>
        <v>0</v>
      </c>
      <c r="AW182" s="1566">
        <f t="shared" si="68"/>
        <v>0</v>
      </c>
      <c r="AX182" s="1566">
        <f t="shared" si="68"/>
        <v>0</v>
      </c>
      <c r="AY182" s="1566">
        <f t="shared" si="68"/>
        <v>0</v>
      </c>
      <c r="AZ182" s="1566">
        <f t="shared" si="68"/>
        <v>0</v>
      </c>
      <c r="BA182" s="1566">
        <f t="shared" si="68"/>
        <v>0</v>
      </c>
      <c r="BB182" s="1566">
        <f t="shared" si="68"/>
        <v>0</v>
      </c>
      <c r="BC182" s="1566">
        <f t="shared" si="68"/>
        <v>0</v>
      </c>
      <c r="BD182" s="1566">
        <f t="shared" si="68"/>
        <v>0</v>
      </c>
      <c r="BE182" s="1567">
        <f t="shared" si="68"/>
        <v>0</v>
      </c>
      <c r="BF182" s="695"/>
    </row>
    <row r="183" spans="1:58" x14ac:dyDescent="0.45">
      <c r="A183" s="695"/>
      <c r="B183" s="918" t="str">
        <f>B174</f>
        <v xml:space="preserve">Front-end Fees </v>
      </c>
      <c r="C183" s="919"/>
      <c r="D183" s="919"/>
      <c r="E183" s="922"/>
      <c r="F183" s="922" t="s">
        <v>748</v>
      </c>
      <c r="G183" s="1566"/>
      <c r="H183" s="1566">
        <f>-H174</f>
        <v>0</v>
      </c>
      <c r="I183" s="1566">
        <f t="shared" ref="I183:BE183" si="69">-I174</f>
        <v>0</v>
      </c>
      <c r="J183" s="1566">
        <f t="shared" si="69"/>
        <v>0</v>
      </c>
      <c r="K183" s="1566">
        <f t="shared" si="69"/>
        <v>0</v>
      </c>
      <c r="L183" s="1566">
        <f t="shared" si="69"/>
        <v>0</v>
      </c>
      <c r="M183" s="1566">
        <f t="shared" si="69"/>
        <v>0</v>
      </c>
      <c r="N183" s="1566">
        <f t="shared" si="69"/>
        <v>0</v>
      </c>
      <c r="O183" s="1566">
        <f t="shared" si="69"/>
        <v>0</v>
      </c>
      <c r="P183" s="1566">
        <f t="shared" si="69"/>
        <v>0</v>
      </c>
      <c r="Q183" s="1566">
        <f t="shared" si="69"/>
        <v>0</v>
      </c>
      <c r="R183" s="1566">
        <f t="shared" si="69"/>
        <v>0</v>
      </c>
      <c r="S183" s="1566">
        <f t="shared" si="69"/>
        <v>0</v>
      </c>
      <c r="T183" s="1566">
        <f t="shared" si="69"/>
        <v>0</v>
      </c>
      <c r="U183" s="1566">
        <f t="shared" si="69"/>
        <v>0</v>
      </c>
      <c r="V183" s="1566">
        <f t="shared" si="69"/>
        <v>0</v>
      </c>
      <c r="W183" s="1566">
        <f t="shared" si="69"/>
        <v>0</v>
      </c>
      <c r="X183" s="1566">
        <f t="shared" si="69"/>
        <v>0</v>
      </c>
      <c r="Y183" s="1566">
        <f t="shared" si="69"/>
        <v>0</v>
      </c>
      <c r="Z183" s="1566">
        <f t="shared" si="69"/>
        <v>0</v>
      </c>
      <c r="AA183" s="1566">
        <f t="shared" si="69"/>
        <v>0</v>
      </c>
      <c r="AB183" s="1566">
        <f t="shared" si="69"/>
        <v>0</v>
      </c>
      <c r="AC183" s="1566">
        <f t="shared" si="69"/>
        <v>0</v>
      </c>
      <c r="AD183" s="1566">
        <f t="shared" si="69"/>
        <v>0</v>
      </c>
      <c r="AE183" s="1566">
        <f t="shared" si="69"/>
        <v>0</v>
      </c>
      <c r="AF183" s="1566">
        <f t="shared" si="69"/>
        <v>0</v>
      </c>
      <c r="AG183" s="1566">
        <f t="shared" si="69"/>
        <v>0</v>
      </c>
      <c r="AH183" s="1566">
        <f t="shared" si="69"/>
        <v>0</v>
      </c>
      <c r="AI183" s="1566">
        <f t="shared" si="69"/>
        <v>0</v>
      </c>
      <c r="AJ183" s="1566">
        <f t="shared" si="69"/>
        <v>0</v>
      </c>
      <c r="AK183" s="1566">
        <f t="shared" si="69"/>
        <v>0</v>
      </c>
      <c r="AL183" s="1566">
        <f t="shared" si="69"/>
        <v>0</v>
      </c>
      <c r="AM183" s="1566">
        <f t="shared" si="69"/>
        <v>0</v>
      </c>
      <c r="AN183" s="1566">
        <f t="shared" si="69"/>
        <v>0</v>
      </c>
      <c r="AO183" s="1566">
        <f t="shared" si="69"/>
        <v>0</v>
      </c>
      <c r="AP183" s="1566">
        <f t="shared" si="69"/>
        <v>0</v>
      </c>
      <c r="AQ183" s="1566">
        <f t="shared" si="69"/>
        <v>0</v>
      </c>
      <c r="AR183" s="1566">
        <f t="shared" si="69"/>
        <v>0</v>
      </c>
      <c r="AS183" s="1566">
        <f t="shared" si="69"/>
        <v>0</v>
      </c>
      <c r="AT183" s="1566">
        <f t="shared" si="69"/>
        <v>0</v>
      </c>
      <c r="AU183" s="1566">
        <f t="shared" si="69"/>
        <v>0</v>
      </c>
      <c r="AV183" s="1566">
        <f t="shared" si="69"/>
        <v>0</v>
      </c>
      <c r="AW183" s="1566">
        <f t="shared" si="69"/>
        <v>0</v>
      </c>
      <c r="AX183" s="1566">
        <f t="shared" si="69"/>
        <v>0</v>
      </c>
      <c r="AY183" s="1566">
        <f t="shared" si="69"/>
        <v>0</v>
      </c>
      <c r="AZ183" s="1566">
        <f t="shared" si="69"/>
        <v>0</v>
      </c>
      <c r="BA183" s="1566">
        <f t="shared" si="69"/>
        <v>0</v>
      </c>
      <c r="BB183" s="1566">
        <f t="shared" si="69"/>
        <v>0</v>
      </c>
      <c r="BC183" s="1566">
        <f t="shared" si="69"/>
        <v>0</v>
      </c>
      <c r="BD183" s="1566">
        <f t="shared" si="69"/>
        <v>0</v>
      </c>
      <c r="BE183" s="1567">
        <f t="shared" si="69"/>
        <v>0</v>
      </c>
      <c r="BF183" s="695"/>
    </row>
    <row r="184" spans="1:58" x14ac:dyDescent="0.45">
      <c r="A184" s="695"/>
      <c r="B184" s="918" t="str">
        <f>B175</f>
        <v xml:space="preserve">Public Guarantee Fees </v>
      </c>
      <c r="C184" s="919"/>
      <c r="D184" s="919"/>
      <c r="E184" s="922"/>
      <c r="F184" s="922" t="s">
        <v>748</v>
      </c>
      <c r="G184" s="1566"/>
      <c r="H184" s="1566">
        <f>-H175</f>
        <v>0</v>
      </c>
      <c r="I184" s="1566">
        <f t="shared" ref="I184:BE184" si="70">-I175</f>
        <v>0</v>
      </c>
      <c r="J184" s="1566">
        <f t="shared" si="70"/>
        <v>0</v>
      </c>
      <c r="K184" s="1566">
        <f t="shared" si="70"/>
        <v>0</v>
      </c>
      <c r="L184" s="1566">
        <f t="shared" si="70"/>
        <v>0</v>
      </c>
      <c r="M184" s="1566">
        <f t="shared" si="70"/>
        <v>0</v>
      </c>
      <c r="N184" s="1566">
        <f t="shared" si="70"/>
        <v>0</v>
      </c>
      <c r="O184" s="1566">
        <f t="shared" si="70"/>
        <v>0</v>
      </c>
      <c r="P184" s="1566">
        <f t="shared" si="70"/>
        <v>0</v>
      </c>
      <c r="Q184" s="1566">
        <f t="shared" si="70"/>
        <v>0</v>
      </c>
      <c r="R184" s="1566">
        <f t="shared" si="70"/>
        <v>0</v>
      </c>
      <c r="S184" s="1566">
        <f t="shared" si="70"/>
        <v>0</v>
      </c>
      <c r="T184" s="1566">
        <f t="shared" si="70"/>
        <v>0</v>
      </c>
      <c r="U184" s="1566">
        <f t="shared" si="70"/>
        <v>0</v>
      </c>
      <c r="V184" s="1566">
        <f t="shared" si="70"/>
        <v>0</v>
      </c>
      <c r="W184" s="1566">
        <f t="shared" si="70"/>
        <v>0</v>
      </c>
      <c r="X184" s="1566">
        <f t="shared" si="70"/>
        <v>0</v>
      </c>
      <c r="Y184" s="1566">
        <f t="shared" si="70"/>
        <v>0</v>
      </c>
      <c r="Z184" s="1566">
        <f t="shared" si="70"/>
        <v>0</v>
      </c>
      <c r="AA184" s="1566">
        <f t="shared" si="70"/>
        <v>0</v>
      </c>
      <c r="AB184" s="1566">
        <f t="shared" si="70"/>
        <v>0</v>
      </c>
      <c r="AC184" s="1566">
        <f t="shared" si="70"/>
        <v>0</v>
      </c>
      <c r="AD184" s="1566">
        <f t="shared" si="70"/>
        <v>0</v>
      </c>
      <c r="AE184" s="1566">
        <f t="shared" si="70"/>
        <v>0</v>
      </c>
      <c r="AF184" s="1566">
        <f t="shared" si="70"/>
        <v>0</v>
      </c>
      <c r="AG184" s="1566">
        <f t="shared" si="70"/>
        <v>0</v>
      </c>
      <c r="AH184" s="1566">
        <f t="shared" si="70"/>
        <v>0</v>
      </c>
      <c r="AI184" s="1566">
        <f t="shared" si="70"/>
        <v>0</v>
      </c>
      <c r="AJ184" s="1566">
        <f t="shared" si="70"/>
        <v>0</v>
      </c>
      <c r="AK184" s="1566">
        <f t="shared" si="70"/>
        <v>0</v>
      </c>
      <c r="AL184" s="1566">
        <f t="shared" si="70"/>
        <v>0</v>
      </c>
      <c r="AM184" s="1566">
        <f t="shared" si="70"/>
        <v>0</v>
      </c>
      <c r="AN184" s="1566">
        <f t="shared" si="70"/>
        <v>0</v>
      </c>
      <c r="AO184" s="1566">
        <f t="shared" si="70"/>
        <v>0</v>
      </c>
      <c r="AP184" s="1566">
        <f t="shared" si="70"/>
        <v>0</v>
      </c>
      <c r="AQ184" s="1566">
        <f t="shared" si="70"/>
        <v>0</v>
      </c>
      <c r="AR184" s="1566">
        <f t="shared" si="70"/>
        <v>0</v>
      </c>
      <c r="AS184" s="1566">
        <f t="shared" si="70"/>
        <v>0</v>
      </c>
      <c r="AT184" s="1566">
        <f t="shared" si="70"/>
        <v>0</v>
      </c>
      <c r="AU184" s="1566">
        <f t="shared" si="70"/>
        <v>0</v>
      </c>
      <c r="AV184" s="1566">
        <f t="shared" si="70"/>
        <v>0</v>
      </c>
      <c r="AW184" s="1566">
        <f t="shared" si="70"/>
        <v>0</v>
      </c>
      <c r="AX184" s="1566">
        <f t="shared" si="70"/>
        <v>0</v>
      </c>
      <c r="AY184" s="1566">
        <f t="shared" si="70"/>
        <v>0</v>
      </c>
      <c r="AZ184" s="1566">
        <f t="shared" si="70"/>
        <v>0</v>
      </c>
      <c r="BA184" s="1566">
        <f t="shared" si="70"/>
        <v>0</v>
      </c>
      <c r="BB184" s="1566">
        <f t="shared" si="70"/>
        <v>0</v>
      </c>
      <c r="BC184" s="1566">
        <f t="shared" si="70"/>
        <v>0</v>
      </c>
      <c r="BD184" s="1566">
        <f t="shared" si="70"/>
        <v>0</v>
      </c>
      <c r="BE184" s="1567">
        <f t="shared" si="70"/>
        <v>0</v>
      </c>
      <c r="BF184" s="695"/>
    </row>
    <row r="185" spans="1:58" x14ac:dyDescent="0.45">
      <c r="A185" s="695"/>
      <c r="B185" s="918" t="str">
        <f>B176</f>
        <v>Political Risk Insurance - Fees &amp; Annual Premium Payments</v>
      </c>
      <c r="C185" s="919"/>
      <c r="D185" s="919"/>
      <c r="E185" s="922"/>
      <c r="F185" s="922" t="s">
        <v>748</v>
      </c>
      <c r="G185" s="1566"/>
      <c r="H185" s="1566">
        <f>-H176</f>
        <v>0</v>
      </c>
      <c r="I185" s="1566">
        <f t="shared" ref="I185:BE185" si="71">-I176</f>
        <v>0</v>
      </c>
      <c r="J185" s="1566">
        <f t="shared" si="71"/>
        <v>0</v>
      </c>
      <c r="K185" s="1566">
        <f t="shared" si="71"/>
        <v>0</v>
      </c>
      <c r="L185" s="1566">
        <f t="shared" si="71"/>
        <v>0</v>
      </c>
      <c r="M185" s="1566">
        <f t="shared" si="71"/>
        <v>0</v>
      </c>
      <c r="N185" s="1566">
        <f t="shared" si="71"/>
        <v>0</v>
      </c>
      <c r="O185" s="1566">
        <f t="shared" si="71"/>
        <v>0</v>
      </c>
      <c r="P185" s="1566">
        <f t="shared" si="71"/>
        <v>0</v>
      </c>
      <c r="Q185" s="1566">
        <f t="shared" si="71"/>
        <v>0</v>
      </c>
      <c r="R185" s="1566">
        <f t="shared" si="71"/>
        <v>0</v>
      </c>
      <c r="S185" s="1566">
        <f t="shared" si="71"/>
        <v>0</v>
      </c>
      <c r="T185" s="1566">
        <f t="shared" si="71"/>
        <v>0</v>
      </c>
      <c r="U185" s="1566">
        <f t="shared" si="71"/>
        <v>0</v>
      </c>
      <c r="V185" s="1566">
        <f t="shared" si="71"/>
        <v>0</v>
      </c>
      <c r="W185" s="1566">
        <f t="shared" si="71"/>
        <v>0</v>
      </c>
      <c r="X185" s="1566">
        <f t="shared" si="71"/>
        <v>0</v>
      </c>
      <c r="Y185" s="1566">
        <f t="shared" si="71"/>
        <v>0</v>
      </c>
      <c r="Z185" s="1566">
        <f t="shared" si="71"/>
        <v>0</v>
      </c>
      <c r="AA185" s="1566">
        <f t="shared" si="71"/>
        <v>0</v>
      </c>
      <c r="AB185" s="1566">
        <f t="shared" si="71"/>
        <v>0</v>
      </c>
      <c r="AC185" s="1566">
        <f t="shared" si="71"/>
        <v>0</v>
      </c>
      <c r="AD185" s="1566">
        <f t="shared" si="71"/>
        <v>0</v>
      </c>
      <c r="AE185" s="1566">
        <f t="shared" si="71"/>
        <v>0</v>
      </c>
      <c r="AF185" s="1566">
        <f t="shared" si="71"/>
        <v>0</v>
      </c>
      <c r="AG185" s="1566">
        <f t="shared" si="71"/>
        <v>0</v>
      </c>
      <c r="AH185" s="1566">
        <f t="shared" si="71"/>
        <v>0</v>
      </c>
      <c r="AI185" s="1566">
        <f t="shared" si="71"/>
        <v>0</v>
      </c>
      <c r="AJ185" s="1566">
        <f t="shared" si="71"/>
        <v>0</v>
      </c>
      <c r="AK185" s="1566">
        <f t="shared" si="71"/>
        <v>0</v>
      </c>
      <c r="AL185" s="1566">
        <f t="shared" si="71"/>
        <v>0</v>
      </c>
      <c r="AM185" s="1566">
        <f t="shared" si="71"/>
        <v>0</v>
      </c>
      <c r="AN185" s="1566">
        <f t="shared" si="71"/>
        <v>0</v>
      </c>
      <c r="AO185" s="1566">
        <f t="shared" si="71"/>
        <v>0</v>
      </c>
      <c r="AP185" s="1566">
        <f t="shared" si="71"/>
        <v>0</v>
      </c>
      <c r="AQ185" s="1566">
        <f t="shared" si="71"/>
        <v>0</v>
      </c>
      <c r="AR185" s="1566">
        <f t="shared" si="71"/>
        <v>0</v>
      </c>
      <c r="AS185" s="1566">
        <f t="shared" si="71"/>
        <v>0</v>
      </c>
      <c r="AT185" s="1566">
        <f t="shared" si="71"/>
        <v>0</v>
      </c>
      <c r="AU185" s="1566">
        <f t="shared" si="71"/>
        <v>0</v>
      </c>
      <c r="AV185" s="1566">
        <f t="shared" si="71"/>
        <v>0</v>
      </c>
      <c r="AW185" s="1566">
        <f t="shared" si="71"/>
        <v>0</v>
      </c>
      <c r="AX185" s="1566">
        <f t="shared" si="71"/>
        <v>0</v>
      </c>
      <c r="AY185" s="1566">
        <f t="shared" si="71"/>
        <v>0</v>
      </c>
      <c r="AZ185" s="1566">
        <f t="shared" si="71"/>
        <v>0</v>
      </c>
      <c r="BA185" s="1566">
        <f t="shared" si="71"/>
        <v>0</v>
      </c>
      <c r="BB185" s="1566">
        <f t="shared" si="71"/>
        <v>0</v>
      </c>
      <c r="BC185" s="1566">
        <f t="shared" si="71"/>
        <v>0</v>
      </c>
      <c r="BD185" s="1566">
        <f t="shared" si="71"/>
        <v>0</v>
      </c>
      <c r="BE185" s="1567">
        <f t="shared" si="71"/>
        <v>0</v>
      </c>
      <c r="BF185" s="695"/>
    </row>
    <row r="186" spans="1:58" x14ac:dyDescent="0.45">
      <c r="A186" s="695"/>
      <c r="B186" s="918" t="s">
        <v>90</v>
      </c>
      <c r="C186" s="919"/>
      <c r="D186" s="919"/>
      <c r="E186" s="922"/>
      <c r="F186" s="922" t="s">
        <v>748</v>
      </c>
      <c r="G186" s="1566"/>
      <c r="H186" s="1566">
        <f>-(H534+H555+H576)</f>
        <v>0</v>
      </c>
      <c r="I186" s="1566">
        <f t="shared" ref="I186:BE186" si="72">-(I534+I555+I576)</f>
        <v>0</v>
      </c>
      <c r="J186" s="1566">
        <f t="shared" si="72"/>
        <v>0</v>
      </c>
      <c r="K186" s="1566">
        <f t="shared" si="72"/>
        <v>0</v>
      </c>
      <c r="L186" s="1566">
        <f t="shared" si="72"/>
        <v>0</v>
      </c>
      <c r="M186" s="1566">
        <f t="shared" si="72"/>
        <v>0</v>
      </c>
      <c r="N186" s="1566">
        <f t="shared" si="72"/>
        <v>0</v>
      </c>
      <c r="O186" s="1566">
        <f t="shared" si="72"/>
        <v>0</v>
      </c>
      <c r="P186" s="1566">
        <f t="shared" si="72"/>
        <v>0</v>
      </c>
      <c r="Q186" s="1566">
        <f t="shared" si="72"/>
        <v>0</v>
      </c>
      <c r="R186" s="1566">
        <f t="shared" si="72"/>
        <v>0</v>
      </c>
      <c r="S186" s="1566">
        <f t="shared" si="72"/>
        <v>0</v>
      </c>
      <c r="T186" s="1566">
        <f t="shared" si="72"/>
        <v>0</v>
      </c>
      <c r="U186" s="1566">
        <f t="shared" si="72"/>
        <v>0</v>
      </c>
      <c r="V186" s="1566">
        <f t="shared" si="72"/>
        <v>0</v>
      </c>
      <c r="W186" s="1566">
        <f t="shared" si="72"/>
        <v>0</v>
      </c>
      <c r="X186" s="1566">
        <f t="shared" si="72"/>
        <v>0</v>
      </c>
      <c r="Y186" s="1566">
        <f t="shared" si="72"/>
        <v>0</v>
      </c>
      <c r="Z186" s="1566">
        <f t="shared" si="72"/>
        <v>0</v>
      </c>
      <c r="AA186" s="1566">
        <f t="shared" si="72"/>
        <v>0</v>
      </c>
      <c r="AB186" s="1566">
        <f t="shared" si="72"/>
        <v>0</v>
      </c>
      <c r="AC186" s="1566">
        <f t="shared" si="72"/>
        <v>0</v>
      </c>
      <c r="AD186" s="1566">
        <f t="shared" si="72"/>
        <v>0</v>
      </c>
      <c r="AE186" s="1566">
        <f t="shared" si="72"/>
        <v>0</v>
      </c>
      <c r="AF186" s="1566">
        <f t="shared" si="72"/>
        <v>0</v>
      </c>
      <c r="AG186" s="1566">
        <f t="shared" si="72"/>
        <v>0</v>
      </c>
      <c r="AH186" s="1566">
        <f t="shared" si="72"/>
        <v>0</v>
      </c>
      <c r="AI186" s="1566">
        <f t="shared" si="72"/>
        <v>0</v>
      </c>
      <c r="AJ186" s="1566">
        <f t="shared" si="72"/>
        <v>0</v>
      </c>
      <c r="AK186" s="1566">
        <f t="shared" si="72"/>
        <v>0</v>
      </c>
      <c r="AL186" s="1566">
        <f t="shared" si="72"/>
        <v>0</v>
      </c>
      <c r="AM186" s="1566">
        <f t="shared" si="72"/>
        <v>0</v>
      </c>
      <c r="AN186" s="1566">
        <f t="shared" si="72"/>
        <v>0</v>
      </c>
      <c r="AO186" s="1566">
        <f t="shared" si="72"/>
        <v>0</v>
      </c>
      <c r="AP186" s="1566">
        <f t="shared" si="72"/>
        <v>0</v>
      </c>
      <c r="AQ186" s="1566">
        <f t="shared" si="72"/>
        <v>0</v>
      </c>
      <c r="AR186" s="1566">
        <f t="shared" si="72"/>
        <v>0</v>
      </c>
      <c r="AS186" s="1566">
        <f t="shared" si="72"/>
        <v>0</v>
      </c>
      <c r="AT186" s="1566">
        <f t="shared" si="72"/>
        <v>0</v>
      </c>
      <c r="AU186" s="1566">
        <f t="shared" si="72"/>
        <v>0</v>
      </c>
      <c r="AV186" s="1566">
        <f t="shared" si="72"/>
        <v>0</v>
      </c>
      <c r="AW186" s="1566">
        <f t="shared" si="72"/>
        <v>0</v>
      </c>
      <c r="AX186" s="1566">
        <f t="shared" si="72"/>
        <v>0</v>
      </c>
      <c r="AY186" s="1566">
        <f t="shared" si="72"/>
        <v>0</v>
      </c>
      <c r="AZ186" s="1566">
        <f t="shared" si="72"/>
        <v>0</v>
      </c>
      <c r="BA186" s="1566">
        <f t="shared" si="72"/>
        <v>0</v>
      </c>
      <c r="BB186" s="1566">
        <f t="shared" si="72"/>
        <v>0</v>
      </c>
      <c r="BC186" s="1566">
        <f t="shared" si="72"/>
        <v>0</v>
      </c>
      <c r="BD186" s="1566">
        <f t="shared" si="72"/>
        <v>0</v>
      </c>
      <c r="BE186" s="1566">
        <f t="shared" si="72"/>
        <v>0</v>
      </c>
      <c r="BF186" s="695"/>
    </row>
    <row r="187" spans="1:58" x14ac:dyDescent="0.45">
      <c r="A187" s="695"/>
      <c r="B187" s="932" t="s">
        <v>91</v>
      </c>
      <c r="C187" s="926"/>
      <c r="D187" s="926"/>
      <c r="E187" s="927"/>
      <c r="F187" s="927" t="s">
        <v>748</v>
      </c>
      <c r="G187" s="1568"/>
      <c r="H187" s="1568">
        <f>(H160+H167+H169+H174+H175+H176+H171+H172+H173)*'II. Inputs, Baseline Energy Mix'!$Q$23</f>
        <v>0</v>
      </c>
      <c r="I187" s="1568">
        <f>(I160+I167+I169+I174+I175+I176+I171+I172+I173)*'II. Inputs, Baseline Energy Mix'!$P$23</f>
        <v>0</v>
      </c>
      <c r="J187" s="1568">
        <f>(J160+J167+J169+J174+J175+J176+J171+J172+J173)*'II. Inputs, Baseline Energy Mix'!$P$23</f>
        <v>0</v>
      </c>
      <c r="K187" s="1568">
        <f>(K160+K167+K169+K174+K175+K176+K171+K172+K173)*'II. Inputs, Baseline Energy Mix'!$P$23</f>
        <v>0</v>
      </c>
      <c r="L187" s="1568">
        <f>(L160+L167+L169+L174+L175+L176+L171+L172+L173)*'II. Inputs, Baseline Energy Mix'!$P$23</f>
        <v>0</v>
      </c>
      <c r="M187" s="1568">
        <f>(M160+M167+M169+M174+M175+M176+M171+M172+M173)*'II. Inputs, Baseline Energy Mix'!$P$23</f>
        <v>0</v>
      </c>
      <c r="N187" s="1568">
        <f>(N160+N167+N169+N174+N175+N176+N171+N172+N173)*'II. Inputs, Baseline Energy Mix'!$P$23</f>
        <v>0</v>
      </c>
      <c r="O187" s="1568">
        <f>(O160+O167+O169+O174+O175+O176+O171+O172+O173)*'II. Inputs, Baseline Energy Mix'!$P$23</f>
        <v>0</v>
      </c>
      <c r="P187" s="1568">
        <f>(P160+P167+P169+P174+P175+P176+P171+P172+P173)*'II. Inputs, Baseline Energy Mix'!$P$23</f>
        <v>0</v>
      </c>
      <c r="Q187" s="1568">
        <f>(Q160+Q167+Q169+Q174+Q175+Q176+Q171+Q172+Q173)*'II. Inputs, Baseline Energy Mix'!$P$23</f>
        <v>0</v>
      </c>
      <c r="R187" s="1568">
        <f>(R160+R167+R169+R174+R175+R176+R171+R172+R173)*'II. Inputs, Baseline Energy Mix'!$P$23</f>
        <v>0</v>
      </c>
      <c r="S187" s="1568">
        <f>(S160+S167+S169+S174+S175+S176+S171+S172+S173)*'II. Inputs, Baseline Energy Mix'!$P$23</f>
        <v>0</v>
      </c>
      <c r="T187" s="1568">
        <f>(T160+T167+T169+T174+T175+T176+T171+T172+T173)*'II. Inputs, Baseline Energy Mix'!$P$23</f>
        <v>0</v>
      </c>
      <c r="U187" s="1568">
        <f>(U160+U167+U169+U174+U175+U176+U171+U172+U173)*'II. Inputs, Baseline Energy Mix'!$P$23</f>
        <v>0</v>
      </c>
      <c r="V187" s="1568">
        <f>(V160+V167+V169+V174+V175+V176+V171+V172+V173)*'II. Inputs, Baseline Energy Mix'!$P$23</f>
        <v>0</v>
      </c>
      <c r="W187" s="1568">
        <f>(W160+W167+W169+W174+W175+W176+W171+W172+W173)*'II. Inputs, Baseline Energy Mix'!$P$23</f>
        <v>0</v>
      </c>
      <c r="X187" s="1568">
        <f>(X160+X167+X169+X174+X175+X176+X171+X172+X173)*'II. Inputs, Baseline Energy Mix'!$P$23</f>
        <v>0</v>
      </c>
      <c r="Y187" s="1568">
        <f>(Y160+Y167+Y169+Y174+Y175+Y176+Y171+Y172+Y173)*'II. Inputs, Baseline Energy Mix'!$P$23</f>
        <v>0</v>
      </c>
      <c r="Z187" s="1568">
        <f>(Z160+Z167+Z169+Z174+Z175+Z176+Z171+Z172+Z173)*'II. Inputs, Baseline Energy Mix'!$P$23</f>
        <v>0</v>
      </c>
      <c r="AA187" s="1568">
        <f>(AA160+AA167+AA169+AA174+AA175+AA176+AA171+AA172+AA173)*'II. Inputs, Baseline Energy Mix'!$P$23</f>
        <v>0</v>
      </c>
      <c r="AB187" s="1568">
        <f>(AB160+AB167+AB169+AB174+AB175+AB176+AB171+AB172+AB173)*'II. Inputs, Baseline Energy Mix'!$P$23</f>
        <v>0</v>
      </c>
      <c r="AC187" s="1568">
        <f>(AC160+AC167+AC169+AC174+AC175+AC176+AC171+AC172+AC173)*'II. Inputs, Baseline Energy Mix'!$P$23</f>
        <v>0</v>
      </c>
      <c r="AD187" s="1568">
        <f>(AD160+AD167+AD169+AD174+AD175+AD176+AD171+AD172+AD173)*'II. Inputs, Baseline Energy Mix'!$P$23</f>
        <v>0</v>
      </c>
      <c r="AE187" s="1568">
        <f>(AE160+AE167+AE169+AE174+AE175+AE176+AE171+AE172+AE173)*'II. Inputs, Baseline Energy Mix'!$P$23</f>
        <v>0</v>
      </c>
      <c r="AF187" s="1568">
        <f>(AF160+AF167+AF169+AF174+AF175+AF176+AF171+AF172+AF173)*'II. Inputs, Baseline Energy Mix'!$P$23</f>
        <v>0</v>
      </c>
      <c r="AG187" s="1568">
        <f>(AG160+AG167+AG169+AG174+AG175+AG176+AG171+AG172+AG173)*'II. Inputs, Baseline Energy Mix'!$P$23</f>
        <v>0</v>
      </c>
      <c r="AH187" s="1568">
        <f>(AH160+AH167+AH169+AH174+AH175+AH176+AH171+AH172+AH173)*'II. Inputs, Baseline Energy Mix'!$P$23</f>
        <v>0</v>
      </c>
      <c r="AI187" s="1568">
        <f>(AI160+AI167+AI169+AI174+AI175+AI176+AI171+AI172+AI173)*'II. Inputs, Baseline Energy Mix'!$P$23</f>
        <v>0</v>
      </c>
      <c r="AJ187" s="1568">
        <f>(AJ160+AJ167+AJ169+AJ174+AJ175+AJ176+AJ171+AJ172+AJ173)*'II. Inputs, Baseline Energy Mix'!$P$23</f>
        <v>0</v>
      </c>
      <c r="AK187" s="1568">
        <f>(AK160+AK167+AK169+AK174+AK175+AK176+AK171+AK172+AK173)*'II. Inputs, Baseline Energy Mix'!$P$23</f>
        <v>0</v>
      </c>
      <c r="AL187" s="1568">
        <f>(AL160+AL167+AL169+AL174+AL175+AL176+AL171+AL172+AL173)*'II. Inputs, Baseline Energy Mix'!$P$23</f>
        <v>0</v>
      </c>
      <c r="AM187" s="1568">
        <f>(AM160+AM167+AM169+AM174+AM175+AM176+AM171+AM172+AM173)*'II. Inputs, Baseline Energy Mix'!$P$23</f>
        <v>0</v>
      </c>
      <c r="AN187" s="1568">
        <f>(AN160+AN167+AN169+AN174+AN175+AN176+AN171+AN172+AN173)*'II. Inputs, Baseline Energy Mix'!$P$23</f>
        <v>0</v>
      </c>
      <c r="AO187" s="1568">
        <f>(AO160+AO167+AO169+AO174+AO175+AO176+AO171+AO172+AO173)*'II. Inputs, Baseline Energy Mix'!$P$23</f>
        <v>0</v>
      </c>
      <c r="AP187" s="1568">
        <f>(AP160+AP167+AP169+AP174+AP175+AP176+AP171+AP172+AP173)*'II. Inputs, Baseline Energy Mix'!$P$23</f>
        <v>0</v>
      </c>
      <c r="AQ187" s="1568">
        <f>(AQ160+AQ167+AQ169+AQ174+AQ175+AQ176+AQ171+AQ172+AQ173)*'II. Inputs, Baseline Energy Mix'!$P$23</f>
        <v>0</v>
      </c>
      <c r="AR187" s="1568">
        <f>(AR160+AR167+AR169+AR174+AR175+AR176+AR171+AR172+AR173)*'II. Inputs, Baseline Energy Mix'!$P$23</f>
        <v>0</v>
      </c>
      <c r="AS187" s="1568">
        <f>(AS160+AS167+AS169+AS174+AS175+AS176+AS171+AS172+AS173)*'II. Inputs, Baseline Energy Mix'!$P$23</f>
        <v>0</v>
      </c>
      <c r="AT187" s="1568">
        <f>(AT160+AT167+AT169+AT174+AT175+AT176+AT171+AT172+AT173)*'II. Inputs, Baseline Energy Mix'!$P$23</f>
        <v>0</v>
      </c>
      <c r="AU187" s="1568">
        <f>(AU160+AU167+AU169+AU174+AU175+AU176+AU171+AU172+AU173)*'II. Inputs, Baseline Energy Mix'!$P$23</f>
        <v>0</v>
      </c>
      <c r="AV187" s="1568">
        <f>(AV160+AV167+AV169+AV174+AV175+AV176+AV171+AV172+AV173)*'II. Inputs, Baseline Energy Mix'!$P$23</f>
        <v>0</v>
      </c>
      <c r="AW187" s="1568">
        <f>(AW160+AW167+AW169+AW174+AW175+AW176+AW171+AW172+AW173)*'II. Inputs, Baseline Energy Mix'!$P$23</f>
        <v>0</v>
      </c>
      <c r="AX187" s="1568">
        <f>(AX160+AX167+AX169+AX174+AX175+AX176+AX171+AX172+AX173)*'II. Inputs, Baseline Energy Mix'!$P$23</f>
        <v>0</v>
      </c>
      <c r="AY187" s="1568">
        <f>(AY160+AY167+AY169+AY174+AY175+AY176+AY171+AY172+AY173)*'II. Inputs, Baseline Energy Mix'!$P$23</f>
        <v>0</v>
      </c>
      <c r="AZ187" s="1568">
        <f>(AZ160+AZ167+AZ169+AZ174+AZ175+AZ176+AZ171+AZ172+AZ173)*'II. Inputs, Baseline Energy Mix'!$P$23</f>
        <v>0</v>
      </c>
      <c r="BA187" s="1568">
        <f>(BA160+BA167+BA169+BA174+BA175+BA176+BA171+BA172+BA173)*'II. Inputs, Baseline Energy Mix'!$P$23</f>
        <v>0</v>
      </c>
      <c r="BB187" s="1568">
        <f>(BB160+BB167+BB169+BB174+BB175+BB176+BB171+BB172+BB173)*'II. Inputs, Baseline Energy Mix'!$P$23</f>
        <v>0</v>
      </c>
      <c r="BC187" s="1568">
        <f>(BC160+BC167+BC169+BC174+BC175+BC176+BC171+BC172+BC173)*'II. Inputs, Baseline Energy Mix'!$P$23</f>
        <v>0</v>
      </c>
      <c r="BD187" s="1568">
        <f>(BD160+BD167+BD169+BD174+BD175+BD176+BD171+BD172+BD173)*'II. Inputs, Baseline Energy Mix'!$P$23</f>
        <v>0</v>
      </c>
      <c r="BE187" s="1569">
        <f>(BE160+BE167+BE169+BE174+BE175+BE176+BE171+BE172+BE173)*'II. Inputs, Baseline Energy Mix'!$P$23</f>
        <v>0</v>
      </c>
      <c r="BF187" s="695"/>
    </row>
    <row r="188" spans="1:58" x14ac:dyDescent="0.45">
      <c r="A188" s="695"/>
      <c r="B188" s="918" t="s">
        <v>92</v>
      </c>
      <c r="C188" s="919"/>
      <c r="D188" s="919"/>
      <c r="E188" s="922"/>
      <c r="F188" s="922" t="s">
        <v>748</v>
      </c>
      <c r="G188" s="1566">
        <f>-IF('II. Inputs, Baseline Energy Mix'!$Q$19&gt;0, 'II. Inputs, Baseline Energy Mix'!$Q$20*'II. Inputs, Baseline Energy Mix'!$Q$21*'II. Inputs, Baseline Energy Mix'!$Q$35,0)</f>
        <v>0</v>
      </c>
      <c r="H188" s="1566">
        <f t="shared" ref="H188:AM188" si="73">SUM(H181:H187)</f>
        <v>0</v>
      </c>
      <c r="I188" s="1566">
        <f t="shared" si="73"/>
        <v>0</v>
      </c>
      <c r="J188" s="1566">
        <f t="shared" si="73"/>
        <v>0</v>
      </c>
      <c r="K188" s="1566">
        <f t="shared" si="73"/>
        <v>0</v>
      </c>
      <c r="L188" s="1566">
        <f t="shared" si="73"/>
        <v>0</v>
      </c>
      <c r="M188" s="1566">
        <f t="shared" si="73"/>
        <v>0</v>
      </c>
      <c r="N188" s="1566">
        <f t="shared" si="73"/>
        <v>0</v>
      </c>
      <c r="O188" s="1566">
        <f t="shared" si="73"/>
        <v>0</v>
      </c>
      <c r="P188" s="1566">
        <f t="shared" si="73"/>
        <v>0</v>
      </c>
      <c r="Q188" s="1566">
        <f t="shared" si="73"/>
        <v>0</v>
      </c>
      <c r="R188" s="1566">
        <f t="shared" si="73"/>
        <v>0</v>
      </c>
      <c r="S188" s="1566">
        <f t="shared" si="73"/>
        <v>0</v>
      </c>
      <c r="T188" s="1566">
        <f t="shared" si="73"/>
        <v>0</v>
      </c>
      <c r="U188" s="1566">
        <f t="shared" si="73"/>
        <v>0</v>
      </c>
      <c r="V188" s="1566">
        <f t="shared" si="73"/>
        <v>0</v>
      </c>
      <c r="W188" s="1566">
        <f t="shared" si="73"/>
        <v>0</v>
      </c>
      <c r="X188" s="1566">
        <f t="shared" si="73"/>
        <v>0</v>
      </c>
      <c r="Y188" s="1566">
        <f t="shared" si="73"/>
        <v>0</v>
      </c>
      <c r="Z188" s="1566">
        <f t="shared" si="73"/>
        <v>0</v>
      </c>
      <c r="AA188" s="1566">
        <f t="shared" si="73"/>
        <v>0</v>
      </c>
      <c r="AB188" s="1566">
        <f t="shared" si="73"/>
        <v>0</v>
      </c>
      <c r="AC188" s="1566">
        <f t="shared" si="73"/>
        <v>0</v>
      </c>
      <c r="AD188" s="1566">
        <f t="shared" si="73"/>
        <v>0</v>
      </c>
      <c r="AE188" s="1566">
        <f t="shared" si="73"/>
        <v>0</v>
      </c>
      <c r="AF188" s="1566">
        <f t="shared" si="73"/>
        <v>0</v>
      </c>
      <c r="AG188" s="1566">
        <f t="shared" si="73"/>
        <v>0</v>
      </c>
      <c r="AH188" s="1566">
        <f t="shared" si="73"/>
        <v>0</v>
      </c>
      <c r="AI188" s="1566">
        <f t="shared" si="73"/>
        <v>0</v>
      </c>
      <c r="AJ188" s="1566">
        <f t="shared" si="73"/>
        <v>0</v>
      </c>
      <c r="AK188" s="1566">
        <f t="shared" si="73"/>
        <v>0</v>
      </c>
      <c r="AL188" s="1566">
        <f t="shared" si="73"/>
        <v>0</v>
      </c>
      <c r="AM188" s="1566">
        <f t="shared" si="73"/>
        <v>0</v>
      </c>
      <c r="AN188" s="1566">
        <f t="shared" ref="AN188:BE188" si="74">SUM(AN181:AN187)</f>
        <v>0</v>
      </c>
      <c r="AO188" s="1566">
        <f t="shared" si="74"/>
        <v>0</v>
      </c>
      <c r="AP188" s="1566">
        <f t="shared" si="74"/>
        <v>0</v>
      </c>
      <c r="AQ188" s="1566">
        <f t="shared" si="74"/>
        <v>0</v>
      </c>
      <c r="AR188" s="1566">
        <f t="shared" si="74"/>
        <v>0</v>
      </c>
      <c r="AS188" s="1566">
        <f t="shared" si="74"/>
        <v>0</v>
      </c>
      <c r="AT188" s="1566">
        <f t="shared" si="74"/>
        <v>0</v>
      </c>
      <c r="AU188" s="1566">
        <f t="shared" si="74"/>
        <v>0</v>
      </c>
      <c r="AV188" s="1566">
        <f t="shared" si="74"/>
        <v>0</v>
      </c>
      <c r="AW188" s="1566">
        <f t="shared" si="74"/>
        <v>0</v>
      </c>
      <c r="AX188" s="1566">
        <f t="shared" si="74"/>
        <v>0</v>
      </c>
      <c r="AY188" s="1566">
        <f t="shared" si="74"/>
        <v>0</v>
      </c>
      <c r="AZ188" s="1566">
        <f t="shared" si="74"/>
        <v>0</v>
      </c>
      <c r="BA188" s="1566">
        <f t="shared" si="74"/>
        <v>0</v>
      </c>
      <c r="BB188" s="1566">
        <f t="shared" si="74"/>
        <v>0</v>
      </c>
      <c r="BC188" s="1566">
        <f t="shared" si="74"/>
        <v>0</v>
      </c>
      <c r="BD188" s="1566">
        <f t="shared" si="74"/>
        <v>0</v>
      </c>
      <c r="BE188" s="1567">
        <f t="shared" si="74"/>
        <v>0</v>
      </c>
      <c r="BF188" s="695"/>
    </row>
    <row r="189" spans="1:58" x14ac:dyDescent="0.45">
      <c r="A189" s="695"/>
      <c r="B189" s="918"/>
      <c r="C189" s="919"/>
      <c r="D189" s="919"/>
      <c r="E189" s="922"/>
      <c r="F189" s="919"/>
      <c r="G189" s="919"/>
      <c r="H189" s="919"/>
      <c r="I189" s="1566"/>
      <c r="J189" s="919"/>
      <c r="K189" s="919"/>
      <c r="L189" s="919"/>
      <c r="M189" s="919"/>
      <c r="N189" s="919"/>
      <c r="O189" s="919"/>
      <c r="P189" s="919"/>
      <c r="Q189" s="919"/>
      <c r="R189" s="919"/>
      <c r="S189" s="919"/>
      <c r="T189" s="919"/>
      <c r="U189" s="919"/>
      <c r="V189" s="919"/>
      <c r="W189" s="919"/>
      <c r="X189" s="919"/>
      <c r="Y189" s="919"/>
      <c r="Z189" s="919"/>
      <c r="AA189" s="919"/>
      <c r="AB189" s="919"/>
      <c r="AC189" s="919"/>
      <c r="AD189" s="919"/>
      <c r="AE189" s="919"/>
      <c r="AF189" s="919"/>
      <c r="AG189" s="919"/>
      <c r="AH189" s="919"/>
      <c r="AI189" s="919"/>
      <c r="AJ189" s="919"/>
      <c r="AK189" s="919"/>
      <c r="AL189" s="919"/>
      <c r="AM189" s="919"/>
      <c r="AN189" s="919"/>
      <c r="AO189" s="919"/>
      <c r="AP189" s="919"/>
      <c r="AQ189" s="919"/>
      <c r="AR189" s="919"/>
      <c r="AS189" s="919"/>
      <c r="AT189" s="919"/>
      <c r="AU189" s="919"/>
      <c r="AV189" s="919"/>
      <c r="AW189" s="919"/>
      <c r="AX189" s="919"/>
      <c r="AY189" s="919"/>
      <c r="AZ189" s="919"/>
      <c r="BA189" s="919"/>
      <c r="BB189" s="919"/>
      <c r="BC189" s="919"/>
      <c r="BD189" s="919"/>
      <c r="BE189" s="920"/>
      <c r="BF189" s="695"/>
    </row>
    <row r="190" spans="1:58" x14ac:dyDescent="0.45">
      <c r="A190" s="695"/>
      <c r="B190" s="918" t="s">
        <v>93</v>
      </c>
      <c r="C190" s="919"/>
      <c r="D190" s="919"/>
      <c r="E190" s="922"/>
      <c r="F190" s="919"/>
      <c r="G190" s="933">
        <f>'II. Inputs, Baseline Energy Mix'!$Q$43</f>
        <v>0</v>
      </c>
      <c r="H190" s="919"/>
      <c r="I190" s="1566"/>
      <c r="J190" s="919"/>
      <c r="K190" s="919"/>
      <c r="L190" s="919"/>
      <c r="M190" s="919"/>
      <c r="N190" s="919"/>
      <c r="O190" s="919"/>
      <c r="P190" s="919"/>
      <c r="Q190" s="919"/>
      <c r="R190" s="919"/>
      <c r="S190" s="919"/>
      <c r="T190" s="919"/>
      <c r="U190" s="919"/>
      <c r="V190" s="919"/>
      <c r="W190" s="919"/>
      <c r="X190" s="919"/>
      <c r="Y190" s="919"/>
      <c r="Z190" s="919"/>
      <c r="AA190" s="919"/>
      <c r="AB190" s="919"/>
      <c r="AC190" s="919"/>
      <c r="AD190" s="919"/>
      <c r="AE190" s="919"/>
      <c r="AF190" s="919"/>
      <c r="AG190" s="919"/>
      <c r="AH190" s="919"/>
      <c r="AI190" s="919"/>
      <c r="AJ190" s="919"/>
      <c r="AK190" s="919"/>
      <c r="AL190" s="919"/>
      <c r="AM190" s="919"/>
      <c r="AN190" s="919"/>
      <c r="AO190" s="919"/>
      <c r="AP190" s="919"/>
      <c r="AQ190" s="919"/>
      <c r="AR190" s="919"/>
      <c r="AS190" s="919"/>
      <c r="AT190" s="919"/>
      <c r="AU190" s="919"/>
      <c r="AV190" s="919"/>
      <c r="AW190" s="919"/>
      <c r="AX190" s="919"/>
      <c r="AY190" s="919"/>
      <c r="AZ190" s="919"/>
      <c r="BA190" s="919"/>
      <c r="BB190" s="919"/>
      <c r="BC190" s="919"/>
      <c r="BD190" s="919"/>
      <c r="BE190" s="920"/>
      <c r="BF190" s="695"/>
    </row>
    <row r="191" spans="1:58" x14ac:dyDescent="0.45">
      <c r="A191" s="695"/>
      <c r="B191" s="918" t="s">
        <v>94</v>
      </c>
      <c r="C191" s="919"/>
      <c r="D191" s="919"/>
      <c r="E191" s="922"/>
      <c r="F191" s="919"/>
      <c r="G191" s="1570">
        <f>IF(G190="NA", "NA", NPV(G190,H188:BE188)+G188)</f>
        <v>0</v>
      </c>
      <c r="H191" s="919"/>
      <c r="I191" s="1566"/>
      <c r="J191" s="919"/>
      <c r="K191" s="919"/>
      <c r="L191" s="919"/>
      <c r="M191" s="919"/>
      <c r="N191" s="919"/>
      <c r="O191" s="919"/>
      <c r="P191" s="919"/>
      <c r="Q191" s="919"/>
      <c r="R191" s="919"/>
      <c r="S191" s="919"/>
      <c r="T191" s="919"/>
      <c r="U191" s="919"/>
      <c r="V191" s="919"/>
      <c r="W191" s="919"/>
      <c r="X191" s="919"/>
      <c r="Y191" s="919"/>
      <c r="Z191" s="919"/>
      <c r="AA191" s="919"/>
      <c r="AB191" s="919"/>
      <c r="AC191" s="919"/>
      <c r="AD191" s="919"/>
      <c r="AE191" s="919"/>
      <c r="AF191" s="919"/>
      <c r="AG191" s="919"/>
      <c r="AH191" s="919"/>
      <c r="AI191" s="919"/>
      <c r="AJ191" s="919"/>
      <c r="AK191" s="919"/>
      <c r="AL191" s="919"/>
      <c r="AM191" s="919"/>
      <c r="AN191" s="919"/>
      <c r="AO191" s="919"/>
      <c r="AP191" s="919"/>
      <c r="AQ191" s="919"/>
      <c r="AR191" s="919"/>
      <c r="AS191" s="919"/>
      <c r="AT191" s="919"/>
      <c r="AU191" s="919"/>
      <c r="AV191" s="919"/>
      <c r="AW191" s="919"/>
      <c r="AX191" s="919"/>
      <c r="AY191" s="919"/>
      <c r="AZ191" s="919"/>
      <c r="BA191" s="919"/>
      <c r="BB191" s="919"/>
      <c r="BC191" s="919"/>
      <c r="BD191" s="919"/>
      <c r="BE191" s="920"/>
      <c r="BF191" s="695"/>
    </row>
    <row r="192" spans="1:58" x14ac:dyDescent="0.45">
      <c r="A192" s="695"/>
      <c r="B192" s="918" t="s">
        <v>459</v>
      </c>
      <c r="C192" s="919"/>
      <c r="D192" s="919"/>
      <c r="E192" s="922"/>
      <c r="F192" s="919"/>
      <c r="G192" s="934">
        <f>IF(G190="NA", "NA", -NPV(G190,H156:BE156))</f>
        <v>0</v>
      </c>
      <c r="H192" s="919"/>
      <c r="I192" s="1566"/>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919"/>
      <c r="AK192" s="919"/>
      <c r="AL192" s="919"/>
      <c r="AM192" s="919"/>
      <c r="AN192" s="919"/>
      <c r="AO192" s="919"/>
      <c r="AP192" s="919"/>
      <c r="AQ192" s="919"/>
      <c r="AR192" s="919"/>
      <c r="AS192" s="919"/>
      <c r="AT192" s="919"/>
      <c r="AU192" s="919"/>
      <c r="AV192" s="919"/>
      <c r="AW192" s="919"/>
      <c r="AX192" s="919"/>
      <c r="AY192" s="919"/>
      <c r="AZ192" s="919"/>
      <c r="BA192" s="919"/>
      <c r="BB192" s="919"/>
      <c r="BC192" s="919"/>
      <c r="BD192" s="919"/>
      <c r="BE192" s="920"/>
      <c r="BF192" s="695"/>
    </row>
    <row r="193" spans="1:58" ht="13.15" thickBot="1" x14ac:dyDescent="0.5">
      <c r="A193" s="695"/>
      <c r="B193" s="918" t="s">
        <v>96</v>
      </c>
      <c r="C193" s="919"/>
      <c r="D193" s="919"/>
      <c r="E193" s="922"/>
      <c r="F193" s="922" t="s">
        <v>749</v>
      </c>
      <c r="G193" s="1784" t="str">
        <f>IF(OR(G192=0,G190="NA"), "NA", G191/G192)</f>
        <v>NA</v>
      </c>
      <c r="H193" s="919"/>
      <c r="I193" s="1566"/>
      <c r="J193" s="919"/>
      <c r="K193" s="919"/>
      <c r="L193" s="919"/>
      <c r="M193" s="919"/>
      <c r="N193" s="919"/>
      <c r="O193" s="919"/>
      <c r="P193" s="919"/>
      <c r="Q193" s="919"/>
      <c r="R193" s="919"/>
      <c r="S193" s="919"/>
      <c r="T193" s="919"/>
      <c r="U193" s="919"/>
      <c r="V193" s="919"/>
      <c r="W193" s="919"/>
      <c r="X193" s="919"/>
      <c r="Y193" s="919"/>
      <c r="Z193" s="919"/>
      <c r="AA193" s="919"/>
      <c r="AB193" s="919"/>
      <c r="AC193" s="919"/>
      <c r="AD193" s="919"/>
      <c r="AE193" s="919"/>
      <c r="AF193" s="919"/>
      <c r="AG193" s="919"/>
      <c r="AH193" s="919"/>
      <c r="AI193" s="919"/>
      <c r="AJ193" s="919"/>
      <c r="AK193" s="919"/>
      <c r="AL193" s="919"/>
      <c r="AM193" s="919"/>
      <c r="AN193" s="919"/>
      <c r="AO193" s="919"/>
      <c r="AP193" s="919"/>
      <c r="AQ193" s="919"/>
      <c r="AR193" s="919"/>
      <c r="AS193" s="919"/>
      <c r="AT193" s="919"/>
      <c r="AU193" s="919"/>
      <c r="AV193" s="919"/>
      <c r="AW193" s="919"/>
      <c r="AX193" s="919"/>
      <c r="AY193" s="919"/>
      <c r="AZ193" s="919"/>
      <c r="BA193" s="919"/>
      <c r="BB193" s="919"/>
      <c r="BC193" s="919"/>
      <c r="BD193" s="919"/>
      <c r="BE193" s="920"/>
      <c r="BF193" s="695"/>
    </row>
    <row r="194" spans="1:58" ht="13.5" thickBot="1" x14ac:dyDescent="0.5">
      <c r="A194" s="695"/>
      <c r="B194" s="935" t="s">
        <v>97</v>
      </c>
      <c r="C194" s="936"/>
      <c r="D194" s="936"/>
      <c r="E194" s="937"/>
      <c r="F194" s="937" t="s">
        <v>749</v>
      </c>
      <c r="G194" s="1785" t="str">
        <f>IF(G193="NA", "NA", $G$193/(1-'II. Inputs, Baseline Energy Mix'!$Q$23))</f>
        <v>NA</v>
      </c>
      <c r="H194" s="919"/>
      <c r="I194" s="1566"/>
      <c r="J194" s="919"/>
      <c r="K194" s="919"/>
      <c r="L194" s="919"/>
      <c r="M194" s="919"/>
      <c r="N194" s="919"/>
      <c r="O194" s="919"/>
      <c r="P194" s="919"/>
      <c r="Q194" s="919"/>
      <c r="R194" s="919"/>
      <c r="S194" s="919"/>
      <c r="T194" s="919"/>
      <c r="U194" s="919"/>
      <c r="V194" s="919"/>
      <c r="W194" s="919"/>
      <c r="X194" s="919"/>
      <c r="Y194" s="919"/>
      <c r="Z194" s="919"/>
      <c r="AA194" s="919"/>
      <c r="AB194" s="919"/>
      <c r="AC194" s="919"/>
      <c r="AD194" s="919"/>
      <c r="AE194" s="919"/>
      <c r="AF194" s="919"/>
      <c r="AG194" s="919"/>
      <c r="AH194" s="919"/>
      <c r="AI194" s="919"/>
      <c r="AJ194" s="919"/>
      <c r="AK194" s="919"/>
      <c r="AL194" s="919"/>
      <c r="AM194" s="919"/>
      <c r="AN194" s="919"/>
      <c r="AO194" s="919"/>
      <c r="AP194" s="919"/>
      <c r="AQ194" s="919"/>
      <c r="AR194" s="919"/>
      <c r="AS194" s="919"/>
      <c r="AT194" s="919"/>
      <c r="AU194" s="919"/>
      <c r="AV194" s="919"/>
      <c r="AW194" s="919"/>
      <c r="AX194" s="919"/>
      <c r="AY194" s="919"/>
      <c r="AZ194" s="919"/>
      <c r="BA194" s="919"/>
      <c r="BB194" s="919"/>
      <c r="BC194" s="919"/>
      <c r="BD194" s="919"/>
      <c r="BE194" s="920"/>
      <c r="BF194" s="695"/>
    </row>
    <row r="195" spans="1:58" ht="13.5" thickBot="1" x14ac:dyDescent="0.5">
      <c r="A195" s="695"/>
      <c r="B195" s="938"/>
      <c r="C195" s="939"/>
      <c r="D195" s="939"/>
      <c r="E195" s="940"/>
      <c r="F195" s="940"/>
      <c r="G195" s="1786"/>
      <c r="H195" s="941"/>
      <c r="I195" s="1571"/>
      <c r="J195" s="941"/>
      <c r="K195" s="941"/>
      <c r="L195" s="941"/>
      <c r="M195" s="941"/>
      <c r="N195" s="941"/>
      <c r="O195" s="941"/>
      <c r="P195" s="941"/>
      <c r="Q195" s="941"/>
      <c r="R195" s="941"/>
      <c r="S195" s="941"/>
      <c r="T195" s="941"/>
      <c r="U195" s="941"/>
      <c r="V195" s="941"/>
      <c r="W195" s="941"/>
      <c r="X195" s="941"/>
      <c r="Y195" s="941"/>
      <c r="Z195" s="941"/>
      <c r="AA195" s="941"/>
      <c r="AB195" s="941"/>
      <c r="AC195" s="941"/>
      <c r="AD195" s="941"/>
      <c r="AE195" s="941"/>
      <c r="AF195" s="941"/>
      <c r="AG195" s="941"/>
      <c r="AH195" s="941"/>
      <c r="AI195" s="941"/>
      <c r="AJ195" s="941"/>
      <c r="AK195" s="941"/>
      <c r="AL195" s="941"/>
      <c r="AM195" s="941"/>
      <c r="AN195" s="941"/>
      <c r="AO195" s="941"/>
      <c r="AP195" s="941"/>
      <c r="AQ195" s="941"/>
      <c r="AR195" s="941"/>
      <c r="AS195" s="941"/>
      <c r="AT195" s="941"/>
      <c r="AU195" s="941"/>
      <c r="AV195" s="941"/>
      <c r="AW195" s="941"/>
      <c r="AX195" s="941"/>
      <c r="AY195" s="941"/>
      <c r="AZ195" s="941"/>
      <c r="BA195" s="941"/>
      <c r="BB195" s="941"/>
      <c r="BC195" s="941"/>
      <c r="BD195" s="941"/>
      <c r="BE195" s="942"/>
      <c r="BF195" s="695"/>
    </row>
    <row r="196" spans="1:58" ht="13.15" x14ac:dyDescent="0.45">
      <c r="A196" s="695"/>
      <c r="B196" s="696"/>
      <c r="C196" s="696"/>
      <c r="D196" s="696"/>
      <c r="E196" s="697"/>
      <c r="F196" s="697"/>
      <c r="G196" s="1787"/>
      <c r="H196" s="695"/>
      <c r="I196" s="1548"/>
      <c r="J196" s="695"/>
      <c r="K196" s="695"/>
      <c r="L196" s="695"/>
      <c r="M196" s="695"/>
      <c r="N196" s="695"/>
      <c r="O196" s="695"/>
      <c r="P196" s="695"/>
      <c r="Q196" s="695"/>
      <c r="R196" s="695"/>
      <c r="S196" s="695"/>
      <c r="T196" s="695"/>
      <c r="U196" s="695"/>
      <c r="V196" s="695"/>
      <c r="W196" s="695"/>
      <c r="X196" s="695"/>
      <c r="Y196" s="695"/>
      <c r="Z196" s="695"/>
      <c r="AA196" s="695"/>
      <c r="AB196" s="695"/>
      <c r="AC196" s="695"/>
      <c r="AD196" s="695"/>
      <c r="AE196" s="695"/>
      <c r="AF196" s="695"/>
      <c r="AG196" s="695"/>
      <c r="AH196" s="695"/>
      <c r="AI196" s="695"/>
      <c r="AJ196" s="695"/>
      <c r="AK196" s="695"/>
      <c r="AL196" s="695"/>
      <c r="AM196" s="695"/>
      <c r="AN196" s="695"/>
      <c r="AO196" s="695"/>
      <c r="AP196" s="695"/>
      <c r="AQ196" s="695"/>
      <c r="AR196" s="695"/>
      <c r="AS196" s="695"/>
      <c r="AT196" s="695"/>
      <c r="AU196" s="695"/>
      <c r="AV196" s="695"/>
      <c r="AW196" s="695"/>
      <c r="AX196" s="695"/>
      <c r="AY196" s="695"/>
      <c r="AZ196" s="695"/>
      <c r="BA196" s="695"/>
      <c r="BB196" s="695"/>
      <c r="BC196" s="695"/>
      <c r="BD196" s="695"/>
      <c r="BE196" s="695"/>
      <c r="BF196" s="695"/>
    </row>
    <row r="197" spans="1:58" ht="13.15" x14ac:dyDescent="0.45">
      <c r="A197" s="695"/>
      <c r="B197" s="1171" t="s">
        <v>51</v>
      </c>
      <c r="C197" s="1172"/>
      <c r="D197" s="1172"/>
      <c r="E197" s="1173"/>
      <c r="F197" s="1172"/>
      <c r="G197" s="1173">
        <v>0</v>
      </c>
      <c r="H197" s="1173">
        <v>1</v>
      </c>
      <c r="I197" s="1173">
        <v>2</v>
      </c>
      <c r="J197" s="1173">
        <v>3</v>
      </c>
      <c r="K197" s="1173">
        <v>4</v>
      </c>
      <c r="L197" s="1173">
        <v>5</v>
      </c>
      <c r="M197" s="1173">
        <v>6</v>
      </c>
      <c r="N197" s="1173">
        <v>7</v>
      </c>
      <c r="O197" s="1173">
        <v>8</v>
      </c>
      <c r="P197" s="1173">
        <v>9</v>
      </c>
      <c r="Q197" s="1173">
        <v>10</v>
      </c>
      <c r="R197" s="1173">
        <v>11</v>
      </c>
      <c r="S197" s="1173">
        <v>12</v>
      </c>
      <c r="T197" s="1173">
        <v>13</v>
      </c>
      <c r="U197" s="1173">
        <v>14</v>
      </c>
      <c r="V197" s="1173">
        <v>15</v>
      </c>
      <c r="W197" s="1173">
        <v>16</v>
      </c>
      <c r="X197" s="1173">
        <v>17</v>
      </c>
      <c r="Y197" s="1173">
        <v>18</v>
      </c>
      <c r="Z197" s="1173">
        <v>19</v>
      </c>
      <c r="AA197" s="1173">
        <v>20</v>
      </c>
      <c r="AB197" s="1173">
        <v>21</v>
      </c>
      <c r="AC197" s="1173">
        <v>22</v>
      </c>
      <c r="AD197" s="1173">
        <v>23</v>
      </c>
      <c r="AE197" s="1173">
        <v>24</v>
      </c>
      <c r="AF197" s="1173">
        <v>25</v>
      </c>
      <c r="AG197" s="1173">
        <v>26</v>
      </c>
      <c r="AH197" s="1173">
        <v>27</v>
      </c>
      <c r="AI197" s="1173">
        <v>28</v>
      </c>
      <c r="AJ197" s="1173">
        <v>29</v>
      </c>
      <c r="AK197" s="1173">
        <v>30</v>
      </c>
      <c r="AL197" s="1173">
        <v>31</v>
      </c>
      <c r="AM197" s="1173">
        <v>32</v>
      </c>
      <c r="AN197" s="1173">
        <v>33</v>
      </c>
      <c r="AO197" s="1173">
        <v>34</v>
      </c>
      <c r="AP197" s="1173">
        <v>35</v>
      </c>
      <c r="AQ197" s="1173">
        <v>36</v>
      </c>
      <c r="AR197" s="1173">
        <v>37</v>
      </c>
      <c r="AS197" s="1173">
        <v>38</v>
      </c>
      <c r="AT197" s="1173">
        <v>39</v>
      </c>
      <c r="AU197" s="1173">
        <v>40</v>
      </c>
      <c r="AV197" s="1173">
        <v>41</v>
      </c>
      <c r="AW197" s="1173">
        <v>42</v>
      </c>
      <c r="AX197" s="1173">
        <v>43</v>
      </c>
      <c r="AY197" s="1173">
        <v>44</v>
      </c>
      <c r="AZ197" s="1173">
        <v>45</v>
      </c>
      <c r="BA197" s="1173">
        <v>46</v>
      </c>
      <c r="BB197" s="1173">
        <v>47</v>
      </c>
      <c r="BC197" s="1173">
        <v>48</v>
      </c>
      <c r="BD197" s="1173">
        <v>49</v>
      </c>
      <c r="BE197" s="1173">
        <v>50</v>
      </c>
      <c r="BF197" s="695"/>
    </row>
    <row r="198" spans="1:58" ht="13.5" thickBot="1" x14ac:dyDescent="0.5">
      <c r="A198" s="695"/>
      <c r="B198" s="1176"/>
      <c r="C198" s="696"/>
      <c r="D198" s="696"/>
      <c r="E198" s="697"/>
      <c r="F198" s="696"/>
      <c r="G198" s="697"/>
      <c r="H198" s="697"/>
      <c r="I198" s="697"/>
      <c r="J198" s="697"/>
      <c r="K198" s="697"/>
      <c r="L198" s="697"/>
      <c r="M198" s="697"/>
      <c r="N198" s="697"/>
      <c r="O198" s="697"/>
      <c r="P198" s="697"/>
      <c r="Q198" s="697"/>
      <c r="R198" s="697"/>
      <c r="S198" s="697"/>
      <c r="T198" s="697"/>
      <c r="U198" s="697"/>
      <c r="V198" s="697"/>
      <c r="W198" s="697"/>
      <c r="X198" s="697"/>
      <c r="Y198" s="697"/>
      <c r="Z198" s="697"/>
      <c r="AA198" s="697"/>
      <c r="AB198" s="697"/>
      <c r="AC198" s="697"/>
      <c r="AD198" s="697"/>
      <c r="AE198" s="697"/>
      <c r="AF198" s="697"/>
      <c r="AG198" s="697"/>
      <c r="AH198" s="697"/>
      <c r="AI198" s="697"/>
      <c r="AJ198" s="697"/>
      <c r="AK198" s="697"/>
      <c r="AL198" s="697"/>
      <c r="AM198" s="697"/>
      <c r="AN198" s="697"/>
      <c r="AO198" s="697"/>
      <c r="AP198" s="697"/>
      <c r="AQ198" s="697"/>
      <c r="AR198" s="697"/>
      <c r="AS198" s="697"/>
      <c r="AT198" s="697"/>
      <c r="AU198" s="697"/>
      <c r="AV198" s="697"/>
      <c r="AW198" s="697"/>
      <c r="AX198" s="697"/>
      <c r="AY198" s="697"/>
      <c r="AZ198" s="697"/>
      <c r="BA198" s="697"/>
      <c r="BB198" s="697"/>
      <c r="BC198" s="697"/>
      <c r="BD198" s="697"/>
      <c r="BE198" s="697"/>
      <c r="BF198" s="695"/>
    </row>
    <row r="199" spans="1:58" s="479" customFormat="1" ht="13.15" x14ac:dyDescent="0.45">
      <c r="A199" s="704"/>
      <c r="B199" s="943" t="str">
        <f>'II. Inputs, Baseline Energy Mix'!R18</f>
        <v>Technology #5</v>
      </c>
      <c r="C199" s="944"/>
      <c r="D199" s="944"/>
      <c r="E199" s="944"/>
      <c r="F199" s="944"/>
      <c r="G199" s="944"/>
      <c r="H199" s="944"/>
      <c r="I199" s="944"/>
      <c r="J199" s="944"/>
      <c r="K199" s="944"/>
      <c r="L199" s="944"/>
      <c r="M199" s="944"/>
      <c r="N199" s="944"/>
      <c r="O199" s="944"/>
      <c r="P199" s="944"/>
      <c r="Q199" s="944"/>
      <c r="R199" s="944"/>
      <c r="S199" s="944"/>
      <c r="T199" s="944"/>
      <c r="U199" s="944"/>
      <c r="V199" s="944"/>
      <c r="W199" s="944"/>
      <c r="X199" s="944"/>
      <c r="Y199" s="944"/>
      <c r="Z199" s="944"/>
      <c r="AA199" s="944"/>
      <c r="AB199" s="944"/>
      <c r="AC199" s="944"/>
      <c r="AD199" s="944"/>
      <c r="AE199" s="944"/>
      <c r="AF199" s="944"/>
      <c r="AG199" s="944"/>
      <c r="AH199" s="944"/>
      <c r="AI199" s="944"/>
      <c r="AJ199" s="944"/>
      <c r="AK199" s="944"/>
      <c r="AL199" s="944"/>
      <c r="AM199" s="944"/>
      <c r="AN199" s="944"/>
      <c r="AO199" s="944"/>
      <c r="AP199" s="944"/>
      <c r="AQ199" s="944"/>
      <c r="AR199" s="944"/>
      <c r="AS199" s="944"/>
      <c r="AT199" s="944"/>
      <c r="AU199" s="944"/>
      <c r="AV199" s="944"/>
      <c r="AW199" s="944"/>
      <c r="AX199" s="944"/>
      <c r="AY199" s="944"/>
      <c r="AZ199" s="944"/>
      <c r="BA199" s="944"/>
      <c r="BB199" s="944"/>
      <c r="BC199" s="944"/>
      <c r="BD199" s="944"/>
      <c r="BE199" s="945"/>
      <c r="BF199" s="704"/>
    </row>
    <row r="200" spans="1:58" x14ac:dyDescent="0.45">
      <c r="A200" s="695"/>
      <c r="B200" s="946"/>
      <c r="C200" s="947"/>
      <c r="D200" s="947"/>
      <c r="E200" s="947"/>
      <c r="F200" s="947"/>
      <c r="G200" s="947"/>
      <c r="H200" s="947"/>
      <c r="I200" s="947"/>
      <c r="J200" s="947"/>
      <c r="K200" s="947"/>
      <c r="L200" s="947"/>
      <c r="M200" s="947"/>
      <c r="N200" s="947"/>
      <c r="O200" s="947"/>
      <c r="P200" s="947"/>
      <c r="Q200" s="947"/>
      <c r="R200" s="947"/>
      <c r="S200" s="947"/>
      <c r="T200" s="947"/>
      <c r="U200" s="947"/>
      <c r="V200" s="947"/>
      <c r="W200" s="947"/>
      <c r="X200" s="947"/>
      <c r="Y200" s="947"/>
      <c r="Z200" s="947"/>
      <c r="AA200" s="947"/>
      <c r="AB200" s="947"/>
      <c r="AC200" s="947"/>
      <c r="AD200" s="947"/>
      <c r="AE200" s="947"/>
      <c r="AF200" s="947"/>
      <c r="AG200" s="947"/>
      <c r="AH200" s="947"/>
      <c r="AI200" s="947"/>
      <c r="AJ200" s="947"/>
      <c r="AK200" s="947"/>
      <c r="AL200" s="947"/>
      <c r="AM200" s="947"/>
      <c r="AN200" s="947"/>
      <c r="AO200" s="947"/>
      <c r="AP200" s="947"/>
      <c r="AQ200" s="947"/>
      <c r="AR200" s="947"/>
      <c r="AS200" s="947"/>
      <c r="AT200" s="947"/>
      <c r="AU200" s="947"/>
      <c r="AV200" s="947"/>
      <c r="AW200" s="947"/>
      <c r="AX200" s="947"/>
      <c r="AY200" s="947"/>
      <c r="AZ200" s="947"/>
      <c r="BA200" s="947"/>
      <c r="BB200" s="947"/>
      <c r="BC200" s="947"/>
      <c r="BD200" s="947"/>
      <c r="BE200" s="948"/>
      <c r="BF200" s="695"/>
    </row>
    <row r="201" spans="1:58" x14ac:dyDescent="0.45">
      <c r="A201" s="695"/>
      <c r="B201" s="946" t="s">
        <v>122</v>
      </c>
      <c r="C201" s="947"/>
      <c r="D201" s="947"/>
      <c r="E201" s="947"/>
      <c r="F201" s="947"/>
      <c r="G201" s="947"/>
      <c r="H201" s="949">
        <f>IF(H$13&gt;'II. Inputs, Baseline Energy Mix'!$R$22,0,1)</f>
        <v>0</v>
      </c>
      <c r="I201" s="947">
        <f>IF(I$13&gt;'II. Inputs, Baseline Energy Mix'!$R$22,0,1)</f>
        <v>0</v>
      </c>
      <c r="J201" s="947">
        <f>IF(J$13&gt;'II. Inputs, Baseline Energy Mix'!$R$22,0,1)</f>
        <v>0</v>
      </c>
      <c r="K201" s="947">
        <f>IF(K$13&gt;'II. Inputs, Baseline Energy Mix'!$R$22,0,1)</f>
        <v>0</v>
      </c>
      <c r="L201" s="947">
        <f>IF(L$13&gt;'II. Inputs, Baseline Energy Mix'!$R$22,0,1)</f>
        <v>0</v>
      </c>
      <c r="M201" s="947">
        <f>IF(M$13&gt;'II. Inputs, Baseline Energy Mix'!$R$22,0,1)</f>
        <v>0</v>
      </c>
      <c r="N201" s="947">
        <f>IF(N$13&gt;'II. Inputs, Baseline Energy Mix'!$R$22,0,1)</f>
        <v>0</v>
      </c>
      <c r="O201" s="947">
        <f>IF(O$13&gt;'II. Inputs, Baseline Energy Mix'!$R$22,0,1)</f>
        <v>0</v>
      </c>
      <c r="P201" s="947">
        <f>IF(P$13&gt;'II. Inputs, Baseline Energy Mix'!$R$22,0,1)</f>
        <v>0</v>
      </c>
      <c r="Q201" s="947">
        <f>IF(Q$13&gt;'II. Inputs, Baseline Energy Mix'!$R$22,0,1)</f>
        <v>0</v>
      </c>
      <c r="R201" s="947">
        <f>IF(R$13&gt;'II. Inputs, Baseline Energy Mix'!$R$22,0,1)</f>
        <v>0</v>
      </c>
      <c r="S201" s="947">
        <f>IF(S$13&gt;'II. Inputs, Baseline Energy Mix'!$R$22,0,1)</f>
        <v>0</v>
      </c>
      <c r="T201" s="947">
        <f>IF(T$13&gt;'II. Inputs, Baseline Energy Mix'!$R$22,0,1)</f>
        <v>0</v>
      </c>
      <c r="U201" s="947">
        <f>IF(U$13&gt;'II. Inputs, Baseline Energy Mix'!$R$22,0,1)</f>
        <v>0</v>
      </c>
      <c r="V201" s="947">
        <f>IF(V$13&gt;'II. Inputs, Baseline Energy Mix'!$R$22,0,1)</f>
        <v>0</v>
      </c>
      <c r="W201" s="947">
        <f>IF(W$13&gt;'II. Inputs, Baseline Energy Mix'!$R$22,0,1)</f>
        <v>0</v>
      </c>
      <c r="X201" s="947">
        <f>IF(X$13&gt;'II. Inputs, Baseline Energy Mix'!$R$22,0,1)</f>
        <v>0</v>
      </c>
      <c r="Y201" s="947">
        <f>IF(Y$13&gt;'II. Inputs, Baseline Energy Mix'!$R$22,0,1)</f>
        <v>0</v>
      </c>
      <c r="Z201" s="947">
        <f>IF(Z$13&gt;'II. Inputs, Baseline Energy Mix'!$R$22,0,1)</f>
        <v>0</v>
      </c>
      <c r="AA201" s="947">
        <f>IF(AA$13&gt;'II. Inputs, Baseline Energy Mix'!$R$22,0,1)</f>
        <v>0</v>
      </c>
      <c r="AB201" s="947">
        <f>IF(AB$13&gt;'II. Inputs, Baseline Energy Mix'!$R$22,0,1)</f>
        <v>0</v>
      </c>
      <c r="AC201" s="947">
        <f>IF(AC$13&gt;'II. Inputs, Baseline Energy Mix'!$R$22,0,1)</f>
        <v>0</v>
      </c>
      <c r="AD201" s="947">
        <f>IF(AD$13&gt;'II. Inputs, Baseline Energy Mix'!$R$22,0,1)</f>
        <v>0</v>
      </c>
      <c r="AE201" s="947">
        <f>IF(AE$13&gt;'II. Inputs, Baseline Energy Mix'!$R$22,0,1)</f>
        <v>0</v>
      </c>
      <c r="AF201" s="947">
        <f>IF(AF$13&gt;'II. Inputs, Baseline Energy Mix'!$R$22,0,1)</f>
        <v>0</v>
      </c>
      <c r="AG201" s="947">
        <f>IF(AG$13&gt;'II. Inputs, Baseline Energy Mix'!$R$22,0,1)</f>
        <v>0</v>
      </c>
      <c r="AH201" s="947">
        <f>IF(AH$13&gt;'II. Inputs, Baseline Energy Mix'!$R$22,0,1)</f>
        <v>0</v>
      </c>
      <c r="AI201" s="947">
        <f>IF(AI$13&gt;'II. Inputs, Baseline Energy Mix'!$R$22,0,1)</f>
        <v>0</v>
      </c>
      <c r="AJ201" s="947">
        <f>IF(AJ$13&gt;'II. Inputs, Baseline Energy Mix'!$R$22,0,1)</f>
        <v>0</v>
      </c>
      <c r="AK201" s="947">
        <f>IF(AK$13&gt;'II. Inputs, Baseline Energy Mix'!$R$22,0,1)</f>
        <v>0</v>
      </c>
      <c r="AL201" s="947">
        <f>IF(AL$13&gt;'II. Inputs, Baseline Energy Mix'!$R$22,0,1)</f>
        <v>0</v>
      </c>
      <c r="AM201" s="947">
        <f>IF(AM$13&gt;'II. Inputs, Baseline Energy Mix'!$R$22,0,1)</f>
        <v>0</v>
      </c>
      <c r="AN201" s="947">
        <f>IF(AN$13&gt;'II. Inputs, Baseline Energy Mix'!$R$22,0,1)</f>
        <v>0</v>
      </c>
      <c r="AO201" s="947">
        <f>IF(AO$13&gt;'II. Inputs, Baseline Energy Mix'!$R$22,0,1)</f>
        <v>0</v>
      </c>
      <c r="AP201" s="947">
        <f>IF(AP$13&gt;'II. Inputs, Baseline Energy Mix'!$R$22,0,1)</f>
        <v>0</v>
      </c>
      <c r="AQ201" s="947">
        <f>IF(AQ$13&gt;'II. Inputs, Baseline Energy Mix'!$R$22,0,1)</f>
        <v>0</v>
      </c>
      <c r="AR201" s="947">
        <f>IF(AR$13&gt;'II. Inputs, Baseline Energy Mix'!$R$22,0,1)</f>
        <v>0</v>
      </c>
      <c r="AS201" s="947">
        <f>IF(AS$13&gt;'II. Inputs, Baseline Energy Mix'!$R$22,0,1)</f>
        <v>0</v>
      </c>
      <c r="AT201" s="947">
        <f>IF(AT$13&gt;'II. Inputs, Baseline Energy Mix'!$R$22,0,1)</f>
        <v>0</v>
      </c>
      <c r="AU201" s="947">
        <f>IF(AU$13&gt;'II. Inputs, Baseline Energy Mix'!$R$22,0,1)</f>
        <v>0</v>
      </c>
      <c r="AV201" s="947">
        <f>IF(AV$13&gt;'II. Inputs, Baseline Energy Mix'!$R$22,0,1)</f>
        <v>0</v>
      </c>
      <c r="AW201" s="947">
        <f>IF(AW$13&gt;'II. Inputs, Baseline Energy Mix'!$R$22,0,1)</f>
        <v>0</v>
      </c>
      <c r="AX201" s="947">
        <f>IF(AX$13&gt;'II. Inputs, Baseline Energy Mix'!$R$22,0,1)</f>
        <v>0</v>
      </c>
      <c r="AY201" s="947">
        <f>IF(AY$13&gt;'II. Inputs, Baseline Energy Mix'!$R$22,0,1)</f>
        <v>0</v>
      </c>
      <c r="AZ201" s="947">
        <f>IF(AZ$13&gt;'II. Inputs, Baseline Energy Mix'!$R$22,0,1)</f>
        <v>0</v>
      </c>
      <c r="BA201" s="947">
        <f>IF(BA$13&gt;'II. Inputs, Baseline Energy Mix'!$R$22,0,1)</f>
        <v>0</v>
      </c>
      <c r="BB201" s="947">
        <f>IF(BB$13&gt;'II. Inputs, Baseline Energy Mix'!$R$22,0,1)</f>
        <v>0</v>
      </c>
      <c r="BC201" s="947">
        <f>IF(BC$13&gt;'II. Inputs, Baseline Energy Mix'!$R$22,0,1)</f>
        <v>0</v>
      </c>
      <c r="BD201" s="947">
        <f>IF(BD$13&gt;'II. Inputs, Baseline Energy Mix'!$R$22,0,1)</f>
        <v>0</v>
      </c>
      <c r="BE201" s="948">
        <f>IF(BE$13&gt;'II. Inputs, Baseline Energy Mix'!$R$22,0,1)</f>
        <v>0</v>
      </c>
      <c r="BF201" s="695"/>
    </row>
    <row r="202" spans="1:58" x14ac:dyDescent="0.45">
      <c r="A202" s="695"/>
      <c r="B202" s="946"/>
      <c r="C202" s="947"/>
      <c r="D202" s="947"/>
      <c r="E202" s="947"/>
      <c r="F202" s="947"/>
      <c r="G202" s="947"/>
      <c r="H202" s="949"/>
      <c r="I202" s="947"/>
      <c r="J202" s="947"/>
      <c r="K202" s="947"/>
      <c r="L202" s="947"/>
      <c r="M202" s="947"/>
      <c r="N202" s="947"/>
      <c r="O202" s="947"/>
      <c r="P202" s="947"/>
      <c r="Q202" s="947"/>
      <c r="R202" s="947"/>
      <c r="S202" s="947"/>
      <c r="T202" s="947"/>
      <c r="U202" s="947"/>
      <c r="V202" s="947"/>
      <c r="W202" s="947"/>
      <c r="X202" s="947"/>
      <c r="Y202" s="947"/>
      <c r="Z202" s="947"/>
      <c r="AA202" s="947"/>
      <c r="AB202" s="947"/>
      <c r="AC202" s="947"/>
      <c r="AD202" s="947"/>
      <c r="AE202" s="947"/>
      <c r="AF202" s="947"/>
      <c r="AG202" s="947"/>
      <c r="AH202" s="947"/>
      <c r="AI202" s="947"/>
      <c r="AJ202" s="947"/>
      <c r="AK202" s="947"/>
      <c r="AL202" s="947"/>
      <c r="AM202" s="947"/>
      <c r="AN202" s="947"/>
      <c r="AO202" s="947"/>
      <c r="AP202" s="947"/>
      <c r="AQ202" s="947"/>
      <c r="AR202" s="947"/>
      <c r="AS202" s="947"/>
      <c r="AT202" s="947"/>
      <c r="AU202" s="947"/>
      <c r="AV202" s="947"/>
      <c r="AW202" s="947"/>
      <c r="AX202" s="947"/>
      <c r="AY202" s="947"/>
      <c r="AZ202" s="947"/>
      <c r="BA202" s="947"/>
      <c r="BB202" s="947"/>
      <c r="BC202" s="947"/>
      <c r="BD202" s="947"/>
      <c r="BE202" s="948"/>
      <c r="BF202" s="695"/>
    </row>
    <row r="203" spans="1:58" x14ac:dyDescent="0.45">
      <c r="A203" s="695"/>
      <c r="B203" s="946" t="s">
        <v>85</v>
      </c>
      <c r="C203" s="947"/>
      <c r="D203" s="947"/>
      <c r="E203" s="947"/>
      <c r="F203" s="950" t="s">
        <v>86</v>
      </c>
      <c r="G203" s="947"/>
      <c r="H203" s="951">
        <f>IF('II. Inputs, Baseline Energy Mix'!$R$19=0,0,'II. Inputs, Baseline Energy Mix'!$R$105*'II. Inputs, Baseline Energy Mix'!$R$20*H201)</f>
        <v>0</v>
      </c>
      <c r="I203" s="951">
        <f>IF('II. Inputs, Baseline Energy Mix'!$R$19=0,0,'II. Inputs, Baseline Energy Mix'!$R$105*'II. Inputs, Baseline Energy Mix'!$R$20*I201)</f>
        <v>0</v>
      </c>
      <c r="J203" s="951">
        <f>IF('II. Inputs, Baseline Energy Mix'!$R$19=0,0,'II. Inputs, Baseline Energy Mix'!$R$105*'II. Inputs, Baseline Energy Mix'!$R$20*J201)</f>
        <v>0</v>
      </c>
      <c r="K203" s="951">
        <f>IF('II. Inputs, Baseline Energy Mix'!$R$19=0,0,'II. Inputs, Baseline Energy Mix'!$R$105*'II. Inputs, Baseline Energy Mix'!$R$20*K201)</f>
        <v>0</v>
      </c>
      <c r="L203" s="951">
        <f>IF('II. Inputs, Baseline Energy Mix'!$R$19=0,0,'II. Inputs, Baseline Energy Mix'!$R$105*'II. Inputs, Baseline Energy Mix'!$R$20*L201)</f>
        <v>0</v>
      </c>
      <c r="M203" s="951">
        <f>IF('II. Inputs, Baseline Energy Mix'!$R$19=0,0,'II. Inputs, Baseline Energy Mix'!$R$105*'II. Inputs, Baseline Energy Mix'!$R$20*M201)</f>
        <v>0</v>
      </c>
      <c r="N203" s="951">
        <f>IF('II. Inputs, Baseline Energy Mix'!$R$19=0,0,'II. Inputs, Baseline Energy Mix'!$R$105*'II. Inputs, Baseline Energy Mix'!$R$20*N201)</f>
        <v>0</v>
      </c>
      <c r="O203" s="951">
        <f>IF('II. Inputs, Baseline Energy Mix'!$R$19=0,0,'II. Inputs, Baseline Energy Mix'!$R$105*'II. Inputs, Baseline Energy Mix'!$R$20*O201)</f>
        <v>0</v>
      </c>
      <c r="P203" s="951">
        <f>IF('II. Inputs, Baseline Energy Mix'!$R$19=0,0,'II. Inputs, Baseline Energy Mix'!$R$105*'II. Inputs, Baseline Energy Mix'!$R$20*P201)</f>
        <v>0</v>
      </c>
      <c r="Q203" s="951">
        <f>IF('II. Inputs, Baseline Energy Mix'!$R$19=0,0,'II. Inputs, Baseline Energy Mix'!$R$105*'II. Inputs, Baseline Energy Mix'!$R$20*Q201)</f>
        <v>0</v>
      </c>
      <c r="R203" s="951">
        <f>IF('II. Inputs, Baseline Energy Mix'!$R$19=0,0,'II. Inputs, Baseline Energy Mix'!$R$105*'II. Inputs, Baseline Energy Mix'!$R$20*R201)</f>
        <v>0</v>
      </c>
      <c r="S203" s="951">
        <f>IF('II. Inputs, Baseline Energy Mix'!$R$19=0,0,'II. Inputs, Baseline Energy Mix'!$R$105*'II. Inputs, Baseline Energy Mix'!$R$20*S201)</f>
        <v>0</v>
      </c>
      <c r="T203" s="951">
        <f>IF('II. Inputs, Baseline Energy Mix'!$R$19=0,0,'II. Inputs, Baseline Energy Mix'!$R$105*'II. Inputs, Baseline Energy Mix'!$R$20*T201)</f>
        <v>0</v>
      </c>
      <c r="U203" s="951">
        <f>IF('II. Inputs, Baseline Energy Mix'!$R$19=0,0,'II. Inputs, Baseline Energy Mix'!$R$105*'II. Inputs, Baseline Energy Mix'!$R$20*U201)</f>
        <v>0</v>
      </c>
      <c r="V203" s="951">
        <f>IF('II. Inputs, Baseline Energy Mix'!$R$19=0,0,'II. Inputs, Baseline Energy Mix'!$R$105*'II. Inputs, Baseline Energy Mix'!$R$20*V201)</f>
        <v>0</v>
      </c>
      <c r="W203" s="951">
        <f>IF('II. Inputs, Baseline Energy Mix'!$R$19=0,0,'II. Inputs, Baseline Energy Mix'!$R$105*'II. Inputs, Baseline Energy Mix'!$R$20*W201)</f>
        <v>0</v>
      </c>
      <c r="X203" s="951">
        <f>IF('II. Inputs, Baseline Energy Mix'!$R$19=0,0,'II. Inputs, Baseline Energy Mix'!$R$105*'II. Inputs, Baseline Energy Mix'!$R$20*X201)</f>
        <v>0</v>
      </c>
      <c r="Y203" s="951">
        <f>IF('II. Inputs, Baseline Energy Mix'!$R$19=0,0,'II. Inputs, Baseline Energy Mix'!$R$105*'II. Inputs, Baseline Energy Mix'!$R$20*Y201)</f>
        <v>0</v>
      </c>
      <c r="Z203" s="951">
        <f>IF('II. Inputs, Baseline Energy Mix'!$R$19=0,0,'II. Inputs, Baseline Energy Mix'!$R$105*'II. Inputs, Baseline Energy Mix'!$R$20*Z201)</f>
        <v>0</v>
      </c>
      <c r="AA203" s="951">
        <f>IF('II. Inputs, Baseline Energy Mix'!$R$19=0,0,'II. Inputs, Baseline Energy Mix'!$R$105*'II. Inputs, Baseline Energy Mix'!$R$20*AA201)</f>
        <v>0</v>
      </c>
      <c r="AB203" s="951">
        <f>IF('II. Inputs, Baseline Energy Mix'!$R$19=0,0,'II. Inputs, Baseline Energy Mix'!$R$105*'II. Inputs, Baseline Energy Mix'!$R$20*AB201)</f>
        <v>0</v>
      </c>
      <c r="AC203" s="951">
        <f>IF('II. Inputs, Baseline Energy Mix'!$R$19=0,0,'II. Inputs, Baseline Energy Mix'!$R$105*'II. Inputs, Baseline Energy Mix'!$R$20*AC201)</f>
        <v>0</v>
      </c>
      <c r="AD203" s="951">
        <f>IF('II. Inputs, Baseline Energy Mix'!$R$19=0,0,'II. Inputs, Baseline Energy Mix'!$R$105*'II. Inputs, Baseline Energy Mix'!$R$20*AD201)</f>
        <v>0</v>
      </c>
      <c r="AE203" s="951">
        <f>IF('II. Inputs, Baseline Energy Mix'!$R$19=0,0,'II. Inputs, Baseline Energy Mix'!$R$105*'II. Inputs, Baseline Energy Mix'!$R$20*AE201)</f>
        <v>0</v>
      </c>
      <c r="AF203" s="951">
        <f>IF('II. Inputs, Baseline Energy Mix'!$R$19=0,0,'II. Inputs, Baseline Energy Mix'!$R$105*'II. Inputs, Baseline Energy Mix'!$R$20*AF201)</f>
        <v>0</v>
      </c>
      <c r="AG203" s="951">
        <f>IF('II. Inputs, Baseline Energy Mix'!$R$19=0,0,'II. Inputs, Baseline Energy Mix'!$R$105*'II. Inputs, Baseline Energy Mix'!$R$20*AG201)</f>
        <v>0</v>
      </c>
      <c r="AH203" s="951">
        <f>IF('II. Inputs, Baseline Energy Mix'!$R$19=0,0,'II. Inputs, Baseline Energy Mix'!$R$105*'II. Inputs, Baseline Energy Mix'!$R$20*AH201)</f>
        <v>0</v>
      </c>
      <c r="AI203" s="951">
        <f>IF('II. Inputs, Baseline Energy Mix'!$R$19=0,0,'II. Inputs, Baseline Energy Mix'!$R$105*'II. Inputs, Baseline Energy Mix'!$R$20*AI201)</f>
        <v>0</v>
      </c>
      <c r="AJ203" s="951">
        <f>IF('II. Inputs, Baseline Energy Mix'!$R$19=0,0,'II. Inputs, Baseline Energy Mix'!$R$105*'II. Inputs, Baseline Energy Mix'!$R$20*AJ201)</f>
        <v>0</v>
      </c>
      <c r="AK203" s="951">
        <f>IF('II. Inputs, Baseline Energy Mix'!$R$19=0,0,'II. Inputs, Baseline Energy Mix'!$R$105*'II. Inputs, Baseline Energy Mix'!$R$20*AK201)</f>
        <v>0</v>
      </c>
      <c r="AL203" s="951">
        <f>IF('II. Inputs, Baseline Energy Mix'!$R$19=0,0,'II. Inputs, Baseline Energy Mix'!$R$105*'II. Inputs, Baseline Energy Mix'!$R$20*AL201)</f>
        <v>0</v>
      </c>
      <c r="AM203" s="951">
        <f>IF('II. Inputs, Baseline Energy Mix'!$R$19=0,0,'II. Inputs, Baseline Energy Mix'!$R$105*'II. Inputs, Baseline Energy Mix'!$R$20*AM201)</f>
        <v>0</v>
      </c>
      <c r="AN203" s="951">
        <f>IF('II. Inputs, Baseline Energy Mix'!$R$19=0,0,'II. Inputs, Baseline Energy Mix'!$R$105*'II. Inputs, Baseline Energy Mix'!$R$20*AN201)</f>
        <v>0</v>
      </c>
      <c r="AO203" s="951">
        <f>IF('II. Inputs, Baseline Energy Mix'!$R$19=0,0,'II. Inputs, Baseline Energy Mix'!$R$105*'II. Inputs, Baseline Energy Mix'!$R$20*AO201)</f>
        <v>0</v>
      </c>
      <c r="AP203" s="951">
        <f>IF('II. Inputs, Baseline Energy Mix'!$R$19=0,0,'II. Inputs, Baseline Energy Mix'!$R$105*'II. Inputs, Baseline Energy Mix'!$R$20*AP201)</f>
        <v>0</v>
      </c>
      <c r="AQ203" s="951">
        <f>IF('II. Inputs, Baseline Energy Mix'!$R$19=0,0,'II. Inputs, Baseline Energy Mix'!$R$105*'II. Inputs, Baseline Energy Mix'!$R$20*AQ201)</f>
        <v>0</v>
      </c>
      <c r="AR203" s="951">
        <f>IF('II. Inputs, Baseline Energy Mix'!$R$19=0,0,'II. Inputs, Baseline Energy Mix'!$R$105*'II. Inputs, Baseline Energy Mix'!$R$20*AR201)</f>
        <v>0</v>
      </c>
      <c r="AS203" s="951">
        <f>IF('II. Inputs, Baseline Energy Mix'!$R$19=0,0,'II. Inputs, Baseline Energy Mix'!$R$105*'II. Inputs, Baseline Energy Mix'!$R$20*AS201)</f>
        <v>0</v>
      </c>
      <c r="AT203" s="951">
        <f>IF('II. Inputs, Baseline Energy Mix'!$R$19=0,0,'II. Inputs, Baseline Energy Mix'!$R$105*'II. Inputs, Baseline Energy Mix'!$R$20*AT201)</f>
        <v>0</v>
      </c>
      <c r="AU203" s="951">
        <f>IF('II. Inputs, Baseline Energy Mix'!$R$19=0,0,'II. Inputs, Baseline Energy Mix'!$R$105*'II. Inputs, Baseline Energy Mix'!$R$20*AU201)</f>
        <v>0</v>
      </c>
      <c r="AV203" s="951">
        <f>IF('II. Inputs, Baseline Energy Mix'!$R$19=0,0,'II. Inputs, Baseline Energy Mix'!$R$105*'II. Inputs, Baseline Energy Mix'!$R$20*AV201)</f>
        <v>0</v>
      </c>
      <c r="AW203" s="951">
        <f>IF('II. Inputs, Baseline Energy Mix'!$R$19=0,0,'II. Inputs, Baseline Energy Mix'!$R$105*'II. Inputs, Baseline Energy Mix'!$R$20*AW201)</f>
        <v>0</v>
      </c>
      <c r="AX203" s="951">
        <f>IF('II. Inputs, Baseline Energy Mix'!$R$19=0,0,'II. Inputs, Baseline Energy Mix'!$R$105*'II. Inputs, Baseline Energy Mix'!$R$20*AX201)</f>
        <v>0</v>
      </c>
      <c r="AY203" s="951">
        <f>IF('II. Inputs, Baseline Energy Mix'!$R$19=0,0,'II. Inputs, Baseline Energy Mix'!$R$105*'II. Inputs, Baseline Energy Mix'!$R$20*AY201)</f>
        <v>0</v>
      </c>
      <c r="AZ203" s="951">
        <f>IF('II. Inputs, Baseline Energy Mix'!$R$19=0,0,'II. Inputs, Baseline Energy Mix'!$R$105*'II. Inputs, Baseline Energy Mix'!$R$20*AZ201)</f>
        <v>0</v>
      </c>
      <c r="BA203" s="951">
        <f>IF('II. Inputs, Baseline Energy Mix'!$R$19=0,0,'II. Inputs, Baseline Energy Mix'!$R$105*'II. Inputs, Baseline Energy Mix'!$R$20*BA201)</f>
        <v>0</v>
      </c>
      <c r="BB203" s="951">
        <f>IF('II. Inputs, Baseline Energy Mix'!$R$19=0,0,'II. Inputs, Baseline Energy Mix'!$R$105*'II. Inputs, Baseline Energy Mix'!$R$20*BB201)</f>
        <v>0</v>
      </c>
      <c r="BC203" s="951">
        <f>IF('II. Inputs, Baseline Energy Mix'!$R$19=0,0,'II. Inputs, Baseline Energy Mix'!$R$105*'II. Inputs, Baseline Energy Mix'!$R$20*BC201)</f>
        <v>0</v>
      </c>
      <c r="BD203" s="951">
        <f>IF('II. Inputs, Baseline Energy Mix'!$R$19=0,0,'II. Inputs, Baseline Energy Mix'!$R$105*'II. Inputs, Baseline Energy Mix'!$R$20*BD201)</f>
        <v>0</v>
      </c>
      <c r="BE203" s="952">
        <f>IF('II. Inputs, Baseline Energy Mix'!$R$19=0,0,'II. Inputs, Baseline Energy Mix'!$R$105*'II. Inputs, Baseline Energy Mix'!$R$20*BE201)</f>
        <v>0</v>
      </c>
      <c r="BF203" s="695"/>
    </row>
    <row r="204" spans="1:58" x14ac:dyDescent="0.45">
      <c r="A204" s="695"/>
      <c r="B204" s="946"/>
      <c r="C204" s="947"/>
      <c r="D204" s="947"/>
      <c r="E204" s="950"/>
      <c r="F204" s="947"/>
      <c r="G204" s="947"/>
      <c r="H204" s="947"/>
      <c r="I204" s="947"/>
      <c r="J204" s="947"/>
      <c r="K204" s="947"/>
      <c r="L204" s="947"/>
      <c r="M204" s="947"/>
      <c r="N204" s="947"/>
      <c r="O204" s="947"/>
      <c r="P204" s="947"/>
      <c r="Q204" s="947"/>
      <c r="R204" s="947"/>
      <c r="S204" s="947"/>
      <c r="T204" s="947"/>
      <c r="U204" s="947"/>
      <c r="V204" s="947"/>
      <c r="W204" s="947"/>
      <c r="X204" s="947"/>
      <c r="Y204" s="947"/>
      <c r="Z204" s="947"/>
      <c r="AA204" s="947"/>
      <c r="AB204" s="947"/>
      <c r="AC204" s="947"/>
      <c r="AD204" s="947"/>
      <c r="AE204" s="947"/>
      <c r="AF204" s="947"/>
      <c r="AG204" s="947"/>
      <c r="AH204" s="947"/>
      <c r="AI204" s="947"/>
      <c r="AJ204" s="947"/>
      <c r="AK204" s="947"/>
      <c r="AL204" s="947"/>
      <c r="AM204" s="947"/>
      <c r="AN204" s="947"/>
      <c r="AO204" s="947"/>
      <c r="AP204" s="947"/>
      <c r="AQ204" s="947"/>
      <c r="AR204" s="947"/>
      <c r="AS204" s="947"/>
      <c r="AT204" s="947"/>
      <c r="AU204" s="947"/>
      <c r="AV204" s="947"/>
      <c r="AW204" s="947"/>
      <c r="AX204" s="947"/>
      <c r="AY204" s="947"/>
      <c r="AZ204" s="947"/>
      <c r="BA204" s="947"/>
      <c r="BB204" s="947"/>
      <c r="BC204" s="947"/>
      <c r="BD204" s="947"/>
      <c r="BE204" s="948"/>
      <c r="BF204" s="695"/>
    </row>
    <row r="205" spans="1:58" ht="13.15" x14ac:dyDescent="0.45">
      <c r="A205" s="695"/>
      <c r="B205" s="953" t="s">
        <v>87</v>
      </c>
      <c r="C205" s="954"/>
      <c r="D205" s="954"/>
      <c r="E205" s="955"/>
      <c r="F205" s="955"/>
      <c r="G205" s="955"/>
      <c r="H205" s="955"/>
      <c r="I205" s="955"/>
      <c r="J205" s="955"/>
      <c r="K205" s="955"/>
      <c r="L205" s="955"/>
      <c r="M205" s="955"/>
      <c r="N205" s="955"/>
      <c r="O205" s="955"/>
      <c r="P205" s="955"/>
      <c r="Q205" s="955"/>
      <c r="R205" s="955"/>
      <c r="S205" s="955"/>
      <c r="T205" s="955"/>
      <c r="U205" s="955"/>
      <c r="V205" s="955"/>
      <c r="W205" s="955"/>
      <c r="X205" s="955"/>
      <c r="Y205" s="955"/>
      <c r="Z205" s="955"/>
      <c r="AA205" s="955"/>
      <c r="AB205" s="955"/>
      <c r="AC205" s="955"/>
      <c r="AD205" s="955"/>
      <c r="AE205" s="955"/>
      <c r="AF205" s="955"/>
      <c r="AG205" s="955"/>
      <c r="AH205" s="955"/>
      <c r="AI205" s="955"/>
      <c r="AJ205" s="955"/>
      <c r="AK205" s="955"/>
      <c r="AL205" s="955"/>
      <c r="AM205" s="955"/>
      <c r="AN205" s="955"/>
      <c r="AO205" s="955"/>
      <c r="AP205" s="955"/>
      <c r="AQ205" s="955"/>
      <c r="AR205" s="955"/>
      <c r="AS205" s="955"/>
      <c r="AT205" s="955"/>
      <c r="AU205" s="955"/>
      <c r="AV205" s="955"/>
      <c r="AW205" s="955"/>
      <c r="AX205" s="955"/>
      <c r="AY205" s="955"/>
      <c r="AZ205" s="955"/>
      <c r="BA205" s="955"/>
      <c r="BB205" s="955"/>
      <c r="BC205" s="955"/>
      <c r="BD205" s="955"/>
      <c r="BE205" s="956"/>
      <c r="BF205" s="695"/>
    </row>
    <row r="206" spans="1:58" x14ac:dyDescent="0.45">
      <c r="A206" s="695"/>
      <c r="B206" s="946"/>
      <c r="C206" s="947"/>
      <c r="D206" s="947"/>
      <c r="E206" s="950"/>
      <c r="F206" s="947"/>
      <c r="G206" s="947"/>
      <c r="H206" s="947"/>
      <c r="I206" s="947"/>
      <c r="J206" s="947"/>
      <c r="K206" s="947"/>
      <c r="L206" s="947"/>
      <c r="M206" s="947"/>
      <c r="N206" s="947"/>
      <c r="O206" s="947"/>
      <c r="P206" s="947"/>
      <c r="Q206" s="947"/>
      <c r="R206" s="947"/>
      <c r="S206" s="947"/>
      <c r="T206" s="947"/>
      <c r="U206" s="947"/>
      <c r="V206" s="947"/>
      <c r="W206" s="947"/>
      <c r="X206" s="947"/>
      <c r="Y206" s="947"/>
      <c r="Z206" s="947"/>
      <c r="AA206" s="947"/>
      <c r="AB206" s="947"/>
      <c r="AC206" s="947"/>
      <c r="AD206" s="947"/>
      <c r="AE206" s="947"/>
      <c r="AF206" s="947"/>
      <c r="AG206" s="947"/>
      <c r="AH206" s="947"/>
      <c r="AI206" s="947"/>
      <c r="AJ206" s="947"/>
      <c r="AK206" s="947"/>
      <c r="AL206" s="947"/>
      <c r="AM206" s="947"/>
      <c r="AN206" s="947"/>
      <c r="AO206" s="947"/>
      <c r="AP206" s="947"/>
      <c r="AQ206" s="947"/>
      <c r="AR206" s="947"/>
      <c r="AS206" s="947"/>
      <c r="AT206" s="947"/>
      <c r="AU206" s="947"/>
      <c r="AV206" s="947"/>
      <c r="AW206" s="947"/>
      <c r="AX206" s="947"/>
      <c r="AY206" s="947"/>
      <c r="AZ206" s="947"/>
      <c r="BA206" s="947"/>
      <c r="BB206" s="947"/>
      <c r="BC206" s="947"/>
      <c r="BD206" s="947"/>
      <c r="BE206" s="948"/>
      <c r="BF206" s="695"/>
    </row>
    <row r="207" spans="1:58" x14ac:dyDescent="0.45">
      <c r="A207" s="695"/>
      <c r="B207" s="946" t="s">
        <v>123</v>
      </c>
      <c r="C207" s="947"/>
      <c r="D207" s="947"/>
      <c r="E207" s="950"/>
      <c r="F207" s="950" t="s">
        <v>748</v>
      </c>
      <c r="G207" s="947"/>
      <c r="H207" s="1572">
        <f>IF('II. Inputs, Baseline Energy Mix'!$R$19=0,0,H201*'II. Inputs, Baseline Energy Mix'!$R$118*(1+'II. Inputs, Baseline Energy Mix'!$R$119)^('IV. LCOE, Baseline Energy Mix'!H$13-1))</f>
        <v>0</v>
      </c>
      <c r="I207" s="1572">
        <f>IF('II. Inputs, Baseline Energy Mix'!$R$19=0,0,I201*'II. Inputs, Baseline Energy Mix'!$R$118*(1+'II. Inputs, Baseline Energy Mix'!$R$119)^('IV. LCOE, Baseline Energy Mix'!I$13-1))</f>
        <v>0</v>
      </c>
      <c r="J207" s="1572">
        <f>IF('II. Inputs, Baseline Energy Mix'!$R$19=0,0,J201*'II. Inputs, Baseline Energy Mix'!$R$118*(1+'II. Inputs, Baseline Energy Mix'!$R$119)^('IV. LCOE, Baseline Energy Mix'!J$13-1))</f>
        <v>0</v>
      </c>
      <c r="K207" s="1572">
        <f>IF('II. Inputs, Baseline Energy Mix'!$R$19=0,0,K201*'II. Inputs, Baseline Energy Mix'!$R$118*(1+'II. Inputs, Baseline Energy Mix'!$R$119)^('IV. LCOE, Baseline Energy Mix'!K$13-1))</f>
        <v>0</v>
      </c>
      <c r="L207" s="1572">
        <f>IF('II. Inputs, Baseline Energy Mix'!$R$19=0,0,L201*'II. Inputs, Baseline Energy Mix'!$R$118*(1+'II. Inputs, Baseline Energy Mix'!$R$119)^('IV. LCOE, Baseline Energy Mix'!L$13-1))</f>
        <v>0</v>
      </c>
      <c r="M207" s="1572">
        <f>IF('II. Inputs, Baseline Energy Mix'!$R$19=0,0,M201*'II. Inputs, Baseline Energy Mix'!$R$118*(1+'II. Inputs, Baseline Energy Mix'!$R$119)^('IV. LCOE, Baseline Energy Mix'!M$13-1))</f>
        <v>0</v>
      </c>
      <c r="N207" s="1572">
        <f>IF('II. Inputs, Baseline Energy Mix'!$R$19=0,0,N201*'II. Inputs, Baseline Energy Mix'!$R$118*(1+'II. Inputs, Baseline Energy Mix'!$R$119)^('IV. LCOE, Baseline Energy Mix'!N$13-1))</f>
        <v>0</v>
      </c>
      <c r="O207" s="1572">
        <f>IF('II. Inputs, Baseline Energy Mix'!$R$19=0,0,O201*'II. Inputs, Baseline Energy Mix'!$R$118*(1+'II. Inputs, Baseline Energy Mix'!$R$119)^('IV. LCOE, Baseline Energy Mix'!O$13-1))</f>
        <v>0</v>
      </c>
      <c r="P207" s="1572">
        <f>IF('II. Inputs, Baseline Energy Mix'!$R$19=0,0,P201*'II. Inputs, Baseline Energy Mix'!$R$118*(1+'II. Inputs, Baseline Energy Mix'!$R$119)^('IV. LCOE, Baseline Energy Mix'!P$13-1))</f>
        <v>0</v>
      </c>
      <c r="Q207" s="1572">
        <f>IF('II. Inputs, Baseline Energy Mix'!$R$19=0,0,Q201*'II. Inputs, Baseline Energy Mix'!$R$118*(1+'II. Inputs, Baseline Energy Mix'!$R$119)^('IV. LCOE, Baseline Energy Mix'!Q$13-1))</f>
        <v>0</v>
      </c>
      <c r="R207" s="1572">
        <f>IF('II. Inputs, Baseline Energy Mix'!$R$19=0,0,R201*'II. Inputs, Baseline Energy Mix'!$R$118*(1+'II. Inputs, Baseline Energy Mix'!$R$119)^('IV. LCOE, Baseline Energy Mix'!R$13-1))</f>
        <v>0</v>
      </c>
      <c r="S207" s="1572">
        <f>IF('II. Inputs, Baseline Energy Mix'!$R$19=0,0,S201*'II. Inputs, Baseline Energy Mix'!$R$118*(1+'II. Inputs, Baseline Energy Mix'!$R$119)^('IV. LCOE, Baseline Energy Mix'!S$13-1))</f>
        <v>0</v>
      </c>
      <c r="T207" s="1572">
        <f>IF('II. Inputs, Baseline Energy Mix'!$R$19=0,0,T201*'II. Inputs, Baseline Energy Mix'!$R$118*(1+'II. Inputs, Baseline Energy Mix'!$R$119)^('IV. LCOE, Baseline Energy Mix'!T$13-1))</f>
        <v>0</v>
      </c>
      <c r="U207" s="1572">
        <f>IF('II. Inputs, Baseline Energy Mix'!$R$19=0,0,U201*'II. Inputs, Baseline Energy Mix'!$R$118*(1+'II. Inputs, Baseline Energy Mix'!$R$119)^('IV. LCOE, Baseline Energy Mix'!U$13-1))</f>
        <v>0</v>
      </c>
      <c r="V207" s="1572">
        <f>IF('II. Inputs, Baseline Energy Mix'!$R$19=0,0,V201*'II. Inputs, Baseline Energy Mix'!$R$118*(1+'II. Inputs, Baseline Energy Mix'!$R$119)^('IV. LCOE, Baseline Energy Mix'!V$13-1))</f>
        <v>0</v>
      </c>
      <c r="W207" s="1572">
        <f>IF('II. Inputs, Baseline Energy Mix'!$R$19=0,0,W201*'II. Inputs, Baseline Energy Mix'!$R$118*(1+'II. Inputs, Baseline Energy Mix'!$R$119)^('IV. LCOE, Baseline Energy Mix'!W$13-1))</f>
        <v>0</v>
      </c>
      <c r="X207" s="1572">
        <f>IF('II. Inputs, Baseline Energy Mix'!$R$19=0,0,X201*'II. Inputs, Baseline Energy Mix'!$R$118*(1+'II. Inputs, Baseline Energy Mix'!$R$119)^('IV. LCOE, Baseline Energy Mix'!X$13-1))</f>
        <v>0</v>
      </c>
      <c r="Y207" s="1572">
        <f>IF('II. Inputs, Baseline Energy Mix'!$R$19=0,0,Y201*'II. Inputs, Baseline Energy Mix'!$R$118*(1+'II. Inputs, Baseline Energy Mix'!$R$119)^('IV. LCOE, Baseline Energy Mix'!Y$13-1))</f>
        <v>0</v>
      </c>
      <c r="Z207" s="1572">
        <f>IF('II. Inputs, Baseline Energy Mix'!$R$19=0,0,Z201*'II. Inputs, Baseline Energy Mix'!$R$118*(1+'II. Inputs, Baseline Energy Mix'!$R$119)^('IV. LCOE, Baseline Energy Mix'!Z$13-1))</f>
        <v>0</v>
      </c>
      <c r="AA207" s="1572">
        <f>IF('II. Inputs, Baseline Energy Mix'!$R$19=0,0,AA201*'II. Inputs, Baseline Energy Mix'!$R$118*(1+'II. Inputs, Baseline Energy Mix'!$R$119)^('IV. LCOE, Baseline Energy Mix'!AA$13-1))</f>
        <v>0</v>
      </c>
      <c r="AB207" s="1572">
        <f>IF('II. Inputs, Baseline Energy Mix'!$R$19=0,0,AB201*'II. Inputs, Baseline Energy Mix'!$R$118*(1+'II. Inputs, Baseline Energy Mix'!$R$119)^('IV. LCOE, Baseline Energy Mix'!AB$13-1))</f>
        <v>0</v>
      </c>
      <c r="AC207" s="1572">
        <f>IF('II. Inputs, Baseline Energy Mix'!$R$19=0,0,AC201*'II. Inputs, Baseline Energy Mix'!$R$118*(1+'II. Inputs, Baseline Energy Mix'!$R$119)^('IV. LCOE, Baseline Energy Mix'!AC$13-1))</f>
        <v>0</v>
      </c>
      <c r="AD207" s="1572">
        <f>IF('II. Inputs, Baseline Energy Mix'!$R$19=0,0,AD201*'II. Inputs, Baseline Energy Mix'!$R$118*(1+'II. Inputs, Baseline Energy Mix'!$R$119)^('IV. LCOE, Baseline Energy Mix'!AD$13-1))</f>
        <v>0</v>
      </c>
      <c r="AE207" s="1572">
        <f>IF('II. Inputs, Baseline Energy Mix'!$R$19=0,0,AE201*'II. Inputs, Baseline Energy Mix'!$R$118*(1+'II. Inputs, Baseline Energy Mix'!$R$119)^('IV. LCOE, Baseline Energy Mix'!AE$13-1))</f>
        <v>0</v>
      </c>
      <c r="AF207" s="1572">
        <f>IF('II. Inputs, Baseline Energy Mix'!$R$19=0,0,AF201*'II. Inputs, Baseline Energy Mix'!$R$118*(1+'II. Inputs, Baseline Energy Mix'!$R$119)^('IV. LCOE, Baseline Energy Mix'!AF$13-1))</f>
        <v>0</v>
      </c>
      <c r="AG207" s="1572">
        <f>IF('II. Inputs, Baseline Energy Mix'!$R$19=0,0,AG201*'II. Inputs, Baseline Energy Mix'!$R$118*(1+'II. Inputs, Baseline Energy Mix'!$R$119)^('IV. LCOE, Baseline Energy Mix'!AG$13-1))</f>
        <v>0</v>
      </c>
      <c r="AH207" s="1572">
        <f>IF('II. Inputs, Baseline Energy Mix'!$R$19=0,0,AH201*'II. Inputs, Baseline Energy Mix'!$R$118*(1+'II. Inputs, Baseline Energy Mix'!$R$119)^('IV. LCOE, Baseline Energy Mix'!AH$13-1))</f>
        <v>0</v>
      </c>
      <c r="AI207" s="1572">
        <f>IF('II. Inputs, Baseline Energy Mix'!$R$19=0,0,AI201*'II. Inputs, Baseline Energy Mix'!$R$118*(1+'II. Inputs, Baseline Energy Mix'!$R$119)^('IV. LCOE, Baseline Energy Mix'!AI$13-1))</f>
        <v>0</v>
      </c>
      <c r="AJ207" s="1572">
        <f>IF('II. Inputs, Baseline Energy Mix'!$R$19=0,0,AJ201*'II. Inputs, Baseline Energy Mix'!$R$118*(1+'II. Inputs, Baseline Energy Mix'!$R$119)^('IV. LCOE, Baseline Energy Mix'!AJ$13-1))</f>
        <v>0</v>
      </c>
      <c r="AK207" s="1572">
        <f>IF('II. Inputs, Baseline Energy Mix'!$R$19=0,0,AK201*'II. Inputs, Baseline Energy Mix'!$R$118*(1+'II. Inputs, Baseline Energy Mix'!$R$119)^('IV. LCOE, Baseline Energy Mix'!AK$13-1))</f>
        <v>0</v>
      </c>
      <c r="AL207" s="1572">
        <f>IF('II. Inputs, Baseline Energy Mix'!$R$19=0,0,AL201*'II. Inputs, Baseline Energy Mix'!$R$118*(1+'II. Inputs, Baseline Energy Mix'!$R$119)^('IV. LCOE, Baseline Energy Mix'!AL$13-1))</f>
        <v>0</v>
      </c>
      <c r="AM207" s="1572">
        <f>IF('II. Inputs, Baseline Energy Mix'!$R$19=0,0,AM201*'II. Inputs, Baseline Energy Mix'!$R$118*(1+'II. Inputs, Baseline Energy Mix'!$R$119)^('IV. LCOE, Baseline Energy Mix'!AM$13-1))</f>
        <v>0</v>
      </c>
      <c r="AN207" s="1572">
        <f>IF('II. Inputs, Baseline Energy Mix'!$R$19=0,0,AN201*'II. Inputs, Baseline Energy Mix'!$R$118*(1+'II. Inputs, Baseline Energy Mix'!$R$119)^('IV. LCOE, Baseline Energy Mix'!AN$13-1))</f>
        <v>0</v>
      </c>
      <c r="AO207" s="1572">
        <f>IF('II. Inputs, Baseline Energy Mix'!$R$19=0,0,AO201*'II. Inputs, Baseline Energy Mix'!$R$118*(1+'II. Inputs, Baseline Energy Mix'!$R$119)^('IV. LCOE, Baseline Energy Mix'!AO$13-1))</f>
        <v>0</v>
      </c>
      <c r="AP207" s="1572">
        <f>IF('II. Inputs, Baseline Energy Mix'!$R$19=0,0,AP201*'II. Inputs, Baseline Energy Mix'!$R$118*(1+'II. Inputs, Baseline Energy Mix'!$R$119)^('IV. LCOE, Baseline Energy Mix'!AP$13-1))</f>
        <v>0</v>
      </c>
      <c r="AQ207" s="1572">
        <f>IF('II. Inputs, Baseline Energy Mix'!$R$19=0,0,AQ201*'II. Inputs, Baseline Energy Mix'!$R$118*(1+'II. Inputs, Baseline Energy Mix'!$R$119)^('IV. LCOE, Baseline Energy Mix'!AQ$13-1))</f>
        <v>0</v>
      </c>
      <c r="AR207" s="1572">
        <f>IF('II. Inputs, Baseline Energy Mix'!$R$19=0,0,AR201*'II. Inputs, Baseline Energy Mix'!$R$118*(1+'II. Inputs, Baseline Energy Mix'!$R$119)^('IV. LCOE, Baseline Energy Mix'!AR$13-1))</f>
        <v>0</v>
      </c>
      <c r="AS207" s="1572">
        <f>IF('II. Inputs, Baseline Energy Mix'!$R$19=0,0,AS201*'II. Inputs, Baseline Energy Mix'!$R$118*(1+'II. Inputs, Baseline Energy Mix'!$R$119)^('IV. LCOE, Baseline Energy Mix'!AS$13-1))</f>
        <v>0</v>
      </c>
      <c r="AT207" s="1572">
        <f>IF('II. Inputs, Baseline Energy Mix'!$R$19=0,0,AT201*'II. Inputs, Baseline Energy Mix'!$R$118*(1+'II. Inputs, Baseline Energy Mix'!$R$119)^('IV. LCOE, Baseline Energy Mix'!AT$13-1))</f>
        <v>0</v>
      </c>
      <c r="AU207" s="1572">
        <f>IF('II. Inputs, Baseline Energy Mix'!$R$19=0,0,AU201*'II. Inputs, Baseline Energy Mix'!$R$118*(1+'II. Inputs, Baseline Energy Mix'!$R$119)^('IV. LCOE, Baseline Energy Mix'!AU$13-1))</f>
        <v>0</v>
      </c>
      <c r="AV207" s="1572">
        <f>IF('II. Inputs, Baseline Energy Mix'!$R$19=0,0,AV201*'II. Inputs, Baseline Energy Mix'!$R$118*(1+'II. Inputs, Baseline Energy Mix'!$R$119)^('IV. LCOE, Baseline Energy Mix'!AV$13-1))</f>
        <v>0</v>
      </c>
      <c r="AW207" s="1572">
        <f>IF('II. Inputs, Baseline Energy Mix'!$R$19=0,0,AW201*'II. Inputs, Baseline Energy Mix'!$R$118*(1+'II. Inputs, Baseline Energy Mix'!$R$119)^('IV. LCOE, Baseline Energy Mix'!AW$13-1))</f>
        <v>0</v>
      </c>
      <c r="AX207" s="1572">
        <f>IF('II. Inputs, Baseline Energy Mix'!$R$19=0,0,AX201*'II. Inputs, Baseline Energy Mix'!$R$118*(1+'II. Inputs, Baseline Energy Mix'!$R$119)^('IV. LCOE, Baseline Energy Mix'!AX$13-1))</f>
        <v>0</v>
      </c>
      <c r="AY207" s="1572">
        <f>IF('II. Inputs, Baseline Energy Mix'!$R$19=0,0,AY201*'II. Inputs, Baseline Energy Mix'!$R$118*(1+'II. Inputs, Baseline Energy Mix'!$R$119)^('IV. LCOE, Baseline Energy Mix'!AY$13-1))</f>
        <v>0</v>
      </c>
      <c r="AZ207" s="1572">
        <f>IF('II. Inputs, Baseline Energy Mix'!$R$19=0,0,AZ201*'II. Inputs, Baseline Energy Mix'!$R$118*(1+'II. Inputs, Baseline Energy Mix'!$R$119)^('IV. LCOE, Baseline Energy Mix'!AZ$13-1))</f>
        <v>0</v>
      </c>
      <c r="BA207" s="1572">
        <f>IF('II. Inputs, Baseline Energy Mix'!$R$19=0,0,BA201*'II. Inputs, Baseline Energy Mix'!$R$118*(1+'II. Inputs, Baseline Energy Mix'!$R$119)^('IV. LCOE, Baseline Energy Mix'!BA$13-1))</f>
        <v>0</v>
      </c>
      <c r="BB207" s="1572">
        <f>IF('II. Inputs, Baseline Energy Mix'!$R$19=0,0,BB201*'II. Inputs, Baseline Energy Mix'!$R$118*(1+'II. Inputs, Baseline Energy Mix'!$R$119)^('IV. LCOE, Baseline Energy Mix'!BB$13-1))</f>
        <v>0</v>
      </c>
      <c r="BC207" s="1572">
        <f>IF('II. Inputs, Baseline Energy Mix'!$R$19=0,0,BC201*'II. Inputs, Baseline Energy Mix'!$R$118*(1+'II. Inputs, Baseline Energy Mix'!$R$119)^('IV. LCOE, Baseline Energy Mix'!BC$13-1))</f>
        <v>0</v>
      </c>
      <c r="BD207" s="1572">
        <f>IF('II. Inputs, Baseline Energy Mix'!$R$19=0,0,BD201*'II. Inputs, Baseline Energy Mix'!$R$118*(1+'II. Inputs, Baseline Energy Mix'!$R$119)^('IV. LCOE, Baseline Energy Mix'!BD$13-1))</f>
        <v>0</v>
      </c>
      <c r="BE207" s="1573">
        <f>IF('II. Inputs, Baseline Energy Mix'!$R$19=0,0,BE201*'II. Inputs, Baseline Energy Mix'!$R$118*(1+'II. Inputs, Baseline Energy Mix'!$R$119)^('IV. LCOE, Baseline Energy Mix'!BE$13-1))</f>
        <v>0</v>
      </c>
      <c r="BF207" s="695"/>
    </row>
    <row r="208" spans="1:58" x14ac:dyDescent="0.45">
      <c r="A208" s="695"/>
      <c r="B208" s="946"/>
      <c r="C208" s="947"/>
      <c r="D208" s="947"/>
      <c r="E208" s="950"/>
      <c r="F208" s="950"/>
      <c r="G208" s="947"/>
      <c r="H208" s="957"/>
      <c r="I208" s="957"/>
      <c r="J208" s="957"/>
      <c r="K208" s="957"/>
      <c r="L208" s="957"/>
      <c r="M208" s="957"/>
      <c r="N208" s="957"/>
      <c r="O208" s="957"/>
      <c r="P208" s="957"/>
      <c r="Q208" s="957"/>
      <c r="R208" s="957"/>
      <c r="S208" s="957"/>
      <c r="T208" s="957"/>
      <c r="U208" s="957"/>
      <c r="V208" s="957"/>
      <c r="W208" s="957"/>
      <c r="X208" s="957"/>
      <c r="Y208" s="957"/>
      <c r="Z208" s="957"/>
      <c r="AA208" s="957"/>
      <c r="AB208" s="957"/>
      <c r="AC208" s="957"/>
      <c r="AD208" s="957"/>
      <c r="AE208" s="957"/>
      <c r="AF208" s="957"/>
      <c r="AG208" s="957"/>
      <c r="AH208" s="957"/>
      <c r="AI208" s="957"/>
      <c r="AJ208" s="957"/>
      <c r="AK208" s="957"/>
      <c r="AL208" s="957"/>
      <c r="AM208" s="957"/>
      <c r="AN208" s="957"/>
      <c r="AO208" s="957"/>
      <c r="AP208" s="957"/>
      <c r="AQ208" s="957"/>
      <c r="AR208" s="957"/>
      <c r="AS208" s="957"/>
      <c r="AT208" s="957"/>
      <c r="AU208" s="957"/>
      <c r="AV208" s="957"/>
      <c r="AW208" s="957"/>
      <c r="AX208" s="957"/>
      <c r="AY208" s="957"/>
      <c r="AZ208" s="957"/>
      <c r="BA208" s="957"/>
      <c r="BB208" s="957"/>
      <c r="BC208" s="957"/>
      <c r="BD208" s="957"/>
      <c r="BE208" s="958"/>
      <c r="BF208" s="695"/>
    </row>
    <row r="209" spans="1:58" x14ac:dyDescent="0.45">
      <c r="A209" s="695"/>
      <c r="B209" s="946" t="s">
        <v>33</v>
      </c>
      <c r="C209" s="947"/>
      <c r="D209" s="947"/>
      <c r="E209" s="950"/>
      <c r="F209" s="950" t="s">
        <v>749</v>
      </c>
      <c r="G209" s="947"/>
      <c r="H209" s="1788">
        <f>IF('II. Inputs, Baseline Energy Mix'!$R$109="User-defined, annually adjusted",H210,IF('II. Inputs, Baseline Energy Mix'!$R$109="Manual Entry",H212,H211))</f>
        <v>0</v>
      </c>
      <c r="I209" s="1788">
        <f>IF('II. Inputs, Baseline Energy Mix'!$R$109="User-defined, annually adjusted",I210,IF('II. Inputs, Baseline Energy Mix'!$R$109="Manual Entry",I212,I211))</f>
        <v>0</v>
      </c>
      <c r="J209" s="1788">
        <f>IF('II. Inputs, Baseline Energy Mix'!$R$109="User-defined, annually adjusted",J210,IF('II. Inputs, Baseline Energy Mix'!$R$109="Manual Entry",J212,J211))</f>
        <v>0</v>
      </c>
      <c r="K209" s="1788">
        <f>IF('II. Inputs, Baseline Energy Mix'!$R$109="User-defined, annually adjusted",K210,IF('II. Inputs, Baseline Energy Mix'!$R$109="Manual Entry",K212,K211))</f>
        <v>0</v>
      </c>
      <c r="L209" s="1788">
        <f>IF('II. Inputs, Baseline Energy Mix'!$R$109="User-defined, annually adjusted",L210,IF('II. Inputs, Baseline Energy Mix'!$R$109="Manual Entry",L212,L211))</f>
        <v>0</v>
      </c>
      <c r="M209" s="1788">
        <f>IF('II. Inputs, Baseline Energy Mix'!$R$109="User-defined, annually adjusted",M210,IF('II. Inputs, Baseline Energy Mix'!$R$109="Manual Entry",M212,M211))</f>
        <v>0</v>
      </c>
      <c r="N209" s="1788">
        <f>IF('II. Inputs, Baseline Energy Mix'!$R$109="User-defined, annually adjusted",N210,IF('II. Inputs, Baseline Energy Mix'!$R$109="Manual Entry",N212,N211))</f>
        <v>0</v>
      </c>
      <c r="O209" s="1788">
        <f>IF('II. Inputs, Baseline Energy Mix'!$R$109="User-defined, annually adjusted",O210,IF('II. Inputs, Baseline Energy Mix'!$R$109="Manual Entry",O212,O211))</f>
        <v>0</v>
      </c>
      <c r="P209" s="1788">
        <f>IF('II. Inputs, Baseline Energy Mix'!$R$109="User-defined, annually adjusted",P210,IF('II. Inputs, Baseline Energy Mix'!$R$109="Manual Entry",P212,P211))</f>
        <v>0</v>
      </c>
      <c r="Q209" s="1788">
        <f>IF('II. Inputs, Baseline Energy Mix'!$R$109="User-defined, annually adjusted",Q210,IF('II. Inputs, Baseline Energy Mix'!$R$109="Manual Entry",Q212,Q211))</f>
        <v>0</v>
      </c>
      <c r="R209" s="1788">
        <f>IF('II. Inputs, Baseline Energy Mix'!$R$109="User-defined, annually adjusted",R210,IF('II. Inputs, Baseline Energy Mix'!$R$109="Manual Entry",R212,R211))</f>
        <v>0</v>
      </c>
      <c r="S209" s="1788">
        <f>IF('II. Inputs, Baseline Energy Mix'!$R$109="User-defined, annually adjusted",S210,IF('II. Inputs, Baseline Energy Mix'!$R$109="Manual Entry",S212,S211))</f>
        <v>0</v>
      </c>
      <c r="T209" s="1788">
        <f>IF('II. Inputs, Baseline Energy Mix'!$R$109="User-defined, annually adjusted",T210,IF('II. Inputs, Baseline Energy Mix'!$R$109="Manual Entry",T212,T211))</f>
        <v>0</v>
      </c>
      <c r="U209" s="1788">
        <f>IF('II. Inputs, Baseline Energy Mix'!$R$109="User-defined, annually adjusted",U210,IF('II. Inputs, Baseline Energy Mix'!$R$109="Manual Entry",U212,U211))</f>
        <v>0</v>
      </c>
      <c r="V209" s="1788">
        <f>IF('II. Inputs, Baseline Energy Mix'!$R$109="User-defined, annually adjusted",V210,IF('II. Inputs, Baseline Energy Mix'!$R$109="Manual Entry",V212,V211))</f>
        <v>0</v>
      </c>
      <c r="W209" s="1788">
        <f>IF('II. Inputs, Baseline Energy Mix'!$R$109="User-defined, annually adjusted",W210,IF('II. Inputs, Baseline Energy Mix'!$R$109="Manual Entry",W212,W211))</f>
        <v>0</v>
      </c>
      <c r="X209" s="1788">
        <f>IF('II. Inputs, Baseline Energy Mix'!$R$109="User-defined, annually adjusted",X210,IF('II. Inputs, Baseline Energy Mix'!$R$109="Manual Entry",X212,X211))</f>
        <v>0</v>
      </c>
      <c r="Y209" s="1788">
        <f>IF('II. Inputs, Baseline Energy Mix'!$R$109="User-defined, annually adjusted",Y210,IF('II. Inputs, Baseline Energy Mix'!$R$109="Manual Entry",Y212,Y211))</f>
        <v>0</v>
      </c>
      <c r="Z209" s="1788">
        <f>IF('II. Inputs, Baseline Energy Mix'!$R$109="User-defined, annually adjusted",Z210,IF('II. Inputs, Baseline Energy Mix'!$R$109="Manual Entry",Z212,Z211))</f>
        <v>0</v>
      </c>
      <c r="AA209" s="1788">
        <f>IF('II. Inputs, Baseline Energy Mix'!$R$109="User-defined, annually adjusted",AA210,IF('II. Inputs, Baseline Energy Mix'!$R$109="Manual Entry",AA212,AA211))</f>
        <v>0</v>
      </c>
      <c r="AB209" s="1788">
        <f>IF('II. Inputs, Baseline Energy Mix'!$R$109="User-defined, annually adjusted",AB210,IF('II. Inputs, Baseline Energy Mix'!$R$109="Manual Entry",AB212,AB211))</f>
        <v>0</v>
      </c>
      <c r="AC209" s="1788">
        <f>IF('II. Inputs, Baseline Energy Mix'!$R$109="User-defined, annually adjusted",AC210,IF('II. Inputs, Baseline Energy Mix'!$R$109="Manual Entry",AC212,AC211))</f>
        <v>0</v>
      </c>
      <c r="AD209" s="1788">
        <f>IF('II. Inputs, Baseline Energy Mix'!$R$109="User-defined, annually adjusted",AD210,IF('II. Inputs, Baseline Energy Mix'!$R$109="Manual Entry",AD212,AD211))</f>
        <v>0</v>
      </c>
      <c r="AE209" s="1788">
        <f>IF('II. Inputs, Baseline Energy Mix'!$R$109="User-defined, annually adjusted",AE210,IF('II. Inputs, Baseline Energy Mix'!$R$109="Manual Entry",AE212,AE211))</f>
        <v>0</v>
      </c>
      <c r="AF209" s="1788">
        <f>IF('II. Inputs, Baseline Energy Mix'!$R$109="User-defined, annually adjusted",AF210,IF('II. Inputs, Baseline Energy Mix'!$R$109="Manual Entry",AF212,AF211))</f>
        <v>0</v>
      </c>
      <c r="AG209" s="1788">
        <f>IF('II. Inputs, Baseline Energy Mix'!$R$109="User-defined, annually adjusted",AG210,IF('II. Inputs, Baseline Energy Mix'!$R$109="Manual Entry",AG212,AG211))</f>
        <v>0</v>
      </c>
      <c r="AH209" s="1788">
        <f>IF('II. Inputs, Baseline Energy Mix'!$R$109="User-defined, annually adjusted",AH210,IF('II. Inputs, Baseline Energy Mix'!$R$109="Manual Entry",AH212,AH211))</f>
        <v>0</v>
      </c>
      <c r="AI209" s="1788">
        <f>IF('II. Inputs, Baseline Energy Mix'!$R$109="User-defined, annually adjusted",AI210,IF('II. Inputs, Baseline Energy Mix'!$R$109="Manual Entry",AI212,AI211))</f>
        <v>0</v>
      </c>
      <c r="AJ209" s="1788">
        <f>IF('II. Inputs, Baseline Energy Mix'!$R$109="User-defined, annually adjusted",AJ210,IF('II. Inputs, Baseline Energy Mix'!$R$109="Manual Entry",AJ212,AJ211))</f>
        <v>0</v>
      </c>
      <c r="AK209" s="1788">
        <f>IF('II. Inputs, Baseline Energy Mix'!$R$109="User-defined, annually adjusted",AK210,IF('II. Inputs, Baseline Energy Mix'!$R$109="Manual Entry",AK212,AK211))</f>
        <v>0</v>
      </c>
      <c r="AL209" s="1788">
        <f>IF('II. Inputs, Baseline Energy Mix'!$R$109="User-defined, annually adjusted",AL210,IF('II. Inputs, Baseline Energy Mix'!$R$109="Manual Entry",AL212,AL211))</f>
        <v>0</v>
      </c>
      <c r="AM209" s="1788">
        <f>IF('II. Inputs, Baseline Energy Mix'!$R$109="User-defined, annually adjusted",AM210,IF('II. Inputs, Baseline Energy Mix'!$R$109="Manual Entry",AM212,AM211))</f>
        <v>0</v>
      </c>
      <c r="AN209" s="1788">
        <f>IF('II. Inputs, Baseline Energy Mix'!$R$109="User-defined, annually adjusted",AN210,IF('II. Inputs, Baseline Energy Mix'!$R$109="Manual Entry",AN212,AN211))</f>
        <v>0</v>
      </c>
      <c r="AO209" s="1788">
        <f>IF('II. Inputs, Baseline Energy Mix'!$R$109="User-defined, annually adjusted",AO210,IF('II. Inputs, Baseline Energy Mix'!$R$109="Manual Entry",AO212,AO211))</f>
        <v>0</v>
      </c>
      <c r="AP209" s="1788">
        <f>IF('II. Inputs, Baseline Energy Mix'!$R$109="User-defined, annually adjusted",AP210,IF('II. Inputs, Baseline Energy Mix'!$R$109="Manual Entry",AP212,AP211))</f>
        <v>0</v>
      </c>
      <c r="AQ209" s="1788">
        <f>IF('II. Inputs, Baseline Energy Mix'!$R$109="User-defined, annually adjusted",AQ210,IF('II. Inputs, Baseline Energy Mix'!$R$109="Manual Entry",AQ212,AQ211))</f>
        <v>0</v>
      </c>
      <c r="AR209" s="1788">
        <f>IF('II. Inputs, Baseline Energy Mix'!$R$109="User-defined, annually adjusted",AR210,IF('II. Inputs, Baseline Energy Mix'!$R$109="Manual Entry",AR212,AR211))</f>
        <v>0</v>
      </c>
      <c r="AS209" s="1788">
        <f>IF('II. Inputs, Baseline Energy Mix'!$R$109="User-defined, annually adjusted",AS210,IF('II. Inputs, Baseline Energy Mix'!$R$109="Manual Entry",AS212,AS211))</f>
        <v>0</v>
      </c>
      <c r="AT209" s="1788">
        <f>IF('II. Inputs, Baseline Energy Mix'!$R$109="User-defined, annually adjusted",AT210,IF('II. Inputs, Baseline Energy Mix'!$R$109="Manual Entry",AT212,AT211))</f>
        <v>0</v>
      </c>
      <c r="AU209" s="1788">
        <f>IF('II. Inputs, Baseline Energy Mix'!$R$109="User-defined, annually adjusted",AU210,IF('II. Inputs, Baseline Energy Mix'!$R$109="Manual Entry",AU212,AU211))</f>
        <v>0</v>
      </c>
      <c r="AV209" s="1788">
        <f>IF('II. Inputs, Baseline Energy Mix'!$R$109="User-defined, annually adjusted",AV210,IF('II. Inputs, Baseline Energy Mix'!$R$109="Manual Entry",AV212,AV211))</f>
        <v>0</v>
      </c>
      <c r="AW209" s="1788">
        <f>IF('II. Inputs, Baseline Energy Mix'!$R$109="User-defined, annually adjusted",AW210,IF('II. Inputs, Baseline Energy Mix'!$R$109="Manual Entry",AW212,AW211))</f>
        <v>0</v>
      </c>
      <c r="AX209" s="1788">
        <f>IF('II. Inputs, Baseline Energy Mix'!$R$109="User-defined, annually adjusted",AX210,IF('II. Inputs, Baseline Energy Mix'!$R$109="Manual Entry",AX212,AX211))</f>
        <v>0</v>
      </c>
      <c r="AY209" s="1788">
        <f>IF('II. Inputs, Baseline Energy Mix'!$R$109="User-defined, annually adjusted",AY210,IF('II. Inputs, Baseline Energy Mix'!$R$109="Manual Entry",AY212,AY211))</f>
        <v>0</v>
      </c>
      <c r="AZ209" s="1788">
        <f>IF('II. Inputs, Baseline Energy Mix'!$R$109="User-defined, annually adjusted",AZ210,IF('II. Inputs, Baseline Energy Mix'!$R$109="Manual Entry",AZ212,AZ211))</f>
        <v>0</v>
      </c>
      <c r="BA209" s="1788">
        <f>IF('II. Inputs, Baseline Energy Mix'!$R$109="User-defined, annually adjusted",BA210,IF('II. Inputs, Baseline Energy Mix'!$R$109="Manual Entry",BA212,BA211))</f>
        <v>0</v>
      </c>
      <c r="BB209" s="1788">
        <f>IF('II. Inputs, Baseline Energy Mix'!$R$109="User-defined, annually adjusted",BB210,IF('II. Inputs, Baseline Energy Mix'!$R$109="Manual Entry",BB212,BB211))</f>
        <v>0</v>
      </c>
      <c r="BC209" s="1788">
        <f>IF('II. Inputs, Baseline Energy Mix'!$R$109="User-defined, annually adjusted",BC210,IF('II. Inputs, Baseline Energy Mix'!$R$109="Manual Entry",BC212,BC211))</f>
        <v>0</v>
      </c>
      <c r="BD209" s="1788">
        <f>IF('II. Inputs, Baseline Energy Mix'!$R$109="User-defined, annually adjusted",BD210,IF('II. Inputs, Baseline Energy Mix'!$R$109="Manual Entry",BD212,BD211))</f>
        <v>0</v>
      </c>
      <c r="BE209" s="1789">
        <f>IF('II. Inputs, Baseline Energy Mix'!$R$109="User-defined, annually adjusted",BE210,IF('II. Inputs, Baseline Energy Mix'!$R$109="Manual Entry",BE212,BE211))</f>
        <v>0</v>
      </c>
      <c r="BF209" s="695"/>
    </row>
    <row r="210" spans="1:58" outlineLevel="1" x14ac:dyDescent="0.45">
      <c r="A210" s="695"/>
      <c r="B210" s="946"/>
      <c r="C210" s="947" t="s">
        <v>620</v>
      </c>
      <c r="D210" s="947"/>
      <c r="E210" s="950"/>
      <c r="F210" s="950"/>
      <c r="G210" s="947"/>
      <c r="H210" s="1788">
        <f xml:space="preserve"> H$201*VLOOKUP(H$13,'II. Inputs, Baseline Energy Mix'!$F$133:$Y$182,7, FALSE)</f>
        <v>0</v>
      </c>
      <c r="I210" s="1788">
        <f xml:space="preserve"> I$201*VLOOKUP(I$13,'II. Inputs, Baseline Energy Mix'!$F$133:$Y$182,7, FALSE)</f>
        <v>0</v>
      </c>
      <c r="J210" s="1788">
        <f xml:space="preserve"> J$201*VLOOKUP(J$13,'II. Inputs, Baseline Energy Mix'!$F$133:$Y$182,7, FALSE)</f>
        <v>0</v>
      </c>
      <c r="K210" s="1788">
        <f xml:space="preserve"> K$201*VLOOKUP(K$13,'II. Inputs, Baseline Energy Mix'!$F$133:$Y$182,7, FALSE)</f>
        <v>0</v>
      </c>
      <c r="L210" s="1788">
        <f xml:space="preserve"> L$201*VLOOKUP(L$13,'II. Inputs, Baseline Energy Mix'!$F$133:$Y$182,7, FALSE)</f>
        <v>0</v>
      </c>
      <c r="M210" s="1788">
        <f xml:space="preserve"> M$201*VLOOKUP(M$13,'II. Inputs, Baseline Energy Mix'!$F$133:$Y$182,7, FALSE)</f>
        <v>0</v>
      </c>
      <c r="N210" s="1788">
        <f xml:space="preserve"> N$201*VLOOKUP(N$13,'II. Inputs, Baseline Energy Mix'!$F$133:$Y$182,7, FALSE)</f>
        <v>0</v>
      </c>
      <c r="O210" s="1788">
        <f xml:space="preserve"> O$201*VLOOKUP(O$13,'II. Inputs, Baseline Energy Mix'!$F$133:$Y$182,7, FALSE)</f>
        <v>0</v>
      </c>
      <c r="P210" s="1788">
        <f xml:space="preserve"> P$201*VLOOKUP(P$13,'II. Inputs, Baseline Energy Mix'!$F$133:$Y$182,7, FALSE)</f>
        <v>0</v>
      </c>
      <c r="Q210" s="1788">
        <f xml:space="preserve"> Q$201*VLOOKUP(Q$13,'II. Inputs, Baseline Energy Mix'!$F$133:$Y$182,7, FALSE)</f>
        <v>0</v>
      </c>
      <c r="R210" s="1788">
        <f xml:space="preserve"> R$201*VLOOKUP(R$13,'II. Inputs, Baseline Energy Mix'!$F$133:$Y$182,7, FALSE)</f>
        <v>0</v>
      </c>
      <c r="S210" s="1788">
        <f xml:space="preserve"> S$201*VLOOKUP(S$13,'II. Inputs, Baseline Energy Mix'!$F$133:$Y$182,7, FALSE)</f>
        <v>0</v>
      </c>
      <c r="T210" s="1788">
        <f xml:space="preserve"> T$201*VLOOKUP(T$13,'II. Inputs, Baseline Energy Mix'!$F$133:$Y$182,7, FALSE)</f>
        <v>0</v>
      </c>
      <c r="U210" s="1788">
        <f xml:space="preserve"> U$201*VLOOKUP(U$13,'II. Inputs, Baseline Energy Mix'!$F$133:$Y$182,7, FALSE)</f>
        <v>0</v>
      </c>
      <c r="V210" s="1788">
        <f xml:space="preserve"> V$201*VLOOKUP(V$13,'II. Inputs, Baseline Energy Mix'!$F$133:$Y$182,7, FALSE)</f>
        <v>0</v>
      </c>
      <c r="W210" s="1788">
        <f xml:space="preserve"> W$201*VLOOKUP(W$13,'II. Inputs, Baseline Energy Mix'!$F$133:$Y$182,7, FALSE)</f>
        <v>0</v>
      </c>
      <c r="X210" s="1788">
        <f xml:space="preserve"> X$201*VLOOKUP(X$13,'II. Inputs, Baseline Energy Mix'!$F$133:$Y$182,7, FALSE)</f>
        <v>0</v>
      </c>
      <c r="Y210" s="1788">
        <f xml:space="preserve"> Y$201*VLOOKUP(Y$13,'II. Inputs, Baseline Energy Mix'!$F$133:$Y$182,7, FALSE)</f>
        <v>0</v>
      </c>
      <c r="Z210" s="1788">
        <f xml:space="preserve"> Z$201*VLOOKUP(Z$13,'II. Inputs, Baseline Energy Mix'!$F$133:$Y$182,7, FALSE)</f>
        <v>0</v>
      </c>
      <c r="AA210" s="1788">
        <f xml:space="preserve"> AA$201*VLOOKUP(AA$13,'II. Inputs, Baseline Energy Mix'!$F$133:$Y$182,7, FALSE)</f>
        <v>0</v>
      </c>
      <c r="AB210" s="1788">
        <f xml:space="preserve"> AB$201*VLOOKUP(AB$13,'II. Inputs, Baseline Energy Mix'!$F$133:$Y$182,7, FALSE)</f>
        <v>0</v>
      </c>
      <c r="AC210" s="1788">
        <f xml:space="preserve"> AC$201*VLOOKUP(AC$13,'II. Inputs, Baseline Energy Mix'!$F$133:$Y$182,7, FALSE)</f>
        <v>0</v>
      </c>
      <c r="AD210" s="1788">
        <f xml:space="preserve"> AD$201*VLOOKUP(AD$13,'II. Inputs, Baseline Energy Mix'!$F$133:$Y$182,7, FALSE)</f>
        <v>0</v>
      </c>
      <c r="AE210" s="1788">
        <f xml:space="preserve"> AE$201*VLOOKUP(AE$13,'II. Inputs, Baseline Energy Mix'!$F$133:$Y$182,7, FALSE)</f>
        <v>0</v>
      </c>
      <c r="AF210" s="1788">
        <f xml:space="preserve"> AF$201*VLOOKUP(AF$13,'II. Inputs, Baseline Energy Mix'!$F$133:$Y$182,7, FALSE)</f>
        <v>0</v>
      </c>
      <c r="AG210" s="1788">
        <f xml:space="preserve"> AG$201*VLOOKUP(AG$13,'II. Inputs, Baseline Energy Mix'!$F$133:$Y$182,7, FALSE)</f>
        <v>0</v>
      </c>
      <c r="AH210" s="1788">
        <f xml:space="preserve"> AH$201*VLOOKUP(AH$13,'II. Inputs, Baseline Energy Mix'!$F$133:$Y$182,7, FALSE)</f>
        <v>0</v>
      </c>
      <c r="AI210" s="1788">
        <f xml:space="preserve"> AI$201*VLOOKUP(AI$13,'II. Inputs, Baseline Energy Mix'!$F$133:$Y$182,7, FALSE)</f>
        <v>0</v>
      </c>
      <c r="AJ210" s="1788">
        <f xml:space="preserve"> AJ$201*VLOOKUP(AJ$13,'II. Inputs, Baseline Energy Mix'!$F$133:$Y$182,7, FALSE)</f>
        <v>0</v>
      </c>
      <c r="AK210" s="1788">
        <f xml:space="preserve"> AK$201*VLOOKUP(AK$13,'II. Inputs, Baseline Energy Mix'!$F$133:$Y$182,7, FALSE)</f>
        <v>0</v>
      </c>
      <c r="AL210" s="1788">
        <f xml:space="preserve"> AL$201*VLOOKUP(AL$13,'II. Inputs, Baseline Energy Mix'!$F$133:$Y$182,7, FALSE)</f>
        <v>0</v>
      </c>
      <c r="AM210" s="1788">
        <f xml:space="preserve"> AM$201*VLOOKUP(AM$13,'II. Inputs, Baseline Energy Mix'!$F$133:$Y$182,7, FALSE)</f>
        <v>0</v>
      </c>
      <c r="AN210" s="1788">
        <f xml:space="preserve"> AN$201*VLOOKUP(AN$13,'II. Inputs, Baseline Energy Mix'!$F$133:$Y$182,7, FALSE)</f>
        <v>0</v>
      </c>
      <c r="AO210" s="1788">
        <f xml:space="preserve"> AO$201*VLOOKUP(AO$13,'II. Inputs, Baseline Energy Mix'!$F$133:$Y$182,7, FALSE)</f>
        <v>0</v>
      </c>
      <c r="AP210" s="1788">
        <f xml:space="preserve"> AP$201*VLOOKUP(AP$13,'II. Inputs, Baseline Energy Mix'!$F$133:$Y$182,7, FALSE)</f>
        <v>0</v>
      </c>
      <c r="AQ210" s="1788">
        <f xml:space="preserve"> AQ$201*VLOOKUP(AQ$13,'II. Inputs, Baseline Energy Mix'!$F$133:$Y$182,7, FALSE)</f>
        <v>0</v>
      </c>
      <c r="AR210" s="1788">
        <f xml:space="preserve"> AR$201*VLOOKUP(AR$13,'II. Inputs, Baseline Energy Mix'!$F$133:$Y$182,7, FALSE)</f>
        <v>0</v>
      </c>
      <c r="AS210" s="1788">
        <f xml:space="preserve"> AS$201*VLOOKUP(AS$13,'II. Inputs, Baseline Energy Mix'!$F$133:$Y$182,7, FALSE)</f>
        <v>0</v>
      </c>
      <c r="AT210" s="1788">
        <f xml:space="preserve"> AT$201*VLOOKUP(AT$13,'II. Inputs, Baseline Energy Mix'!$F$133:$Y$182,7, FALSE)</f>
        <v>0</v>
      </c>
      <c r="AU210" s="1788">
        <f xml:space="preserve"> AU$201*VLOOKUP(AU$13,'II. Inputs, Baseline Energy Mix'!$F$133:$Y$182,7, FALSE)</f>
        <v>0</v>
      </c>
      <c r="AV210" s="1788">
        <f xml:space="preserve"> AV$201*VLOOKUP(AV$13,'II. Inputs, Baseline Energy Mix'!$F$133:$Y$182,7, FALSE)</f>
        <v>0</v>
      </c>
      <c r="AW210" s="1788">
        <f xml:space="preserve"> AW$201*VLOOKUP(AW$13,'II. Inputs, Baseline Energy Mix'!$F$133:$Y$182,7, FALSE)</f>
        <v>0</v>
      </c>
      <c r="AX210" s="1788">
        <f xml:space="preserve"> AX$201*VLOOKUP(AX$13,'II. Inputs, Baseline Energy Mix'!$F$133:$Y$182,7, FALSE)</f>
        <v>0</v>
      </c>
      <c r="AY210" s="1788">
        <f xml:space="preserve"> AY$201*VLOOKUP(AY$13,'II. Inputs, Baseline Energy Mix'!$F$133:$Y$182,7, FALSE)</f>
        <v>0</v>
      </c>
      <c r="AZ210" s="1788">
        <f xml:space="preserve"> AZ$201*VLOOKUP(AZ$13,'II. Inputs, Baseline Energy Mix'!$F$133:$Y$182,7, FALSE)</f>
        <v>0</v>
      </c>
      <c r="BA210" s="1788">
        <f xml:space="preserve"> BA$201*VLOOKUP(BA$13,'II. Inputs, Baseline Energy Mix'!$F$133:$Y$182,7, FALSE)</f>
        <v>0</v>
      </c>
      <c r="BB210" s="1788">
        <f xml:space="preserve"> BB$201*VLOOKUP(BB$13,'II. Inputs, Baseline Energy Mix'!$F$133:$Y$182,7, FALSE)</f>
        <v>0</v>
      </c>
      <c r="BC210" s="1788">
        <f xml:space="preserve"> BC$201*VLOOKUP(BC$13,'II. Inputs, Baseline Energy Mix'!$F$133:$Y$182,7, FALSE)</f>
        <v>0</v>
      </c>
      <c r="BD210" s="1788">
        <f xml:space="preserve"> BD$201*VLOOKUP(BD$13,'II. Inputs, Baseline Energy Mix'!$F$133:$Y$182,7, FALSE)</f>
        <v>0</v>
      </c>
      <c r="BE210" s="1789">
        <f xml:space="preserve"> BE$201*VLOOKUP(BE$13,'II. Inputs, Baseline Energy Mix'!$F$133:$Y$182,7, FALSE)</f>
        <v>0</v>
      </c>
      <c r="BF210" s="695"/>
    </row>
    <row r="211" spans="1:58" outlineLevel="1" x14ac:dyDescent="0.45">
      <c r="A211" s="695"/>
      <c r="B211" s="946"/>
      <c r="C211" s="947" t="s">
        <v>621</v>
      </c>
      <c r="D211" s="947"/>
      <c r="E211" s="950"/>
      <c r="F211" s="950"/>
      <c r="G211" s="947"/>
      <c r="H211" s="1788">
        <f xml:space="preserve"> H$201*VLOOKUP(H$13,'II. Inputs, Baseline Energy Mix'!$F$133:$Y$182,13, FALSE)</f>
        <v>0</v>
      </c>
      <c r="I211" s="1788">
        <f xml:space="preserve"> I$201*VLOOKUP(I$13,'II. Inputs, Baseline Energy Mix'!$F$133:$Y$182,13, FALSE)</f>
        <v>0</v>
      </c>
      <c r="J211" s="1788">
        <f xml:space="preserve"> J$201*VLOOKUP(J$13,'II. Inputs, Baseline Energy Mix'!$F$133:$Y$182,13, FALSE)</f>
        <v>0</v>
      </c>
      <c r="K211" s="1788">
        <f xml:space="preserve"> K$201*VLOOKUP(K$13,'II. Inputs, Baseline Energy Mix'!$F$133:$Y$182,13, FALSE)</f>
        <v>0</v>
      </c>
      <c r="L211" s="1788">
        <f xml:space="preserve"> L$201*VLOOKUP(L$13,'II. Inputs, Baseline Energy Mix'!$F$133:$Y$182,13, FALSE)</f>
        <v>0</v>
      </c>
      <c r="M211" s="1788">
        <f xml:space="preserve"> M$201*VLOOKUP(M$13,'II. Inputs, Baseline Energy Mix'!$F$133:$Y$182,13, FALSE)</f>
        <v>0</v>
      </c>
      <c r="N211" s="1788">
        <f xml:space="preserve"> N$201*VLOOKUP(N$13,'II. Inputs, Baseline Energy Mix'!$F$133:$Y$182,13, FALSE)</f>
        <v>0</v>
      </c>
      <c r="O211" s="1788">
        <f xml:space="preserve"> O$201*VLOOKUP(O$13,'II. Inputs, Baseline Energy Mix'!$F$133:$Y$182,13, FALSE)</f>
        <v>0</v>
      </c>
      <c r="P211" s="1788">
        <f xml:space="preserve"> P$201*VLOOKUP(P$13,'II. Inputs, Baseline Energy Mix'!$F$133:$Y$182,13, FALSE)</f>
        <v>0</v>
      </c>
      <c r="Q211" s="1788">
        <f xml:space="preserve"> Q$201*VLOOKUP(Q$13,'II. Inputs, Baseline Energy Mix'!$F$133:$Y$182,13, FALSE)</f>
        <v>0</v>
      </c>
      <c r="R211" s="1788">
        <f xml:space="preserve"> R$201*VLOOKUP(R$13,'II. Inputs, Baseline Energy Mix'!$F$133:$Y$182,13, FALSE)</f>
        <v>0</v>
      </c>
      <c r="S211" s="1788">
        <f xml:space="preserve"> S$201*VLOOKUP(S$13,'II. Inputs, Baseline Energy Mix'!$F$133:$Y$182,13, FALSE)</f>
        <v>0</v>
      </c>
      <c r="T211" s="1788">
        <f xml:space="preserve"> T$201*VLOOKUP(T$13,'II. Inputs, Baseline Energy Mix'!$F$133:$Y$182,13, FALSE)</f>
        <v>0</v>
      </c>
      <c r="U211" s="1788">
        <f xml:space="preserve"> U$201*VLOOKUP(U$13,'II. Inputs, Baseline Energy Mix'!$F$133:$Y$182,13, FALSE)</f>
        <v>0</v>
      </c>
      <c r="V211" s="1788">
        <f xml:space="preserve"> V$201*VLOOKUP(V$13,'II. Inputs, Baseline Energy Mix'!$F$133:$Y$182,13, FALSE)</f>
        <v>0</v>
      </c>
      <c r="W211" s="1788">
        <f xml:space="preserve"> W$201*VLOOKUP(W$13,'II. Inputs, Baseline Energy Mix'!$F$133:$Y$182,13, FALSE)</f>
        <v>0</v>
      </c>
      <c r="X211" s="1788">
        <f xml:space="preserve"> X$201*VLOOKUP(X$13,'II. Inputs, Baseline Energy Mix'!$F$133:$Y$182,13, FALSE)</f>
        <v>0</v>
      </c>
      <c r="Y211" s="1788">
        <f xml:space="preserve"> Y$201*VLOOKUP(Y$13,'II. Inputs, Baseline Energy Mix'!$F$133:$Y$182,13, FALSE)</f>
        <v>0</v>
      </c>
      <c r="Z211" s="1788">
        <f xml:space="preserve"> Z$201*VLOOKUP(Z$13,'II. Inputs, Baseline Energy Mix'!$F$133:$Y$182,13, FALSE)</f>
        <v>0</v>
      </c>
      <c r="AA211" s="1788">
        <f xml:space="preserve"> AA$201*VLOOKUP(AA$13,'II. Inputs, Baseline Energy Mix'!$F$133:$Y$182,13, FALSE)</f>
        <v>0</v>
      </c>
      <c r="AB211" s="1788">
        <f xml:space="preserve"> AB$201*VLOOKUP(AB$13,'II. Inputs, Baseline Energy Mix'!$F$133:$Y$182,13, FALSE)</f>
        <v>0</v>
      </c>
      <c r="AC211" s="1788">
        <f xml:space="preserve"> AC$201*VLOOKUP(AC$13,'II. Inputs, Baseline Energy Mix'!$F$133:$Y$182,13, FALSE)</f>
        <v>0</v>
      </c>
      <c r="AD211" s="1788">
        <f xml:space="preserve"> AD$201*VLOOKUP(AD$13,'II. Inputs, Baseline Energy Mix'!$F$133:$Y$182,13, FALSE)</f>
        <v>0</v>
      </c>
      <c r="AE211" s="1788">
        <f xml:space="preserve"> AE$201*VLOOKUP(AE$13,'II. Inputs, Baseline Energy Mix'!$F$133:$Y$182,13, FALSE)</f>
        <v>0</v>
      </c>
      <c r="AF211" s="1788">
        <f xml:space="preserve"> AF$201*VLOOKUP(AF$13,'II. Inputs, Baseline Energy Mix'!$F$133:$Y$182,13, FALSE)</f>
        <v>0</v>
      </c>
      <c r="AG211" s="1788">
        <f xml:space="preserve"> AG$201*VLOOKUP(AG$13,'II. Inputs, Baseline Energy Mix'!$F$133:$Y$182,13, FALSE)</f>
        <v>0</v>
      </c>
      <c r="AH211" s="1788">
        <f xml:space="preserve"> AH$201*VLOOKUP(AH$13,'II. Inputs, Baseline Energy Mix'!$F$133:$Y$182,13, FALSE)</f>
        <v>0</v>
      </c>
      <c r="AI211" s="1788">
        <f xml:space="preserve"> AI$201*VLOOKUP(AI$13,'II. Inputs, Baseline Energy Mix'!$F$133:$Y$182,13, FALSE)</f>
        <v>0</v>
      </c>
      <c r="AJ211" s="1788">
        <f xml:space="preserve"> AJ$201*VLOOKUP(AJ$13,'II. Inputs, Baseline Energy Mix'!$F$133:$Y$182,13, FALSE)</f>
        <v>0</v>
      </c>
      <c r="AK211" s="1788">
        <f xml:space="preserve"> AK$201*VLOOKUP(AK$13,'II. Inputs, Baseline Energy Mix'!$F$133:$Y$182,13, FALSE)</f>
        <v>0</v>
      </c>
      <c r="AL211" s="1788">
        <f xml:space="preserve"> AL$201*VLOOKUP(AL$13,'II. Inputs, Baseline Energy Mix'!$F$133:$Y$182,13, FALSE)</f>
        <v>0</v>
      </c>
      <c r="AM211" s="1788">
        <f xml:space="preserve"> AM$201*VLOOKUP(AM$13,'II. Inputs, Baseline Energy Mix'!$F$133:$Y$182,13, FALSE)</f>
        <v>0</v>
      </c>
      <c r="AN211" s="1788">
        <f xml:space="preserve"> AN$201*VLOOKUP(AN$13,'II. Inputs, Baseline Energy Mix'!$F$133:$Y$182,13, FALSE)</f>
        <v>0</v>
      </c>
      <c r="AO211" s="1788">
        <f xml:space="preserve"> AO$201*VLOOKUP(AO$13,'II. Inputs, Baseline Energy Mix'!$F$133:$Y$182,13, FALSE)</f>
        <v>0</v>
      </c>
      <c r="AP211" s="1788">
        <f xml:space="preserve"> AP$201*VLOOKUP(AP$13,'II. Inputs, Baseline Energy Mix'!$F$133:$Y$182,13, FALSE)</f>
        <v>0</v>
      </c>
      <c r="AQ211" s="1788">
        <f xml:space="preserve"> AQ$201*VLOOKUP(AQ$13,'II. Inputs, Baseline Energy Mix'!$F$133:$Y$182,13, FALSE)</f>
        <v>0</v>
      </c>
      <c r="AR211" s="1788">
        <f xml:space="preserve"> AR$201*VLOOKUP(AR$13,'II. Inputs, Baseline Energy Mix'!$F$133:$Y$182,13, FALSE)</f>
        <v>0</v>
      </c>
      <c r="AS211" s="1788">
        <f xml:space="preserve"> AS$201*VLOOKUP(AS$13,'II. Inputs, Baseline Energy Mix'!$F$133:$Y$182,13, FALSE)</f>
        <v>0</v>
      </c>
      <c r="AT211" s="1788">
        <f xml:space="preserve"> AT$201*VLOOKUP(AT$13,'II. Inputs, Baseline Energy Mix'!$F$133:$Y$182,13, FALSE)</f>
        <v>0</v>
      </c>
      <c r="AU211" s="1788">
        <f xml:space="preserve"> AU$201*VLOOKUP(AU$13,'II. Inputs, Baseline Energy Mix'!$F$133:$Y$182,13, FALSE)</f>
        <v>0</v>
      </c>
      <c r="AV211" s="1788">
        <f xml:space="preserve"> AV$201*VLOOKUP(AV$13,'II. Inputs, Baseline Energy Mix'!$F$133:$Y$182,13, FALSE)</f>
        <v>0</v>
      </c>
      <c r="AW211" s="1788">
        <f xml:space="preserve"> AW$201*VLOOKUP(AW$13,'II. Inputs, Baseline Energy Mix'!$F$133:$Y$182,13, FALSE)</f>
        <v>0</v>
      </c>
      <c r="AX211" s="1788">
        <f xml:space="preserve"> AX$201*VLOOKUP(AX$13,'II. Inputs, Baseline Energy Mix'!$F$133:$Y$182,13, FALSE)</f>
        <v>0</v>
      </c>
      <c r="AY211" s="1788">
        <f xml:space="preserve"> AY$201*VLOOKUP(AY$13,'II. Inputs, Baseline Energy Mix'!$F$133:$Y$182,13, FALSE)</f>
        <v>0</v>
      </c>
      <c r="AZ211" s="1788">
        <f xml:space="preserve"> AZ$201*VLOOKUP(AZ$13,'II. Inputs, Baseline Energy Mix'!$F$133:$Y$182,13, FALSE)</f>
        <v>0</v>
      </c>
      <c r="BA211" s="1788">
        <f xml:space="preserve"> BA$201*VLOOKUP(BA$13,'II. Inputs, Baseline Energy Mix'!$F$133:$Y$182,13, FALSE)</f>
        <v>0</v>
      </c>
      <c r="BB211" s="1788">
        <f xml:space="preserve"> BB$201*VLOOKUP(BB$13,'II. Inputs, Baseline Energy Mix'!$F$133:$Y$182,13, FALSE)</f>
        <v>0</v>
      </c>
      <c r="BC211" s="1788">
        <f xml:space="preserve"> BC$201*VLOOKUP(BC$13,'II. Inputs, Baseline Energy Mix'!$F$133:$Y$182,13, FALSE)</f>
        <v>0</v>
      </c>
      <c r="BD211" s="1788">
        <f xml:space="preserve"> BD$201*VLOOKUP(BD$13,'II. Inputs, Baseline Energy Mix'!$F$133:$Y$182,13, FALSE)</f>
        <v>0</v>
      </c>
      <c r="BE211" s="1789">
        <f xml:space="preserve"> BE$201*VLOOKUP(BE$13,'II. Inputs, Baseline Energy Mix'!$F$133:$Y$182,13, FALSE)</f>
        <v>0</v>
      </c>
      <c r="BF211" s="695"/>
    </row>
    <row r="212" spans="1:58" outlineLevel="1" x14ac:dyDescent="0.45">
      <c r="A212" s="695"/>
      <c r="B212" s="946"/>
      <c r="C212" s="947" t="s">
        <v>622</v>
      </c>
      <c r="D212" s="947"/>
      <c r="E212" s="950"/>
      <c r="F212" s="950"/>
      <c r="G212" s="947"/>
      <c r="H212" s="1788">
        <f xml:space="preserve"> H$201*VLOOKUP(H$13,'II. Inputs, Baseline Energy Mix'!$F$133:$Y$182,19, FALSE)</f>
        <v>0</v>
      </c>
      <c r="I212" s="1788">
        <f xml:space="preserve"> I$201*VLOOKUP(I$13,'II. Inputs, Baseline Energy Mix'!$F$133:$Y$182,19, FALSE)</f>
        <v>0</v>
      </c>
      <c r="J212" s="1788">
        <f xml:space="preserve"> J$201*VLOOKUP(J$13,'II. Inputs, Baseline Energy Mix'!$F$133:$Y$182,19, FALSE)</f>
        <v>0</v>
      </c>
      <c r="K212" s="1788">
        <f xml:space="preserve"> K$201*VLOOKUP(K$13,'II. Inputs, Baseline Energy Mix'!$F$133:$Y$182,19, FALSE)</f>
        <v>0</v>
      </c>
      <c r="L212" s="1788">
        <f xml:space="preserve"> L$201*VLOOKUP(L$13,'II. Inputs, Baseline Energy Mix'!$F$133:$Y$182,19, FALSE)</f>
        <v>0</v>
      </c>
      <c r="M212" s="1788">
        <f xml:space="preserve"> M$201*VLOOKUP(M$13,'II. Inputs, Baseline Energy Mix'!$F$133:$Y$182,19, FALSE)</f>
        <v>0</v>
      </c>
      <c r="N212" s="1788">
        <f xml:space="preserve"> N$201*VLOOKUP(N$13,'II. Inputs, Baseline Energy Mix'!$F$133:$Y$182,19, FALSE)</f>
        <v>0</v>
      </c>
      <c r="O212" s="1788">
        <f xml:space="preserve"> O$201*VLOOKUP(O$13,'II. Inputs, Baseline Energy Mix'!$F$133:$Y$182,19, FALSE)</f>
        <v>0</v>
      </c>
      <c r="P212" s="1788">
        <f xml:space="preserve"> P$201*VLOOKUP(P$13,'II. Inputs, Baseline Energy Mix'!$F$133:$Y$182,19, FALSE)</f>
        <v>0</v>
      </c>
      <c r="Q212" s="1788">
        <f xml:space="preserve"> Q$201*VLOOKUP(Q$13,'II. Inputs, Baseline Energy Mix'!$F$133:$Y$182,19, FALSE)</f>
        <v>0</v>
      </c>
      <c r="R212" s="1788">
        <f xml:space="preserve"> R$201*VLOOKUP(R$13,'II. Inputs, Baseline Energy Mix'!$F$133:$Y$182,19, FALSE)</f>
        <v>0</v>
      </c>
      <c r="S212" s="1788">
        <f xml:space="preserve"> S$201*VLOOKUP(S$13,'II. Inputs, Baseline Energy Mix'!$F$133:$Y$182,19, FALSE)</f>
        <v>0</v>
      </c>
      <c r="T212" s="1788">
        <f xml:space="preserve"> T$201*VLOOKUP(T$13,'II. Inputs, Baseline Energy Mix'!$F$133:$Y$182,19, FALSE)</f>
        <v>0</v>
      </c>
      <c r="U212" s="1788">
        <f xml:space="preserve"> U$201*VLOOKUP(U$13,'II. Inputs, Baseline Energy Mix'!$F$133:$Y$182,19, FALSE)</f>
        <v>0</v>
      </c>
      <c r="V212" s="1788">
        <f xml:space="preserve"> V$201*VLOOKUP(V$13,'II. Inputs, Baseline Energy Mix'!$F$133:$Y$182,19, FALSE)</f>
        <v>0</v>
      </c>
      <c r="W212" s="1788">
        <f xml:space="preserve"> W$201*VLOOKUP(W$13,'II. Inputs, Baseline Energy Mix'!$F$133:$Y$182,19, FALSE)</f>
        <v>0</v>
      </c>
      <c r="X212" s="1788">
        <f xml:space="preserve"> X$201*VLOOKUP(X$13,'II. Inputs, Baseline Energy Mix'!$F$133:$Y$182,19, FALSE)</f>
        <v>0</v>
      </c>
      <c r="Y212" s="1788">
        <f xml:space="preserve"> Y$201*VLOOKUP(Y$13,'II. Inputs, Baseline Energy Mix'!$F$133:$Y$182,19, FALSE)</f>
        <v>0</v>
      </c>
      <c r="Z212" s="1788">
        <f xml:space="preserve"> Z$201*VLOOKUP(Z$13,'II. Inputs, Baseline Energy Mix'!$F$133:$Y$182,19, FALSE)</f>
        <v>0</v>
      </c>
      <c r="AA212" s="1788">
        <f xml:space="preserve"> AA$201*VLOOKUP(AA$13,'II. Inputs, Baseline Energy Mix'!$F$133:$Y$182,19, FALSE)</f>
        <v>0</v>
      </c>
      <c r="AB212" s="1788">
        <f xml:space="preserve"> AB$201*VLOOKUP(AB$13,'II. Inputs, Baseline Energy Mix'!$F$133:$Y$182,19, FALSE)</f>
        <v>0</v>
      </c>
      <c r="AC212" s="1788">
        <f xml:space="preserve"> AC$201*VLOOKUP(AC$13,'II. Inputs, Baseline Energy Mix'!$F$133:$Y$182,19, FALSE)</f>
        <v>0</v>
      </c>
      <c r="AD212" s="1788">
        <f xml:space="preserve"> AD$201*VLOOKUP(AD$13,'II. Inputs, Baseline Energy Mix'!$F$133:$Y$182,19, FALSE)</f>
        <v>0</v>
      </c>
      <c r="AE212" s="1788">
        <f xml:space="preserve"> AE$201*VLOOKUP(AE$13,'II. Inputs, Baseline Energy Mix'!$F$133:$Y$182,19, FALSE)</f>
        <v>0</v>
      </c>
      <c r="AF212" s="1788">
        <f xml:space="preserve"> AF$201*VLOOKUP(AF$13,'II. Inputs, Baseline Energy Mix'!$F$133:$Y$182,19, FALSE)</f>
        <v>0</v>
      </c>
      <c r="AG212" s="1788">
        <f xml:space="preserve"> AG$201*VLOOKUP(AG$13,'II. Inputs, Baseline Energy Mix'!$F$133:$Y$182,19, FALSE)</f>
        <v>0</v>
      </c>
      <c r="AH212" s="1788">
        <f xml:space="preserve"> AH$201*VLOOKUP(AH$13,'II. Inputs, Baseline Energy Mix'!$F$133:$Y$182,19, FALSE)</f>
        <v>0</v>
      </c>
      <c r="AI212" s="1788">
        <f xml:space="preserve"> AI$201*VLOOKUP(AI$13,'II. Inputs, Baseline Energy Mix'!$F$133:$Y$182,19, FALSE)</f>
        <v>0</v>
      </c>
      <c r="AJ212" s="1788">
        <f xml:space="preserve"> AJ$201*VLOOKUP(AJ$13,'II. Inputs, Baseline Energy Mix'!$F$133:$Y$182,19, FALSE)</f>
        <v>0</v>
      </c>
      <c r="AK212" s="1788">
        <f xml:space="preserve"> AK$201*VLOOKUP(AK$13,'II. Inputs, Baseline Energy Mix'!$F$133:$Y$182,19, FALSE)</f>
        <v>0</v>
      </c>
      <c r="AL212" s="1788">
        <f xml:space="preserve"> AL$201*VLOOKUP(AL$13,'II. Inputs, Baseline Energy Mix'!$F$133:$Y$182,19, FALSE)</f>
        <v>0</v>
      </c>
      <c r="AM212" s="1788">
        <f xml:space="preserve"> AM$201*VLOOKUP(AM$13,'II. Inputs, Baseline Energy Mix'!$F$133:$Y$182,19, FALSE)</f>
        <v>0</v>
      </c>
      <c r="AN212" s="1788">
        <f xml:space="preserve"> AN$201*VLOOKUP(AN$13,'II. Inputs, Baseline Energy Mix'!$F$133:$Y$182,19, FALSE)</f>
        <v>0</v>
      </c>
      <c r="AO212" s="1788">
        <f xml:space="preserve"> AO$201*VLOOKUP(AO$13,'II. Inputs, Baseline Energy Mix'!$F$133:$Y$182,19, FALSE)</f>
        <v>0</v>
      </c>
      <c r="AP212" s="1788">
        <f xml:space="preserve"> AP$201*VLOOKUP(AP$13,'II. Inputs, Baseline Energy Mix'!$F$133:$Y$182,19, FALSE)</f>
        <v>0</v>
      </c>
      <c r="AQ212" s="1788">
        <f xml:space="preserve"> AQ$201*VLOOKUP(AQ$13,'II. Inputs, Baseline Energy Mix'!$F$133:$Y$182,19, FALSE)</f>
        <v>0</v>
      </c>
      <c r="AR212" s="1788">
        <f xml:space="preserve"> AR$201*VLOOKUP(AR$13,'II. Inputs, Baseline Energy Mix'!$F$133:$Y$182,19, FALSE)</f>
        <v>0</v>
      </c>
      <c r="AS212" s="1788">
        <f xml:space="preserve"> AS$201*VLOOKUP(AS$13,'II. Inputs, Baseline Energy Mix'!$F$133:$Y$182,19, FALSE)</f>
        <v>0</v>
      </c>
      <c r="AT212" s="1788">
        <f xml:space="preserve"> AT$201*VLOOKUP(AT$13,'II. Inputs, Baseline Energy Mix'!$F$133:$Y$182,19, FALSE)</f>
        <v>0</v>
      </c>
      <c r="AU212" s="1788">
        <f xml:space="preserve"> AU$201*VLOOKUP(AU$13,'II. Inputs, Baseline Energy Mix'!$F$133:$Y$182,19, FALSE)</f>
        <v>0</v>
      </c>
      <c r="AV212" s="1788">
        <f xml:space="preserve"> AV$201*VLOOKUP(AV$13,'II. Inputs, Baseline Energy Mix'!$F$133:$Y$182,19, FALSE)</f>
        <v>0</v>
      </c>
      <c r="AW212" s="1788">
        <f xml:space="preserve"> AW$201*VLOOKUP(AW$13,'II. Inputs, Baseline Energy Mix'!$F$133:$Y$182,19, FALSE)</f>
        <v>0</v>
      </c>
      <c r="AX212" s="1788">
        <f xml:space="preserve"> AX$201*VLOOKUP(AX$13,'II. Inputs, Baseline Energy Mix'!$F$133:$Y$182,19, FALSE)</f>
        <v>0</v>
      </c>
      <c r="AY212" s="1788">
        <f xml:space="preserve"> AY$201*VLOOKUP(AY$13,'II. Inputs, Baseline Energy Mix'!$F$133:$Y$182,19, FALSE)</f>
        <v>0</v>
      </c>
      <c r="AZ212" s="1788">
        <f xml:space="preserve"> AZ$201*VLOOKUP(AZ$13,'II. Inputs, Baseline Energy Mix'!$F$133:$Y$182,19, FALSE)</f>
        <v>0</v>
      </c>
      <c r="BA212" s="1788">
        <f xml:space="preserve"> BA$201*VLOOKUP(BA$13,'II. Inputs, Baseline Energy Mix'!$F$133:$Y$182,19, FALSE)</f>
        <v>0</v>
      </c>
      <c r="BB212" s="1788">
        <f xml:space="preserve"> BB$201*VLOOKUP(BB$13,'II. Inputs, Baseline Energy Mix'!$F$133:$Y$182,19, FALSE)</f>
        <v>0</v>
      </c>
      <c r="BC212" s="1788">
        <f xml:space="preserve"> BC$201*VLOOKUP(BC$13,'II. Inputs, Baseline Energy Mix'!$F$133:$Y$182,19, FALSE)</f>
        <v>0</v>
      </c>
      <c r="BD212" s="1788">
        <f xml:space="preserve"> BD$201*VLOOKUP(BD$13,'II. Inputs, Baseline Energy Mix'!$F$133:$Y$182,19, FALSE)</f>
        <v>0</v>
      </c>
      <c r="BE212" s="1789">
        <f xml:space="preserve"> BE$201*VLOOKUP(BE$13,'II. Inputs, Baseline Energy Mix'!$F$133:$Y$182,19, FALSE)</f>
        <v>0</v>
      </c>
      <c r="BF212" s="695"/>
    </row>
    <row r="213" spans="1:58" outlineLevel="1" x14ac:dyDescent="0.45">
      <c r="A213" s="695"/>
      <c r="B213" s="946"/>
      <c r="C213" s="947"/>
      <c r="D213" s="947"/>
      <c r="E213" s="950"/>
      <c r="F213" s="950"/>
      <c r="G213" s="947"/>
      <c r="H213" s="957"/>
      <c r="I213" s="957"/>
      <c r="J213" s="957"/>
      <c r="K213" s="957"/>
      <c r="L213" s="957"/>
      <c r="M213" s="957"/>
      <c r="N213" s="957"/>
      <c r="O213" s="957"/>
      <c r="P213" s="957"/>
      <c r="Q213" s="957"/>
      <c r="R213" s="957"/>
      <c r="S213" s="957"/>
      <c r="T213" s="957"/>
      <c r="U213" s="957"/>
      <c r="V213" s="957"/>
      <c r="W213" s="957"/>
      <c r="X213" s="957"/>
      <c r="Y213" s="957"/>
      <c r="Z213" s="957"/>
      <c r="AA213" s="957"/>
      <c r="AB213" s="957"/>
      <c r="AC213" s="957"/>
      <c r="AD213" s="957"/>
      <c r="AE213" s="957"/>
      <c r="AF213" s="957"/>
      <c r="AG213" s="957"/>
      <c r="AH213" s="957"/>
      <c r="AI213" s="957"/>
      <c r="AJ213" s="957"/>
      <c r="AK213" s="957"/>
      <c r="AL213" s="957"/>
      <c r="AM213" s="957"/>
      <c r="AN213" s="957"/>
      <c r="AO213" s="957"/>
      <c r="AP213" s="957"/>
      <c r="AQ213" s="957"/>
      <c r="AR213" s="957"/>
      <c r="AS213" s="957"/>
      <c r="AT213" s="957"/>
      <c r="AU213" s="957"/>
      <c r="AV213" s="957"/>
      <c r="AW213" s="957"/>
      <c r="AX213" s="957"/>
      <c r="AY213" s="957"/>
      <c r="AZ213" s="957"/>
      <c r="BA213" s="957"/>
      <c r="BB213" s="957"/>
      <c r="BC213" s="957"/>
      <c r="BD213" s="957"/>
      <c r="BE213" s="958"/>
      <c r="BF213" s="695"/>
    </row>
    <row r="214" spans="1:58" x14ac:dyDescent="0.45">
      <c r="A214" s="695"/>
      <c r="B214" s="946" t="s">
        <v>124</v>
      </c>
      <c r="C214" s="947"/>
      <c r="D214" s="947"/>
      <c r="E214" s="950"/>
      <c r="F214" s="950" t="s">
        <v>748</v>
      </c>
      <c r="G214" s="1574"/>
      <c r="H214" s="1572">
        <f>H209*H203*H201/'II. Inputs, Baseline Energy Mix'!$R$104</f>
        <v>0</v>
      </c>
      <c r="I214" s="1572">
        <f>I209*I203*I201/'II. Inputs, Baseline Energy Mix'!$R$104</f>
        <v>0</v>
      </c>
      <c r="J214" s="1572">
        <f>J209*J203*J201/'II. Inputs, Baseline Energy Mix'!$R$104</f>
        <v>0</v>
      </c>
      <c r="K214" s="1572">
        <f>K209*K203*K201/'II. Inputs, Baseline Energy Mix'!$R$104</f>
        <v>0</v>
      </c>
      <c r="L214" s="1572">
        <f>L209*L203*L201/'II. Inputs, Baseline Energy Mix'!$R$104</f>
        <v>0</v>
      </c>
      <c r="M214" s="1572">
        <f>M209*M203*M201/'II. Inputs, Baseline Energy Mix'!$R$104</f>
        <v>0</v>
      </c>
      <c r="N214" s="1572">
        <f>N209*N203*N201/'II. Inputs, Baseline Energy Mix'!$R$104</f>
        <v>0</v>
      </c>
      <c r="O214" s="1572">
        <f>O209*O203*O201/'II. Inputs, Baseline Energy Mix'!$R$104</f>
        <v>0</v>
      </c>
      <c r="P214" s="1572">
        <f>P209*P203*P201/'II. Inputs, Baseline Energy Mix'!$R$104</f>
        <v>0</v>
      </c>
      <c r="Q214" s="1572">
        <f>Q209*Q203*Q201/'II. Inputs, Baseline Energy Mix'!$R$104</f>
        <v>0</v>
      </c>
      <c r="R214" s="1572">
        <f>R209*R203*R201/'II. Inputs, Baseline Energy Mix'!$R$104</f>
        <v>0</v>
      </c>
      <c r="S214" s="1572">
        <f>S209*S203*S201/'II. Inputs, Baseline Energy Mix'!$R$104</f>
        <v>0</v>
      </c>
      <c r="T214" s="1572">
        <f>T209*T203*T201/'II. Inputs, Baseline Energy Mix'!$R$104</f>
        <v>0</v>
      </c>
      <c r="U214" s="1572">
        <f>U209*U203*U201/'II. Inputs, Baseline Energy Mix'!$R$104</f>
        <v>0</v>
      </c>
      <c r="V214" s="1572">
        <f>V209*V203*V201/'II. Inputs, Baseline Energy Mix'!$R$104</f>
        <v>0</v>
      </c>
      <c r="W214" s="1572">
        <f>W209*W203*W201/'II. Inputs, Baseline Energy Mix'!$R$104</f>
        <v>0</v>
      </c>
      <c r="X214" s="1572">
        <f>X209*X203*X201/'II. Inputs, Baseline Energy Mix'!$R$104</f>
        <v>0</v>
      </c>
      <c r="Y214" s="1572">
        <f>Y209*Y203*Y201/'II. Inputs, Baseline Energy Mix'!$R$104</f>
        <v>0</v>
      </c>
      <c r="Z214" s="1572">
        <f>Z209*Z203*Z201/'II. Inputs, Baseline Energy Mix'!$R$104</f>
        <v>0</v>
      </c>
      <c r="AA214" s="1572">
        <f>AA209*AA203*AA201/'II. Inputs, Baseline Energy Mix'!$R$104</f>
        <v>0</v>
      </c>
      <c r="AB214" s="1572">
        <f>AB209*AB203*AB201/'II. Inputs, Baseline Energy Mix'!$R$104</f>
        <v>0</v>
      </c>
      <c r="AC214" s="1572">
        <f>AC209*AC203*AC201/'II. Inputs, Baseline Energy Mix'!$R$104</f>
        <v>0</v>
      </c>
      <c r="AD214" s="1572">
        <f>AD209*AD203*AD201/'II. Inputs, Baseline Energy Mix'!$R$104</f>
        <v>0</v>
      </c>
      <c r="AE214" s="1572">
        <f>AE209*AE203*AE201/'II. Inputs, Baseline Energy Mix'!$R$104</f>
        <v>0</v>
      </c>
      <c r="AF214" s="1572">
        <f>AF209*AF203*AF201/'II. Inputs, Baseline Energy Mix'!$R$104</f>
        <v>0</v>
      </c>
      <c r="AG214" s="1572">
        <f>AG209*AG203*AG201/'II. Inputs, Baseline Energy Mix'!$R$104</f>
        <v>0</v>
      </c>
      <c r="AH214" s="1572">
        <f>AH209*AH203*AH201/'II. Inputs, Baseline Energy Mix'!$R$104</f>
        <v>0</v>
      </c>
      <c r="AI214" s="1572">
        <f>AI209*AI203*AI201/'II. Inputs, Baseline Energy Mix'!$R$104</f>
        <v>0</v>
      </c>
      <c r="AJ214" s="1572">
        <f>AJ209*AJ203*AJ201/'II. Inputs, Baseline Energy Mix'!$R$104</f>
        <v>0</v>
      </c>
      <c r="AK214" s="1572">
        <f>AK209*AK203*AK201/'II. Inputs, Baseline Energy Mix'!$R$104</f>
        <v>0</v>
      </c>
      <c r="AL214" s="1572">
        <f>AL209*AL203*AL201/'II. Inputs, Baseline Energy Mix'!$R$104</f>
        <v>0</v>
      </c>
      <c r="AM214" s="1572">
        <f>AM209*AM203*AM201/'II. Inputs, Baseline Energy Mix'!$R$104</f>
        <v>0</v>
      </c>
      <c r="AN214" s="1572">
        <f>AN209*AN203*AN201/'II. Inputs, Baseline Energy Mix'!$R$104</f>
        <v>0</v>
      </c>
      <c r="AO214" s="1572">
        <f>AO209*AO203*AO201/'II. Inputs, Baseline Energy Mix'!$R$104</f>
        <v>0</v>
      </c>
      <c r="AP214" s="1572">
        <f>AP209*AP203*AP201/'II. Inputs, Baseline Energy Mix'!$R$104</f>
        <v>0</v>
      </c>
      <c r="AQ214" s="1572">
        <f>AQ209*AQ203*AQ201/'II. Inputs, Baseline Energy Mix'!$R$104</f>
        <v>0</v>
      </c>
      <c r="AR214" s="1572">
        <f>AR209*AR203*AR201/'II. Inputs, Baseline Energy Mix'!$R$104</f>
        <v>0</v>
      </c>
      <c r="AS214" s="1572">
        <f>AS209*AS203*AS201/'II. Inputs, Baseline Energy Mix'!$R$104</f>
        <v>0</v>
      </c>
      <c r="AT214" s="1572">
        <f>AT209*AT203*AT201/'II. Inputs, Baseline Energy Mix'!$R$104</f>
        <v>0</v>
      </c>
      <c r="AU214" s="1572">
        <f>AU209*AU203*AU201/'II. Inputs, Baseline Energy Mix'!$R$104</f>
        <v>0</v>
      </c>
      <c r="AV214" s="1572">
        <f>AV209*AV203*AV201/'II. Inputs, Baseline Energy Mix'!$R$104</f>
        <v>0</v>
      </c>
      <c r="AW214" s="1572">
        <f>AW209*AW203*AW201/'II. Inputs, Baseline Energy Mix'!$R$104</f>
        <v>0</v>
      </c>
      <c r="AX214" s="1572">
        <f>AX209*AX203*AX201/'II. Inputs, Baseline Energy Mix'!$R$104</f>
        <v>0</v>
      </c>
      <c r="AY214" s="1572">
        <f>AY209*AY203*AY201/'II. Inputs, Baseline Energy Mix'!$R$104</f>
        <v>0</v>
      </c>
      <c r="AZ214" s="1572">
        <f>AZ209*AZ203*AZ201/'II. Inputs, Baseline Energy Mix'!$R$104</f>
        <v>0</v>
      </c>
      <c r="BA214" s="1572">
        <f>BA209*BA203*BA201/'II. Inputs, Baseline Energy Mix'!$R$104</f>
        <v>0</v>
      </c>
      <c r="BB214" s="1572">
        <f>BB209*BB203*BB201/'II. Inputs, Baseline Energy Mix'!$R$104</f>
        <v>0</v>
      </c>
      <c r="BC214" s="1572">
        <f>BC209*BC203*BC201/'II. Inputs, Baseline Energy Mix'!$R$104</f>
        <v>0</v>
      </c>
      <c r="BD214" s="1572">
        <f>BD209*BD203*BD201/'II. Inputs, Baseline Energy Mix'!$R$104</f>
        <v>0</v>
      </c>
      <c r="BE214" s="1573">
        <f>BE209*BE203*BE201/'II. Inputs, Baseline Energy Mix'!$R$104</f>
        <v>0</v>
      </c>
      <c r="BF214" s="695"/>
    </row>
    <row r="215" spans="1:58" x14ac:dyDescent="0.45">
      <c r="A215" s="695"/>
      <c r="B215" s="946"/>
      <c r="C215" s="947"/>
      <c r="D215" s="947"/>
      <c r="E215" s="950"/>
      <c r="F215" s="950"/>
      <c r="G215" s="1574"/>
      <c r="H215" s="1572"/>
      <c r="I215" s="1574"/>
      <c r="J215" s="1574"/>
      <c r="K215" s="1574"/>
      <c r="L215" s="1574"/>
      <c r="M215" s="1574"/>
      <c r="N215" s="1574"/>
      <c r="O215" s="1574"/>
      <c r="P215" s="1574"/>
      <c r="Q215" s="1574"/>
      <c r="R215" s="1574"/>
      <c r="S215" s="1574"/>
      <c r="T215" s="1574"/>
      <c r="U215" s="1574"/>
      <c r="V215" s="1574"/>
      <c r="W215" s="1574"/>
      <c r="X215" s="1574"/>
      <c r="Y215" s="1574"/>
      <c r="Z215" s="1574"/>
      <c r="AA215" s="1574"/>
      <c r="AB215" s="1574"/>
      <c r="AC215" s="1574"/>
      <c r="AD215" s="1574"/>
      <c r="AE215" s="1574"/>
      <c r="AF215" s="1574"/>
      <c r="AG215" s="1574"/>
      <c r="AH215" s="1574"/>
      <c r="AI215" s="1574"/>
      <c r="AJ215" s="1574"/>
      <c r="AK215" s="1574"/>
      <c r="AL215" s="1574"/>
      <c r="AM215" s="1574"/>
      <c r="AN215" s="1574"/>
      <c r="AO215" s="1574"/>
      <c r="AP215" s="1574"/>
      <c r="AQ215" s="1574"/>
      <c r="AR215" s="1574"/>
      <c r="AS215" s="1574"/>
      <c r="AT215" s="1574"/>
      <c r="AU215" s="1574"/>
      <c r="AV215" s="1574"/>
      <c r="AW215" s="1574"/>
      <c r="AX215" s="1574"/>
      <c r="AY215" s="1574"/>
      <c r="AZ215" s="1574"/>
      <c r="BA215" s="1574"/>
      <c r="BB215" s="1574"/>
      <c r="BC215" s="1574"/>
      <c r="BD215" s="1574"/>
      <c r="BE215" s="1575"/>
      <c r="BF215" s="695"/>
    </row>
    <row r="216" spans="1:58" x14ac:dyDescent="0.45">
      <c r="A216" s="695"/>
      <c r="B216" s="946" t="s">
        <v>89</v>
      </c>
      <c r="C216" s="947"/>
      <c r="D216" s="947"/>
      <c r="E216" s="950"/>
      <c r="F216" s="950" t="s">
        <v>748</v>
      </c>
      <c r="G216" s="1574"/>
      <c r="H216" s="1574">
        <f>H825</f>
        <v>0</v>
      </c>
      <c r="I216" s="1574">
        <f t="shared" ref="I216:BE216" si="75">I825</f>
        <v>0</v>
      </c>
      <c r="J216" s="1574">
        <f t="shared" si="75"/>
        <v>0</v>
      </c>
      <c r="K216" s="1574">
        <f t="shared" si="75"/>
        <v>0</v>
      </c>
      <c r="L216" s="1574">
        <f t="shared" si="75"/>
        <v>0</v>
      </c>
      <c r="M216" s="1574">
        <f t="shared" si="75"/>
        <v>0</v>
      </c>
      <c r="N216" s="1574">
        <f t="shared" si="75"/>
        <v>0</v>
      </c>
      <c r="O216" s="1574">
        <f t="shared" si="75"/>
        <v>0</v>
      </c>
      <c r="P216" s="1574">
        <f t="shared" si="75"/>
        <v>0</v>
      </c>
      <c r="Q216" s="1574">
        <f t="shared" si="75"/>
        <v>0</v>
      </c>
      <c r="R216" s="1574">
        <f t="shared" si="75"/>
        <v>0</v>
      </c>
      <c r="S216" s="1574">
        <f t="shared" si="75"/>
        <v>0</v>
      </c>
      <c r="T216" s="1574">
        <f t="shared" si="75"/>
        <v>0</v>
      </c>
      <c r="U216" s="1574">
        <f t="shared" si="75"/>
        <v>0</v>
      </c>
      <c r="V216" s="1574">
        <f t="shared" si="75"/>
        <v>0</v>
      </c>
      <c r="W216" s="1574">
        <f t="shared" si="75"/>
        <v>0</v>
      </c>
      <c r="X216" s="1574">
        <f t="shared" si="75"/>
        <v>0</v>
      </c>
      <c r="Y216" s="1574">
        <f t="shared" si="75"/>
        <v>0</v>
      </c>
      <c r="Z216" s="1574">
        <f t="shared" si="75"/>
        <v>0</v>
      </c>
      <c r="AA216" s="1574">
        <f t="shared" si="75"/>
        <v>0</v>
      </c>
      <c r="AB216" s="1574">
        <f t="shared" si="75"/>
        <v>0</v>
      </c>
      <c r="AC216" s="1574">
        <f t="shared" si="75"/>
        <v>0</v>
      </c>
      <c r="AD216" s="1574">
        <f t="shared" si="75"/>
        <v>0</v>
      </c>
      <c r="AE216" s="1574">
        <f t="shared" si="75"/>
        <v>0</v>
      </c>
      <c r="AF216" s="1574">
        <f t="shared" si="75"/>
        <v>0</v>
      </c>
      <c r="AG216" s="1574">
        <f t="shared" si="75"/>
        <v>0</v>
      </c>
      <c r="AH216" s="1574">
        <f t="shared" si="75"/>
        <v>0</v>
      </c>
      <c r="AI216" s="1574">
        <f t="shared" si="75"/>
        <v>0</v>
      </c>
      <c r="AJ216" s="1574">
        <f t="shared" si="75"/>
        <v>0</v>
      </c>
      <c r="AK216" s="1574">
        <f t="shared" si="75"/>
        <v>0</v>
      </c>
      <c r="AL216" s="1574">
        <f t="shared" si="75"/>
        <v>0</v>
      </c>
      <c r="AM216" s="1574">
        <f t="shared" si="75"/>
        <v>0</v>
      </c>
      <c r="AN216" s="1574">
        <f t="shared" si="75"/>
        <v>0</v>
      </c>
      <c r="AO216" s="1574">
        <f t="shared" si="75"/>
        <v>0</v>
      </c>
      <c r="AP216" s="1574">
        <f t="shared" si="75"/>
        <v>0</v>
      </c>
      <c r="AQ216" s="1574">
        <f t="shared" si="75"/>
        <v>0</v>
      </c>
      <c r="AR216" s="1574">
        <f t="shared" si="75"/>
        <v>0</v>
      </c>
      <c r="AS216" s="1574">
        <f t="shared" si="75"/>
        <v>0</v>
      </c>
      <c r="AT216" s="1574">
        <f t="shared" si="75"/>
        <v>0</v>
      </c>
      <c r="AU216" s="1574">
        <f t="shared" si="75"/>
        <v>0</v>
      </c>
      <c r="AV216" s="1574">
        <f t="shared" si="75"/>
        <v>0</v>
      </c>
      <c r="AW216" s="1574">
        <f t="shared" si="75"/>
        <v>0</v>
      </c>
      <c r="AX216" s="1574">
        <f t="shared" si="75"/>
        <v>0</v>
      </c>
      <c r="AY216" s="1574">
        <f t="shared" si="75"/>
        <v>0</v>
      </c>
      <c r="AZ216" s="1574">
        <f t="shared" si="75"/>
        <v>0</v>
      </c>
      <c r="BA216" s="1574">
        <f t="shared" si="75"/>
        <v>0</v>
      </c>
      <c r="BB216" s="1574">
        <f t="shared" si="75"/>
        <v>0</v>
      </c>
      <c r="BC216" s="1574">
        <f t="shared" si="75"/>
        <v>0</v>
      </c>
      <c r="BD216" s="1574">
        <f t="shared" si="75"/>
        <v>0</v>
      </c>
      <c r="BE216" s="1575">
        <f t="shared" si="75"/>
        <v>0</v>
      </c>
      <c r="BF216" s="695"/>
    </row>
    <row r="217" spans="1:58" x14ac:dyDescent="0.45">
      <c r="A217" s="695"/>
      <c r="B217" s="946"/>
      <c r="C217" s="947"/>
      <c r="D217" s="947"/>
      <c r="E217" s="950"/>
      <c r="F217" s="950"/>
      <c r="G217" s="1574"/>
      <c r="H217" s="1574"/>
      <c r="I217" s="1574"/>
      <c r="J217" s="1574"/>
      <c r="K217" s="1574"/>
      <c r="L217" s="1574"/>
      <c r="M217" s="1574"/>
      <c r="N217" s="1574"/>
      <c r="O217" s="1574"/>
      <c r="P217" s="1574"/>
      <c r="Q217" s="1574"/>
      <c r="R217" s="1574"/>
      <c r="S217" s="1574"/>
      <c r="T217" s="1574"/>
      <c r="U217" s="1574"/>
      <c r="V217" s="1574"/>
      <c r="W217" s="1574"/>
      <c r="X217" s="1574"/>
      <c r="Y217" s="1574"/>
      <c r="Z217" s="1574"/>
      <c r="AA217" s="1574"/>
      <c r="AB217" s="1574"/>
      <c r="AC217" s="1574"/>
      <c r="AD217" s="1574"/>
      <c r="AE217" s="1574"/>
      <c r="AF217" s="1574"/>
      <c r="AG217" s="1574"/>
      <c r="AH217" s="1574"/>
      <c r="AI217" s="1574"/>
      <c r="AJ217" s="1574"/>
      <c r="AK217" s="1574"/>
      <c r="AL217" s="1574"/>
      <c r="AM217" s="1574"/>
      <c r="AN217" s="1574"/>
      <c r="AO217" s="1574"/>
      <c r="AP217" s="1574"/>
      <c r="AQ217" s="1574"/>
      <c r="AR217" s="1574"/>
      <c r="AS217" s="1574"/>
      <c r="AT217" s="1574"/>
      <c r="AU217" s="1574"/>
      <c r="AV217" s="1574"/>
      <c r="AW217" s="1574"/>
      <c r="AX217" s="1574"/>
      <c r="AY217" s="1574"/>
      <c r="AZ217" s="1574"/>
      <c r="BA217" s="1574"/>
      <c r="BB217" s="1574"/>
      <c r="BC217" s="1574"/>
      <c r="BD217" s="1574"/>
      <c r="BE217" s="1575"/>
      <c r="BF217" s="695"/>
    </row>
    <row r="218" spans="1:58" x14ac:dyDescent="0.45">
      <c r="A218" s="695"/>
      <c r="B218" s="946" t="s">
        <v>219</v>
      </c>
      <c r="C218" s="947"/>
      <c r="D218" s="947"/>
      <c r="E218" s="950"/>
      <c r="F218" s="950" t="s">
        <v>748</v>
      </c>
      <c r="G218" s="1574"/>
      <c r="H218" s="1574">
        <f>H610</f>
        <v>0</v>
      </c>
      <c r="I218" s="1574">
        <f t="shared" ref="I218:BE218" si="76">I610</f>
        <v>0</v>
      </c>
      <c r="J218" s="1574">
        <f t="shared" si="76"/>
        <v>0</v>
      </c>
      <c r="K218" s="1574">
        <f t="shared" si="76"/>
        <v>0</v>
      </c>
      <c r="L218" s="1574">
        <f t="shared" si="76"/>
        <v>0</v>
      </c>
      <c r="M218" s="1574">
        <f t="shared" si="76"/>
        <v>0</v>
      </c>
      <c r="N218" s="1574">
        <f t="shared" si="76"/>
        <v>0</v>
      </c>
      <c r="O218" s="1574">
        <f t="shared" si="76"/>
        <v>0</v>
      </c>
      <c r="P218" s="1574">
        <f t="shared" si="76"/>
        <v>0</v>
      </c>
      <c r="Q218" s="1574">
        <f t="shared" si="76"/>
        <v>0</v>
      </c>
      <c r="R218" s="1574">
        <f t="shared" si="76"/>
        <v>0</v>
      </c>
      <c r="S218" s="1574">
        <f t="shared" si="76"/>
        <v>0</v>
      </c>
      <c r="T218" s="1574">
        <f t="shared" si="76"/>
        <v>0</v>
      </c>
      <c r="U218" s="1574">
        <f t="shared" si="76"/>
        <v>0</v>
      </c>
      <c r="V218" s="1574">
        <f t="shared" si="76"/>
        <v>0</v>
      </c>
      <c r="W218" s="1574">
        <f t="shared" si="76"/>
        <v>0</v>
      </c>
      <c r="X218" s="1574">
        <f t="shared" si="76"/>
        <v>0</v>
      </c>
      <c r="Y218" s="1574">
        <f t="shared" si="76"/>
        <v>0</v>
      </c>
      <c r="Z218" s="1574">
        <f t="shared" si="76"/>
        <v>0</v>
      </c>
      <c r="AA218" s="1574">
        <f t="shared" si="76"/>
        <v>0</v>
      </c>
      <c r="AB218" s="1574">
        <f t="shared" si="76"/>
        <v>0</v>
      </c>
      <c r="AC218" s="1574">
        <f t="shared" si="76"/>
        <v>0</v>
      </c>
      <c r="AD218" s="1574">
        <f t="shared" si="76"/>
        <v>0</v>
      </c>
      <c r="AE218" s="1574">
        <f t="shared" si="76"/>
        <v>0</v>
      </c>
      <c r="AF218" s="1574">
        <f t="shared" si="76"/>
        <v>0</v>
      </c>
      <c r="AG218" s="1574">
        <f t="shared" si="76"/>
        <v>0</v>
      </c>
      <c r="AH218" s="1574">
        <f t="shared" si="76"/>
        <v>0</v>
      </c>
      <c r="AI218" s="1574">
        <f t="shared" si="76"/>
        <v>0</v>
      </c>
      <c r="AJ218" s="1574">
        <f t="shared" si="76"/>
        <v>0</v>
      </c>
      <c r="AK218" s="1574">
        <f t="shared" si="76"/>
        <v>0</v>
      </c>
      <c r="AL218" s="1574">
        <f t="shared" si="76"/>
        <v>0</v>
      </c>
      <c r="AM218" s="1574">
        <f t="shared" si="76"/>
        <v>0</v>
      </c>
      <c r="AN218" s="1574">
        <f t="shared" si="76"/>
        <v>0</v>
      </c>
      <c r="AO218" s="1574">
        <f t="shared" si="76"/>
        <v>0</v>
      </c>
      <c r="AP218" s="1574">
        <f t="shared" si="76"/>
        <v>0</v>
      </c>
      <c r="AQ218" s="1574">
        <f t="shared" si="76"/>
        <v>0</v>
      </c>
      <c r="AR218" s="1574">
        <f t="shared" si="76"/>
        <v>0</v>
      </c>
      <c r="AS218" s="1574">
        <f t="shared" si="76"/>
        <v>0</v>
      </c>
      <c r="AT218" s="1574">
        <f t="shared" si="76"/>
        <v>0</v>
      </c>
      <c r="AU218" s="1574">
        <f t="shared" si="76"/>
        <v>0</v>
      </c>
      <c r="AV218" s="1574">
        <f t="shared" si="76"/>
        <v>0</v>
      </c>
      <c r="AW218" s="1574">
        <f t="shared" si="76"/>
        <v>0</v>
      </c>
      <c r="AX218" s="1574">
        <f t="shared" si="76"/>
        <v>0</v>
      </c>
      <c r="AY218" s="1574">
        <f t="shared" si="76"/>
        <v>0</v>
      </c>
      <c r="AZ218" s="1574">
        <f t="shared" si="76"/>
        <v>0</v>
      </c>
      <c r="BA218" s="1574">
        <f t="shared" si="76"/>
        <v>0</v>
      </c>
      <c r="BB218" s="1574">
        <f t="shared" si="76"/>
        <v>0</v>
      </c>
      <c r="BC218" s="1574">
        <f t="shared" si="76"/>
        <v>0</v>
      </c>
      <c r="BD218" s="1574">
        <f t="shared" si="76"/>
        <v>0</v>
      </c>
      <c r="BE218" s="1575">
        <f t="shared" si="76"/>
        <v>0</v>
      </c>
      <c r="BF218" s="695"/>
    </row>
    <row r="219" spans="1:58" x14ac:dyDescent="0.45">
      <c r="A219" s="695"/>
      <c r="B219" s="946" t="s">
        <v>160</v>
      </c>
      <c r="C219" s="947"/>
      <c r="D219" s="947"/>
      <c r="E219" s="950"/>
      <c r="F219" s="950" t="s">
        <v>748</v>
      </c>
      <c r="G219" s="1574"/>
      <c r="H219" s="1574">
        <f>H631</f>
        <v>0</v>
      </c>
      <c r="I219" s="1574">
        <f t="shared" ref="I219:BE219" si="77">I631</f>
        <v>0</v>
      </c>
      <c r="J219" s="1574">
        <f t="shared" si="77"/>
        <v>0</v>
      </c>
      <c r="K219" s="1574">
        <f t="shared" si="77"/>
        <v>0</v>
      </c>
      <c r="L219" s="1574">
        <f t="shared" si="77"/>
        <v>0</v>
      </c>
      <c r="M219" s="1574">
        <f t="shared" si="77"/>
        <v>0</v>
      </c>
      <c r="N219" s="1574">
        <f t="shared" si="77"/>
        <v>0</v>
      </c>
      <c r="O219" s="1574">
        <f t="shared" si="77"/>
        <v>0</v>
      </c>
      <c r="P219" s="1574">
        <f t="shared" si="77"/>
        <v>0</v>
      </c>
      <c r="Q219" s="1574">
        <f t="shared" si="77"/>
        <v>0</v>
      </c>
      <c r="R219" s="1574">
        <f t="shared" si="77"/>
        <v>0</v>
      </c>
      <c r="S219" s="1574">
        <f t="shared" si="77"/>
        <v>0</v>
      </c>
      <c r="T219" s="1574">
        <f t="shared" si="77"/>
        <v>0</v>
      </c>
      <c r="U219" s="1574">
        <f t="shared" si="77"/>
        <v>0</v>
      </c>
      <c r="V219" s="1574">
        <f t="shared" si="77"/>
        <v>0</v>
      </c>
      <c r="W219" s="1574">
        <f t="shared" si="77"/>
        <v>0</v>
      </c>
      <c r="X219" s="1574">
        <f t="shared" si="77"/>
        <v>0</v>
      </c>
      <c r="Y219" s="1574">
        <f t="shared" si="77"/>
        <v>0</v>
      </c>
      <c r="Z219" s="1574">
        <f t="shared" si="77"/>
        <v>0</v>
      </c>
      <c r="AA219" s="1574">
        <f t="shared" si="77"/>
        <v>0</v>
      </c>
      <c r="AB219" s="1574">
        <f t="shared" si="77"/>
        <v>0</v>
      </c>
      <c r="AC219" s="1574">
        <f t="shared" si="77"/>
        <v>0</v>
      </c>
      <c r="AD219" s="1574">
        <f t="shared" si="77"/>
        <v>0</v>
      </c>
      <c r="AE219" s="1574">
        <f t="shared" si="77"/>
        <v>0</v>
      </c>
      <c r="AF219" s="1574">
        <f t="shared" si="77"/>
        <v>0</v>
      </c>
      <c r="AG219" s="1574">
        <f t="shared" si="77"/>
        <v>0</v>
      </c>
      <c r="AH219" s="1574">
        <f t="shared" si="77"/>
        <v>0</v>
      </c>
      <c r="AI219" s="1574">
        <f t="shared" si="77"/>
        <v>0</v>
      </c>
      <c r="AJ219" s="1574">
        <f t="shared" si="77"/>
        <v>0</v>
      </c>
      <c r="AK219" s="1574">
        <f t="shared" si="77"/>
        <v>0</v>
      </c>
      <c r="AL219" s="1574">
        <f t="shared" si="77"/>
        <v>0</v>
      </c>
      <c r="AM219" s="1574">
        <f t="shared" si="77"/>
        <v>0</v>
      </c>
      <c r="AN219" s="1574">
        <f t="shared" si="77"/>
        <v>0</v>
      </c>
      <c r="AO219" s="1574">
        <f t="shared" si="77"/>
        <v>0</v>
      </c>
      <c r="AP219" s="1574">
        <f t="shared" si="77"/>
        <v>0</v>
      </c>
      <c r="AQ219" s="1574">
        <f t="shared" si="77"/>
        <v>0</v>
      </c>
      <c r="AR219" s="1574">
        <f t="shared" si="77"/>
        <v>0</v>
      </c>
      <c r="AS219" s="1574">
        <f t="shared" si="77"/>
        <v>0</v>
      </c>
      <c r="AT219" s="1574">
        <f t="shared" si="77"/>
        <v>0</v>
      </c>
      <c r="AU219" s="1574">
        <f t="shared" si="77"/>
        <v>0</v>
      </c>
      <c r="AV219" s="1574">
        <f t="shared" si="77"/>
        <v>0</v>
      </c>
      <c r="AW219" s="1574">
        <f t="shared" si="77"/>
        <v>0</v>
      </c>
      <c r="AX219" s="1574">
        <f t="shared" si="77"/>
        <v>0</v>
      </c>
      <c r="AY219" s="1574">
        <f t="shared" si="77"/>
        <v>0</v>
      </c>
      <c r="AZ219" s="1574">
        <f t="shared" si="77"/>
        <v>0</v>
      </c>
      <c r="BA219" s="1574">
        <f t="shared" si="77"/>
        <v>0</v>
      </c>
      <c r="BB219" s="1574">
        <f t="shared" si="77"/>
        <v>0</v>
      </c>
      <c r="BC219" s="1574">
        <f t="shared" si="77"/>
        <v>0</v>
      </c>
      <c r="BD219" s="1574">
        <f t="shared" si="77"/>
        <v>0</v>
      </c>
      <c r="BE219" s="1575">
        <f t="shared" si="77"/>
        <v>0</v>
      </c>
      <c r="BF219" s="695"/>
    </row>
    <row r="220" spans="1:58" x14ac:dyDescent="0.45">
      <c r="A220" s="695"/>
      <c r="B220" s="946" t="s">
        <v>161</v>
      </c>
      <c r="C220" s="947"/>
      <c r="D220" s="947"/>
      <c r="E220" s="950"/>
      <c r="F220" s="950" t="s">
        <v>748</v>
      </c>
      <c r="G220" s="1574"/>
      <c r="H220" s="1574">
        <f>H652</f>
        <v>0</v>
      </c>
      <c r="I220" s="1574">
        <f t="shared" ref="I220:BE220" si="78">I652</f>
        <v>0</v>
      </c>
      <c r="J220" s="1574">
        <f t="shared" si="78"/>
        <v>0</v>
      </c>
      <c r="K220" s="1574">
        <f t="shared" si="78"/>
        <v>0</v>
      </c>
      <c r="L220" s="1574">
        <f t="shared" si="78"/>
        <v>0</v>
      </c>
      <c r="M220" s="1574">
        <f t="shared" si="78"/>
        <v>0</v>
      </c>
      <c r="N220" s="1574">
        <f t="shared" si="78"/>
        <v>0</v>
      </c>
      <c r="O220" s="1574">
        <f t="shared" si="78"/>
        <v>0</v>
      </c>
      <c r="P220" s="1574">
        <f t="shared" si="78"/>
        <v>0</v>
      </c>
      <c r="Q220" s="1574">
        <f t="shared" si="78"/>
        <v>0</v>
      </c>
      <c r="R220" s="1574">
        <f t="shared" si="78"/>
        <v>0</v>
      </c>
      <c r="S220" s="1574">
        <f t="shared" si="78"/>
        <v>0</v>
      </c>
      <c r="T220" s="1574">
        <f t="shared" si="78"/>
        <v>0</v>
      </c>
      <c r="U220" s="1574">
        <f t="shared" si="78"/>
        <v>0</v>
      </c>
      <c r="V220" s="1574">
        <f t="shared" si="78"/>
        <v>0</v>
      </c>
      <c r="W220" s="1574">
        <f t="shared" si="78"/>
        <v>0</v>
      </c>
      <c r="X220" s="1574">
        <f t="shared" si="78"/>
        <v>0</v>
      </c>
      <c r="Y220" s="1574">
        <f t="shared" si="78"/>
        <v>0</v>
      </c>
      <c r="Z220" s="1574">
        <f t="shared" si="78"/>
        <v>0</v>
      </c>
      <c r="AA220" s="1574">
        <f t="shared" si="78"/>
        <v>0</v>
      </c>
      <c r="AB220" s="1574">
        <f t="shared" si="78"/>
        <v>0</v>
      </c>
      <c r="AC220" s="1574">
        <f t="shared" si="78"/>
        <v>0</v>
      </c>
      <c r="AD220" s="1574">
        <f t="shared" si="78"/>
        <v>0</v>
      </c>
      <c r="AE220" s="1574">
        <f t="shared" si="78"/>
        <v>0</v>
      </c>
      <c r="AF220" s="1574">
        <f t="shared" si="78"/>
        <v>0</v>
      </c>
      <c r="AG220" s="1574">
        <f t="shared" si="78"/>
        <v>0</v>
      </c>
      <c r="AH220" s="1574">
        <f t="shared" si="78"/>
        <v>0</v>
      </c>
      <c r="AI220" s="1574">
        <f t="shared" si="78"/>
        <v>0</v>
      </c>
      <c r="AJ220" s="1574">
        <f t="shared" si="78"/>
        <v>0</v>
      </c>
      <c r="AK220" s="1574">
        <f t="shared" si="78"/>
        <v>0</v>
      </c>
      <c r="AL220" s="1574">
        <f t="shared" si="78"/>
        <v>0</v>
      </c>
      <c r="AM220" s="1574">
        <f t="shared" si="78"/>
        <v>0</v>
      </c>
      <c r="AN220" s="1574">
        <f t="shared" si="78"/>
        <v>0</v>
      </c>
      <c r="AO220" s="1574">
        <f t="shared" si="78"/>
        <v>0</v>
      </c>
      <c r="AP220" s="1574">
        <f t="shared" si="78"/>
        <v>0</v>
      </c>
      <c r="AQ220" s="1574">
        <f t="shared" si="78"/>
        <v>0</v>
      </c>
      <c r="AR220" s="1574">
        <f t="shared" si="78"/>
        <v>0</v>
      </c>
      <c r="AS220" s="1574">
        <f t="shared" si="78"/>
        <v>0</v>
      </c>
      <c r="AT220" s="1574">
        <f t="shared" si="78"/>
        <v>0</v>
      </c>
      <c r="AU220" s="1574">
        <f t="shared" si="78"/>
        <v>0</v>
      </c>
      <c r="AV220" s="1574">
        <f t="shared" si="78"/>
        <v>0</v>
      </c>
      <c r="AW220" s="1574">
        <f t="shared" si="78"/>
        <v>0</v>
      </c>
      <c r="AX220" s="1574">
        <f t="shared" si="78"/>
        <v>0</v>
      </c>
      <c r="AY220" s="1574">
        <f t="shared" si="78"/>
        <v>0</v>
      </c>
      <c r="AZ220" s="1574">
        <f t="shared" si="78"/>
        <v>0</v>
      </c>
      <c r="BA220" s="1574">
        <f t="shared" si="78"/>
        <v>0</v>
      </c>
      <c r="BB220" s="1574">
        <f t="shared" si="78"/>
        <v>0</v>
      </c>
      <c r="BC220" s="1574">
        <f t="shared" si="78"/>
        <v>0</v>
      </c>
      <c r="BD220" s="1574">
        <f t="shared" si="78"/>
        <v>0</v>
      </c>
      <c r="BE220" s="1575">
        <f t="shared" si="78"/>
        <v>0</v>
      </c>
      <c r="BF220" s="695"/>
    </row>
    <row r="221" spans="1:58" x14ac:dyDescent="0.45">
      <c r="A221" s="695"/>
      <c r="B221" s="946" t="s">
        <v>120</v>
      </c>
      <c r="C221" s="947"/>
      <c r="D221" s="947"/>
      <c r="E221" s="950"/>
      <c r="F221" s="950" t="s">
        <v>748</v>
      </c>
      <c r="G221" s="1574"/>
      <c r="H221" s="1574">
        <f>(H621+H642+H663)</f>
        <v>0</v>
      </c>
      <c r="I221" s="1574">
        <f>(I621+I642+I663)</f>
        <v>0</v>
      </c>
      <c r="J221" s="1574">
        <f t="shared" ref="J221:BE221" si="79">(J621+J642+J663)</f>
        <v>0</v>
      </c>
      <c r="K221" s="1574">
        <f t="shared" si="79"/>
        <v>0</v>
      </c>
      <c r="L221" s="1574">
        <f t="shared" si="79"/>
        <v>0</v>
      </c>
      <c r="M221" s="1574">
        <f t="shared" si="79"/>
        <v>0</v>
      </c>
      <c r="N221" s="1574">
        <f t="shared" si="79"/>
        <v>0</v>
      </c>
      <c r="O221" s="1574">
        <f t="shared" si="79"/>
        <v>0</v>
      </c>
      <c r="P221" s="1574">
        <f t="shared" si="79"/>
        <v>0</v>
      </c>
      <c r="Q221" s="1574">
        <f t="shared" si="79"/>
        <v>0</v>
      </c>
      <c r="R221" s="1574">
        <f t="shared" si="79"/>
        <v>0</v>
      </c>
      <c r="S221" s="1574">
        <f t="shared" si="79"/>
        <v>0</v>
      </c>
      <c r="T221" s="1574">
        <f t="shared" si="79"/>
        <v>0</v>
      </c>
      <c r="U221" s="1574">
        <f t="shared" si="79"/>
        <v>0</v>
      </c>
      <c r="V221" s="1574">
        <f t="shared" si="79"/>
        <v>0</v>
      </c>
      <c r="W221" s="1574">
        <f t="shared" si="79"/>
        <v>0</v>
      </c>
      <c r="X221" s="1574">
        <f t="shared" si="79"/>
        <v>0</v>
      </c>
      <c r="Y221" s="1574">
        <f t="shared" si="79"/>
        <v>0</v>
      </c>
      <c r="Z221" s="1574">
        <f t="shared" si="79"/>
        <v>0</v>
      </c>
      <c r="AA221" s="1574">
        <f t="shared" si="79"/>
        <v>0</v>
      </c>
      <c r="AB221" s="1574">
        <f t="shared" si="79"/>
        <v>0</v>
      </c>
      <c r="AC221" s="1574">
        <f t="shared" si="79"/>
        <v>0</v>
      </c>
      <c r="AD221" s="1574">
        <f t="shared" si="79"/>
        <v>0</v>
      </c>
      <c r="AE221" s="1574">
        <f t="shared" si="79"/>
        <v>0</v>
      </c>
      <c r="AF221" s="1574">
        <f t="shared" si="79"/>
        <v>0</v>
      </c>
      <c r="AG221" s="1574">
        <f t="shared" si="79"/>
        <v>0</v>
      </c>
      <c r="AH221" s="1574">
        <f t="shared" si="79"/>
        <v>0</v>
      </c>
      <c r="AI221" s="1574">
        <f t="shared" si="79"/>
        <v>0</v>
      </c>
      <c r="AJ221" s="1574">
        <f t="shared" si="79"/>
        <v>0</v>
      </c>
      <c r="AK221" s="1574">
        <f t="shared" si="79"/>
        <v>0</v>
      </c>
      <c r="AL221" s="1574">
        <f t="shared" si="79"/>
        <v>0</v>
      </c>
      <c r="AM221" s="1574">
        <f t="shared" si="79"/>
        <v>0</v>
      </c>
      <c r="AN221" s="1574">
        <f t="shared" si="79"/>
        <v>0</v>
      </c>
      <c r="AO221" s="1574">
        <f t="shared" si="79"/>
        <v>0</v>
      </c>
      <c r="AP221" s="1574">
        <f t="shared" si="79"/>
        <v>0</v>
      </c>
      <c r="AQ221" s="1574">
        <f t="shared" si="79"/>
        <v>0</v>
      </c>
      <c r="AR221" s="1574">
        <f t="shared" si="79"/>
        <v>0</v>
      </c>
      <c r="AS221" s="1574">
        <f t="shared" si="79"/>
        <v>0</v>
      </c>
      <c r="AT221" s="1574">
        <f t="shared" si="79"/>
        <v>0</v>
      </c>
      <c r="AU221" s="1574">
        <f t="shared" si="79"/>
        <v>0</v>
      </c>
      <c r="AV221" s="1574">
        <f t="shared" si="79"/>
        <v>0</v>
      </c>
      <c r="AW221" s="1574">
        <f t="shared" si="79"/>
        <v>0</v>
      </c>
      <c r="AX221" s="1574">
        <f t="shared" si="79"/>
        <v>0</v>
      </c>
      <c r="AY221" s="1574">
        <f t="shared" si="79"/>
        <v>0</v>
      </c>
      <c r="AZ221" s="1574">
        <f t="shared" si="79"/>
        <v>0</v>
      </c>
      <c r="BA221" s="1574">
        <f t="shared" si="79"/>
        <v>0</v>
      </c>
      <c r="BB221" s="1574">
        <f t="shared" si="79"/>
        <v>0</v>
      </c>
      <c r="BC221" s="1574">
        <f t="shared" si="79"/>
        <v>0</v>
      </c>
      <c r="BD221" s="1574">
        <f t="shared" si="79"/>
        <v>0</v>
      </c>
      <c r="BE221" s="1575">
        <f t="shared" si="79"/>
        <v>0</v>
      </c>
      <c r="BF221" s="695"/>
    </row>
    <row r="222" spans="1:58" x14ac:dyDescent="0.45">
      <c r="A222" s="695"/>
      <c r="B222" s="946" t="s">
        <v>162</v>
      </c>
      <c r="C222" s="947"/>
      <c r="D222" s="947"/>
      <c r="E222" s="950"/>
      <c r="F222" s="950" t="s">
        <v>748</v>
      </c>
      <c r="G222" s="1574"/>
      <c r="H222" s="1574">
        <f>(H643+H644)</f>
        <v>0</v>
      </c>
      <c r="I222" s="1574">
        <f>(I643+I644)</f>
        <v>0</v>
      </c>
      <c r="J222" s="1574">
        <f t="shared" ref="J222:BE222" si="80">(J643+J644)</f>
        <v>0</v>
      </c>
      <c r="K222" s="1574">
        <f t="shared" si="80"/>
        <v>0</v>
      </c>
      <c r="L222" s="1574">
        <f t="shared" si="80"/>
        <v>0</v>
      </c>
      <c r="M222" s="1574">
        <f t="shared" si="80"/>
        <v>0</v>
      </c>
      <c r="N222" s="1574">
        <f t="shared" si="80"/>
        <v>0</v>
      </c>
      <c r="O222" s="1574">
        <f t="shared" si="80"/>
        <v>0</v>
      </c>
      <c r="P222" s="1574">
        <f t="shared" si="80"/>
        <v>0</v>
      </c>
      <c r="Q222" s="1574">
        <f t="shared" si="80"/>
        <v>0</v>
      </c>
      <c r="R222" s="1574">
        <f t="shared" si="80"/>
        <v>0</v>
      </c>
      <c r="S222" s="1574">
        <f t="shared" si="80"/>
        <v>0</v>
      </c>
      <c r="T222" s="1574">
        <f t="shared" si="80"/>
        <v>0</v>
      </c>
      <c r="U222" s="1574">
        <f t="shared" si="80"/>
        <v>0</v>
      </c>
      <c r="V222" s="1574">
        <f t="shared" si="80"/>
        <v>0</v>
      </c>
      <c r="W222" s="1574">
        <f t="shared" si="80"/>
        <v>0</v>
      </c>
      <c r="X222" s="1574">
        <f t="shared" si="80"/>
        <v>0</v>
      </c>
      <c r="Y222" s="1574">
        <f t="shared" si="80"/>
        <v>0</v>
      </c>
      <c r="Z222" s="1574">
        <f t="shared" si="80"/>
        <v>0</v>
      </c>
      <c r="AA222" s="1574">
        <f t="shared" si="80"/>
        <v>0</v>
      </c>
      <c r="AB222" s="1574">
        <f t="shared" si="80"/>
        <v>0</v>
      </c>
      <c r="AC222" s="1574">
        <f t="shared" si="80"/>
        <v>0</v>
      </c>
      <c r="AD222" s="1574">
        <f t="shared" si="80"/>
        <v>0</v>
      </c>
      <c r="AE222" s="1574">
        <f t="shared" si="80"/>
        <v>0</v>
      </c>
      <c r="AF222" s="1574">
        <f t="shared" si="80"/>
        <v>0</v>
      </c>
      <c r="AG222" s="1574">
        <f t="shared" si="80"/>
        <v>0</v>
      </c>
      <c r="AH222" s="1574">
        <f t="shared" si="80"/>
        <v>0</v>
      </c>
      <c r="AI222" s="1574">
        <f t="shared" si="80"/>
        <v>0</v>
      </c>
      <c r="AJ222" s="1574">
        <f t="shared" si="80"/>
        <v>0</v>
      </c>
      <c r="AK222" s="1574">
        <f t="shared" si="80"/>
        <v>0</v>
      </c>
      <c r="AL222" s="1574">
        <f t="shared" si="80"/>
        <v>0</v>
      </c>
      <c r="AM222" s="1574">
        <f t="shared" si="80"/>
        <v>0</v>
      </c>
      <c r="AN222" s="1574">
        <f t="shared" si="80"/>
        <v>0</v>
      </c>
      <c r="AO222" s="1574">
        <f t="shared" si="80"/>
        <v>0</v>
      </c>
      <c r="AP222" s="1574">
        <f t="shared" si="80"/>
        <v>0</v>
      </c>
      <c r="AQ222" s="1574">
        <f t="shared" si="80"/>
        <v>0</v>
      </c>
      <c r="AR222" s="1574">
        <f t="shared" si="80"/>
        <v>0</v>
      </c>
      <c r="AS222" s="1574">
        <f t="shared" si="80"/>
        <v>0</v>
      </c>
      <c r="AT222" s="1574">
        <f t="shared" si="80"/>
        <v>0</v>
      </c>
      <c r="AU222" s="1574">
        <f t="shared" si="80"/>
        <v>0</v>
      </c>
      <c r="AV222" s="1574">
        <f t="shared" si="80"/>
        <v>0</v>
      </c>
      <c r="AW222" s="1574">
        <f t="shared" si="80"/>
        <v>0</v>
      </c>
      <c r="AX222" s="1574">
        <f t="shared" si="80"/>
        <v>0</v>
      </c>
      <c r="AY222" s="1574">
        <f t="shared" si="80"/>
        <v>0</v>
      </c>
      <c r="AZ222" s="1574">
        <f t="shared" si="80"/>
        <v>0</v>
      </c>
      <c r="BA222" s="1574">
        <f t="shared" si="80"/>
        <v>0</v>
      </c>
      <c r="BB222" s="1574">
        <f t="shared" si="80"/>
        <v>0</v>
      </c>
      <c r="BC222" s="1574">
        <f t="shared" si="80"/>
        <v>0</v>
      </c>
      <c r="BD222" s="1574">
        <f t="shared" si="80"/>
        <v>0</v>
      </c>
      <c r="BE222" s="1575">
        <f t="shared" si="80"/>
        <v>0</v>
      </c>
      <c r="BF222" s="695"/>
    </row>
    <row r="223" spans="1:58" x14ac:dyDescent="0.45">
      <c r="A223" s="695"/>
      <c r="B223" s="946" t="s">
        <v>121</v>
      </c>
      <c r="C223" s="947"/>
      <c r="D223" s="947"/>
      <c r="E223" s="950"/>
      <c r="F223" s="950" t="s">
        <v>748</v>
      </c>
      <c r="G223" s="1574"/>
      <c r="H223" s="1574">
        <f>(H673+H674)</f>
        <v>0</v>
      </c>
      <c r="I223" s="1574">
        <f>(I673+I674)</f>
        <v>0</v>
      </c>
      <c r="J223" s="1574">
        <f t="shared" ref="J223:BE223" si="81">(J673+J674)</f>
        <v>0</v>
      </c>
      <c r="K223" s="1574">
        <f t="shared" si="81"/>
        <v>0</v>
      </c>
      <c r="L223" s="1574">
        <f t="shared" si="81"/>
        <v>0</v>
      </c>
      <c r="M223" s="1574">
        <f t="shared" si="81"/>
        <v>0</v>
      </c>
      <c r="N223" s="1574">
        <f t="shared" si="81"/>
        <v>0</v>
      </c>
      <c r="O223" s="1574">
        <f t="shared" si="81"/>
        <v>0</v>
      </c>
      <c r="P223" s="1574">
        <f t="shared" si="81"/>
        <v>0</v>
      </c>
      <c r="Q223" s="1574">
        <f t="shared" si="81"/>
        <v>0</v>
      </c>
      <c r="R223" s="1574">
        <f t="shared" si="81"/>
        <v>0</v>
      </c>
      <c r="S223" s="1574">
        <f t="shared" si="81"/>
        <v>0</v>
      </c>
      <c r="T223" s="1574">
        <f t="shared" si="81"/>
        <v>0</v>
      </c>
      <c r="U223" s="1574">
        <f t="shared" si="81"/>
        <v>0</v>
      </c>
      <c r="V223" s="1574">
        <f t="shared" si="81"/>
        <v>0</v>
      </c>
      <c r="W223" s="1574">
        <f t="shared" si="81"/>
        <v>0</v>
      </c>
      <c r="X223" s="1574">
        <f t="shared" si="81"/>
        <v>0</v>
      </c>
      <c r="Y223" s="1574">
        <f t="shared" si="81"/>
        <v>0</v>
      </c>
      <c r="Z223" s="1574">
        <f t="shared" si="81"/>
        <v>0</v>
      </c>
      <c r="AA223" s="1574">
        <f t="shared" si="81"/>
        <v>0</v>
      </c>
      <c r="AB223" s="1574">
        <f t="shared" si="81"/>
        <v>0</v>
      </c>
      <c r="AC223" s="1574">
        <f t="shared" si="81"/>
        <v>0</v>
      </c>
      <c r="AD223" s="1574">
        <f t="shared" si="81"/>
        <v>0</v>
      </c>
      <c r="AE223" s="1574">
        <f t="shared" si="81"/>
        <v>0</v>
      </c>
      <c r="AF223" s="1574">
        <f t="shared" si="81"/>
        <v>0</v>
      </c>
      <c r="AG223" s="1574">
        <f t="shared" si="81"/>
        <v>0</v>
      </c>
      <c r="AH223" s="1574">
        <f t="shared" si="81"/>
        <v>0</v>
      </c>
      <c r="AI223" s="1574">
        <f t="shared" si="81"/>
        <v>0</v>
      </c>
      <c r="AJ223" s="1574">
        <f t="shared" si="81"/>
        <v>0</v>
      </c>
      <c r="AK223" s="1574">
        <f t="shared" si="81"/>
        <v>0</v>
      </c>
      <c r="AL223" s="1574">
        <f t="shared" si="81"/>
        <v>0</v>
      </c>
      <c r="AM223" s="1574">
        <f t="shared" si="81"/>
        <v>0</v>
      </c>
      <c r="AN223" s="1574">
        <f t="shared" si="81"/>
        <v>0</v>
      </c>
      <c r="AO223" s="1574">
        <f t="shared" si="81"/>
        <v>0</v>
      </c>
      <c r="AP223" s="1574">
        <f t="shared" si="81"/>
        <v>0</v>
      </c>
      <c r="AQ223" s="1574">
        <f t="shared" si="81"/>
        <v>0</v>
      </c>
      <c r="AR223" s="1574">
        <f t="shared" si="81"/>
        <v>0</v>
      </c>
      <c r="AS223" s="1574">
        <f t="shared" si="81"/>
        <v>0</v>
      </c>
      <c r="AT223" s="1574">
        <f t="shared" si="81"/>
        <v>0</v>
      </c>
      <c r="AU223" s="1574">
        <f t="shared" si="81"/>
        <v>0</v>
      </c>
      <c r="AV223" s="1574">
        <f t="shared" si="81"/>
        <v>0</v>
      </c>
      <c r="AW223" s="1574">
        <f t="shared" si="81"/>
        <v>0</v>
      </c>
      <c r="AX223" s="1574">
        <f t="shared" si="81"/>
        <v>0</v>
      </c>
      <c r="AY223" s="1574">
        <f t="shared" si="81"/>
        <v>0</v>
      </c>
      <c r="AZ223" s="1574">
        <f t="shared" si="81"/>
        <v>0</v>
      </c>
      <c r="BA223" s="1574">
        <f t="shared" si="81"/>
        <v>0</v>
      </c>
      <c r="BB223" s="1574">
        <f t="shared" si="81"/>
        <v>0</v>
      </c>
      <c r="BC223" s="1574">
        <f t="shared" si="81"/>
        <v>0</v>
      </c>
      <c r="BD223" s="1574">
        <f t="shared" si="81"/>
        <v>0</v>
      </c>
      <c r="BE223" s="1575">
        <f t="shared" si="81"/>
        <v>0</v>
      </c>
      <c r="BF223" s="695"/>
    </row>
    <row r="224" spans="1:58" x14ac:dyDescent="0.45">
      <c r="A224" s="695"/>
      <c r="B224" s="946"/>
      <c r="C224" s="947"/>
      <c r="D224" s="947"/>
      <c r="E224" s="950"/>
      <c r="F224" s="950"/>
      <c r="G224" s="1574"/>
      <c r="H224" s="1574"/>
      <c r="I224" s="1574"/>
      <c r="J224" s="1574"/>
      <c r="K224" s="1574"/>
      <c r="L224" s="1574"/>
      <c r="M224" s="1574"/>
      <c r="N224" s="1574"/>
      <c r="O224" s="1574"/>
      <c r="P224" s="1574"/>
      <c r="Q224" s="1574"/>
      <c r="R224" s="1574"/>
      <c r="S224" s="1574"/>
      <c r="T224" s="1574"/>
      <c r="U224" s="1574"/>
      <c r="V224" s="1574"/>
      <c r="W224" s="1574"/>
      <c r="X224" s="1574"/>
      <c r="Y224" s="1574"/>
      <c r="Z224" s="1574"/>
      <c r="AA224" s="1574"/>
      <c r="AB224" s="1574"/>
      <c r="AC224" s="1574"/>
      <c r="AD224" s="1574"/>
      <c r="AE224" s="1574"/>
      <c r="AF224" s="1574"/>
      <c r="AG224" s="1574"/>
      <c r="AH224" s="1574"/>
      <c r="AI224" s="1574"/>
      <c r="AJ224" s="1574"/>
      <c r="AK224" s="1574"/>
      <c r="AL224" s="1574"/>
      <c r="AM224" s="1574"/>
      <c r="AN224" s="1574"/>
      <c r="AO224" s="1574"/>
      <c r="AP224" s="1574"/>
      <c r="AQ224" s="1574"/>
      <c r="AR224" s="1574"/>
      <c r="AS224" s="1574"/>
      <c r="AT224" s="1574"/>
      <c r="AU224" s="1574"/>
      <c r="AV224" s="1574"/>
      <c r="AW224" s="1574"/>
      <c r="AX224" s="1574"/>
      <c r="AY224" s="1574"/>
      <c r="AZ224" s="1574"/>
      <c r="BA224" s="1574"/>
      <c r="BB224" s="1574"/>
      <c r="BC224" s="1574"/>
      <c r="BD224" s="1574"/>
      <c r="BE224" s="1575"/>
      <c r="BF224" s="695"/>
    </row>
    <row r="225" spans="1:58" x14ac:dyDescent="0.45">
      <c r="A225" s="695"/>
      <c r="B225" s="946"/>
      <c r="C225" s="947"/>
      <c r="D225" s="947"/>
      <c r="E225" s="950"/>
      <c r="F225" s="950"/>
      <c r="G225" s="1574"/>
      <c r="H225" s="1574"/>
      <c r="I225" s="1574"/>
      <c r="J225" s="1574"/>
      <c r="K225" s="1574"/>
      <c r="L225" s="1574"/>
      <c r="M225" s="1574"/>
      <c r="N225" s="1574"/>
      <c r="O225" s="1574"/>
      <c r="P225" s="1574"/>
      <c r="Q225" s="1574"/>
      <c r="R225" s="1574"/>
      <c r="S225" s="1574"/>
      <c r="T225" s="1574"/>
      <c r="U225" s="1574"/>
      <c r="V225" s="1574"/>
      <c r="W225" s="1574"/>
      <c r="X225" s="1574"/>
      <c r="Y225" s="1574"/>
      <c r="Z225" s="1574"/>
      <c r="AA225" s="1574"/>
      <c r="AB225" s="1574"/>
      <c r="AC225" s="1574"/>
      <c r="AD225" s="1574"/>
      <c r="AE225" s="1574"/>
      <c r="AF225" s="1574"/>
      <c r="AG225" s="1574"/>
      <c r="AH225" s="1574"/>
      <c r="AI225" s="1574"/>
      <c r="AJ225" s="1574"/>
      <c r="AK225" s="1574"/>
      <c r="AL225" s="1574"/>
      <c r="AM225" s="1574"/>
      <c r="AN225" s="1574"/>
      <c r="AO225" s="1574"/>
      <c r="AP225" s="1574"/>
      <c r="AQ225" s="1574"/>
      <c r="AR225" s="1574"/>
      <c r="AS225" s="1574"/>
      <c r="AT225" s="1574"/>
      <c r="AU225" s="1574"/>
      <c r="AV225" s="1574"/>
      <c r="AW225" s="1574"/>
      <c r="AX225" s="1574"/>
      <c r="AY225" s="1574"/>
      <c r="AZ225" s="1574"/>
      <c r="BA225" s="1574"/>
      <c r="BB225" s="1574"/>
      <c r="BC225" s="1574"/>
      <c r="BD225" s="1574"/>
      <c r="BE225" s="1575"/>
      <c r="BF225" s="695"/>
    </row>
    <row r="226" spans="1:58" ht="13.15" x14ac:dyDescent="0.45">
      <c r="A226" s="695"/>
      <c r="B226" s="959" t="s">
        <v>460</v>
      </c>
      <c r="C226" s="947"/>
      <c r="D226" s="947"/>
      <c r="E226" s="950"/>
      <c r="F226" s="950"/>
      <c r="G226" s="1574"/>
      <c r="H226" s="1574"/>
      <c r="I226" s="1574"/>
      <c r="J226" s="1574"/>
      <c r="K226" s="1574"/>
      <c r="L226" s="1574"/>
      <c r="M226" s="1574"/>
      <c r="N226" s="1574"/>
      <c r="O226" s="1574"/>
      <c r="P226" s="1574"/>
      <c r="Q226" s="1574"/>
      <c r="R226" s="1574"/>
      <c r="S226" s="1574"/>
      <c r="T226" s="1574"/>
      <c r="U226" s="1574"/>
      <c r="V226" s="1574"/>
      <c r="W226" s="1574"/>
      <c r="X226" s="1574"/>
      <c r="Y226" s="1574"/>
      <c r="Z226" s="1574"/>
      <c r="AA226" s="1574"/>
      <c r="AB226" s="1574"/>
      <c r="AC226" s="1574"/>
      <c r="AD226" s="1574"/>
      <c r="AE226" s="1574"/>
      <c r="AF226" s="1574"/>
      <c r="AG226" s="1574"/>
      <c r="AH226" s="1574"/>
      <c r="AI226" s="1574"/>
      <c r="AJ226" s="1574"/>
      <c r="AK226" s="1574"/>
      <c r="AL226" s="1574"/>
      <c r="AM226" s="1574"/>
      <c r="AN226" s="1574"/>
      <c r="AO226" s="1574"/>
      <c r="AP226" s="1574"/>
      <c r="AQ226" s="1574"/>
      <c r="AR226" s="1574"/>
      <c r="AS226" s="1574"/>
      <c r="AT226" s="1574"/>
      <c r="AU226" s="1574"/>
      <c r="AV226" s="1574"/>
      <c r="AW226" s="1574"/>
      <c r="AX226" s="1574"/>
      <c r="AY226" s="1574"/>
      <c r="AZ226" s="1574"/>
      <c r="BA226" s="1574"/>
      <c r="BB226" s="1574"/>
      <c r="BC226" s="1574"/>
      <c r="BD226" s="1574"/>
      <c r="BE226" s="1575"/>
      <c r="BF226" s="695"/>
    </row>
    <row r="227" spans="1:58" x14ac:dyDescent="0.45">
      <c r="A227" s="695"/>
      <c r="B227" s="946"/>
      <c r="C227" s="947"/>
      <c r="D227" s="947"/>
      <c r="E227" s="950"/>
      <c r="F227" s="950"/>
      <c r="G227" s="1574"/>
      <c r="H227" s="1574"/>
      <c r="I227" s="1574"/>
      <c r="J227" s="1574"/>
      <c r="K227" s="1574"/>
      <c r="L227" s="1574"/>
      <c r="M227" s="1574"/>
      <c r="N227" s="1574"/>
      <c r="O227" s="1574"/>
      <c r="P227" s="1574"/>
      <c r="Q227" s="1574"/>
      <c r="R227" s="1574"/>
      <c r="S227" s="1574"/>
      <c r="T227" s="1574"/>
      <c r="U227" s="1574"/>
      <c r="V227" s="1574"/>
      <c r="W227" s="1574"/>
      <c r="X227" s="1574"/>
      <c r="Y227" s="1574"/>
      <c r="Z227" s="1574"/>
      <c r="AA227" s="1574"/>
      <c r="AB227" s="1574"/>
      <c r="AC227" s="1574"/>
      <c r="AD227" s="1574"/>
      <c r="AE227" s="1574"/>
      <c r="AF227" s="1574"/>
      <c r="AG227" s="1574"/>
      <c r="AH227" s="1574"/>
      <c r="AI227" s="1574"/>
      <c r="AJ227" s="1574"/>
      <c r="AK227" s="1574"/>
      <c r="AL227" s="1574"/>
      <c r="AM227" s="1574"/>
      <c r="AN227" s="1574"/>
      <c r="AO227" s="1574"/>
      <c r="AP227" s="1574"/>
      <c r="AQ227" s="1574"/>
      <c r="AR227" s="1574"/>
      <c r="AS227" s="1574"/>
      <c r="AT227" s="1574"/>
      <c r="AU227" s="1574"/>
      <c r="AV227" s="1574"/>
      <c r="AW227" s="1574"/>
      <c r="AX227" s="1574"/>
      <c r="AY227" s="1574"/>
      <c r="AZ227" s="1574"/>
      <c r="BA227" s="1574"/>
      <c r="BB227" s="1574"/>
      <c r="BC227" s="1574"/>
      <c r="BD227" s="1574"/>
      <c r="BE227" s="1575"/>
      <c r="BF227" s="695"/>
    </row>
    <row r="228" spans="1:58" x14ac:dyDescent="0.45">
      <c r="A228" s="695"/>
      <c r="B228" s="946" t="str">
        <f>B207</f>
        <v>Operations &amp; Maintenance Expenses, excluding fuel cost</v>
      </c>
      <c r="C228" s="947"/>
      <c r="D228" s="947"/>
      <c r="E228" s="950"/>
      <c r="F228" s="950" t="s">
        <v>748</v>
      </c>
      <c r="G228" s="1574"/>
      <c r="H228" s="1574">
        <f t="shared" ref="H228:AM228" si="82">-H207</f>
        <v>0</v>
      </c>
      <c r="I228" s="1574">
        <f t="shared" si="82"/>
        <v>0</v>
      </c>
      <c r="J228" s="1574">
        <f t="shared" si="82"/>
        <v>0</v>
      </c>
      <c r="K228" s="1574">
        <f t="shared" si="82"/>
        <v>0</v>
      </c>
      <c r="L228" s="1574">
        <f t="shared" si="82"/>
        <v>0</v>
      </c>
      <c r="M228" s="1574">
        <f t="shared" si="82"/>
        <v>0</v>
      </c>
      <c r="N228" s="1574">
        <f t="shared" si="82"/>
        <v>0</v>
      </c>
      <c r="O228" s="1574">
        <f t="shared" si="82"/>
        <v>0</v>
      </c>
      <c r="P228" s="1574">
        <f t="shared" si="82"/>
        <v>0</v>
      </c>
      <c r="Q228" s="1574">
        <f t="shared" si="82"/>
        <v>0</v>
      </c>
      <c r="R228" s="1574">
        <f t="shared" si="82"/>
        <v>0</v>
      </c>
      <c r="S228" s="1574">
        <f t="shared" si="82"/>
        <v>0</v>
      </c>
      <c r="T228" s="1574">
        <f t="shared" si="82"/>
        <v>0</v>
      </c>
      <c r="U228" s="1574">
        <f t="shared" si="82"/>
        <v>0</v>
      </c>
      <c r="V228" s="1574">
        <f t="shared" si="82"/>
        <v>0</v>
      </c>
      <c r="W228" s="1574">
        <f t="shared" si="82"/>
        <v>0</v>
      </c>
      <c r="X228" s="1574">
        <f t="shared" si="82"/>
        <v>0</v>
      </c>
      <c r="Y228" s="1574">
        <f t="shared" si="82"/>
        <v>0</v>
      </c>
      <c r="Z228" s="1574">
        <f t="shared" si="82"/>
        <v>0</v>
      </c>
      <c r="AA228" s="1574">
        <f t="shared" si="82"/>
        <v>0</v>
      </c>
      <c r="AB228" s="1574">
        <f t="shared" si="82"/>
        <v>0</v>
      </c>
      <c r="AC228" s="1574">
        <f t="shared" si="82"/>
        <v>0</v>
      </c>
      <c r="AD228" s="1574">
        <f t="shared" si="82"/>
        <v>0</v>
      </c>
      <c r="AE228" s="1574">
        <f t="shared" si="82"/>
        <v>0</v>
      </c>
      <c r="AF228" s="1574">
        <f t="shared" si="82"/>
        <v>0</v>
      </c>
      <c r="AG228" s="1574">
        <f t="shared" si="82"/>
        <v>0</v>
      </c>
      <c r="AH228" s="1574">
        <f t="shared" si="82"/>
        <v>0</v>
      </c>
      <c r="AI228" s="1574">
        <f t="shared" si="82"/>
        <v>0</v>
      </c>
      <c r="AJ228" s="1574">
        <f t="shared" si="82"/>
        <v>0</v>
      </c>
      <c r="AK228" s="1574">
        <f t="shared" si="82"/>
        <v>0</v>
      </c>
      <c r="AL228" s="1574">
        <f t="shared" si="82"/>
        <v>0</v>
      </c>
      <c r="AM228" s="1574">
        <f t="shared" si="82"/>
        <v>0</v>
      </c>
      <c r="AN228" s="1574">
        <f t="shared" ref="AN228:BE228" si="83">-AN207</f>
        <v>0</v>
      </c>
      <c r="AO228" s="1574">
        <f t="shared" si="83"/>
        <v>0</v>
      </c>
      <c r="AP228" s="1574">
        <f t="shared" si="83"/>
        <v>0</v>
      </c>
      <c r="AQ228" s="1574">
        <f t="shared" si="83"/>
        <v>0</v>
      </c>
      <c r="AR228" s="1574">
        <f t="shared" si="83"/>
        <v>0</v>
      </c>
      <c r="AS228" s="1574">
        <f t="shared" si="83"/>
        <v>0</v>
      </c>
      <c r="AT228" s="1574">
        <f t="shared" si="83"/>
        <v>0</v>
      </c>
      <c r="AU228" s="1574">
        <f t="shared" si="83"/>
        <v>0</v>
      </c>
      <c r="AV228" s="1574">
        <f t="shared" si="83"/>
        <v>0</v>
      </c>
      <c r="AW228" s="1574">
        <f t="shared" si="83"/>
        <v>0</v>
      </c>
      <c r="AX228" s="1574">
        <f t="shared" si="83"/>
        <v>0</v>
      </c>
      <c r="AY228" s="1574">
        <f t="shared" si="83"/>
        <v>0</v>
      </c>
      <c r="AZ228" s="1574">
        <f t="shared" si="83"/>
        <v>0</v>
      </c>
      <c r="BA228" s="1574">
        <f t="shared" si="83"/>
        <v>0</v>
      </c>
      <c r="BB228" s="1574">
        <f t="shared" si="83"/>
        <v>0</v>
      </c>
      <c r="BC228" s="1574">
        <f t="shared" si="83"/>
        <v>0</v>
      </c>
      <c r="BD228" s="1574">
        <f t="shared" si="83"/>
        <v>0</v>
      </c>
      <c r="BE228" s="1575">
        <f t="shared" si="83"/>
        <v>0</v>
      </c>
      <c r="BF228" s="695"/>
    </row>
    <row r="229" spans="1:58" x14ac:dyDescent="0.45">
      <c r="A229" s="695"/>
      <c r="B229" s="946" t="s">
        <v>35</v>
      </c>
      <c r="C229" s="947"/>
      <c r="D229" s="947"/>
      <c r="E229" s="950"/>
      <c r="F229" s="950" t="s">
        <v>748</v>
      </c>
      <c r="G229" s="1574"/>
      <c r="H229" s="1574">
        <f>-H214</f>
        <v>0</v>
      </c>
      <c r="I229" s="1574">
        <f t="shared" ref="I229:BE229" si="84">-I214</f>
        <v>0</v>
      </c>
      <c r="J229" s="1574">
        <f t="shared" si="84"/>
        <v>0</v>
      </c>
      <c r="K229" s="1574">
        <f t="shared" si="84"/>
        <v>0</v>
      </c>
      <c r="L229" s="1574">
        <f t="shared" si="84"/>
        <v>0</v>
      </c>
      <c r="M229" s="1574">
        <f t="shared" si="84"/>
        <v>0</v>
      </c>
      <c r="N229" s="1574">
        <f t="shared" si="84"/>
        <v>0</v>
      </c>
      <c r="O229" s="1574">
        <f t="shared" si="84"/>
        <v>0</v>
      </c>
      <c r="P229" s="1574">
        <f t="shared" si="84"/>
        <v>0</v>
      </c>
      <c r="Q229" s="1574">
        <f t="shared" si="84"/>
        <v>0</v>
      </c>
      <c r="R229" s="1574">
        <f t="shared" si="84"/>
        <v>0</v>
      </c>
      <c r="S229" s="1574">
        <f t="shared" si="84"/>
        <v>0</v>
      </c>
      <c r="T229" s="1574">
        <f t="shared" si="84"/>
        <v>0</v>
      </c>
      <c r="U229" s="1574">
        <f t="shared" si="84"/>
        <v>0</v>
      </c>
      <c r="V229" s="1574">
        <f t="shared" si="84"/>
        <v>0</v>
      </c>
      <c r="W229" s="1574">
        <f t="shared" si="84"/>
        <v>0</v>
      </c>
      <c r="X229" s="1574">
        <f t="shared" si="84"/>
        <v>0</v>
      </c>
      <c r="Y229" s="1574">
        <f t="shared" si="84"/>
        <v>0</v>
      </c>
      <c r="Z229" s="1574">
        <f t="shared" si="84"/>
        <v>0</v>
      </c>
      <c r="AA229" s="1574">
        <f t="shared" si="84"/>
        <v>0</v>
      </c>
      <c r="AB229" s="1574">
        <f t="shared" si="84"/>
        <v>0</v>
      </c>
      <c r="AC229" s="1574">
        <f t="shared" si="84"/>
        <v>0</v>
      </c>
      <c r="AD229" s="1574">
        <f t="shared" si="84"/>
        <v>0</v>
      </c>
      <c r="AE229" s="1574">
        <f t="shared" si="84"/>
        <v>0</v>
      </c>
      <c r="AF229" s="1574">
        <f t="shared" si="84"/>
        <v>0</v>
      </c>
      <c r="AG229" s="1574">
        <f t="shared" si="84"/>
        <v>0</v>
      </c>
      <c r="AH229" s="1574">
        <f t="shared" si="84"/>
        <v>0</v>
      </c>
      <c r="AI229" s="1574">
        <f t="shared" si="84"/>
        <v>0</v>
      </c>
      <c r="AJ229" s="1574">
        <f t="shared" si="84"/>
        <v>0</v>
      </c>
      <c r="AK229" s="1574">
        <f t="shared" si="84"/>
        <v>0</v>
      </c>
      <c r="AL229" s="1574">
        <f t="shared" si="84"/>
        <v>0</v>
      </c>
      <c r="AM229" s="1574">
        <f t="shared" si="84"/>
        <v>0</v>
      </c>
      <c r="AN229" s="1574">
        <f t="shared" si="84"/>
        <v>0</v>
      </c>
      <c r="AO229" s="1574">
        <f t="shared" si="84"/>
        <v>0</v>
      </c>
      <c r="AP229" s="1574">
        <f t="shared" si="84"/>
        <v>0</v>
      </c>
      <c r="AQ229" s="1574">
        <f t="shared" si="84"/>
        <v>0</v>
      </c>
      <c r="AR229" s="1574">
        <f t="shared" si="84"/>
        <v>0</v>
      </c>
      <c r="AS229" s="1574">
        <f t="shared" si="84"/>
        <v>0</v>
      </c>
      <c r="AT229" s="1574">
        <f t="shared" si="84"/>
        <v>0</v>
      </c>
      <c r="AU229" s="1574">
        <f t="shared" si="84"/>
        <v>0</v>
      </c>
      <c r="AV229" s="1574">
        <f t="shared" si="84"/>
        <v>0</v>
      </c>
      <c r="AW229" s="1574">
        <f t="shared" si="84"/>
        <v>0</v>
      </c>
      <c r="AX229" s="1574">
        <f t="shared" si="84"/>
        <v>0</v>
      </c>
      <c r="AY229" s="1574">
        <f t="shared" si="84"/>
        <v>0</v>
      </c>
      <c r="AZ229" s="1574">
        <f t="shared" si="84"/>
        <v>0</v>
      </c>
      <c r="BA229" s="1574">
        <f t="shared" si="84"/>
        <v>0</v>
      </c>
      <c r="BB229" s="1574">
        <f t="shared" si="84"/>
        <v>0</v>
      </c>
      <c r="BC229" s="1574">
        <f t="shared" si="84"/>
        <v>0</v>
      </c>
      <c r="BD229" s="1574">
        <f t="shared" si="84"/>
        <v>0</v>
      </c>
      <c r="BE229" s="1575">
        <f t="shared" si="84"/>
        <v>0</v>
      </c>
      <c r="BF229" s="695"/>
    </row>
    <row r="230" spans="1:58" x14ac:dyDescent="0.45">
      <c r="A230" s="695"/>
      <c r="B230" s="946" t="str">
        <f>B221</f>
        <v xml:space="preserve">Front-end Fees </v>
      </c>
      <c r="C230" s="947"/>
      <c r="D230" s="947"/>
      <c r="E230" s="950"/>
      <c r="F230" s="950" t="s">
        <v>748</v>
      </c>
      <c r="G230" s="1574"/>
      <c r="H230" s="1574">
        <f>-H221</f>
        <v>0</v>
      </c>
      <c r="I230" s="1574">
        <f t="shared" ref="I230:BE230" si="85">-I221</f>
        <v>0</v>
      </c>
      <c r="J230" s="1574">
        <f t="shared" si="85"/>
        <v>0</v>
      </c>
      <c r="K230" s="1574">
        <f t="shared" si="85"/>
        <v>0</v>
      </c>
      <c r="L230" s="1574">
        <f t="shared" si="85"/>
        <v>0</v>
      </c>
      <c r="M230" s="1574">
        <f t="shared" si="85"/>
        <v>0</v>
      </c>
      <c r="N230" s="1574">
        <f t="shared" si="85"/>
        <v>0</v>
      </c>
      <c r="O230" s="1574">
        <f t="shared" si="85"/>
        <v>0</v>
      </c>
      <c r="P230" s="1574">
        <f t="shared" si="85"/>
        <v>0</v>
      </c>
      <c r="Q230" s="1574">
        <f t="shared" si="85"/>
        <v>0</v>
      </c>
      <c r="R230" s="1574">
        <f t="shared" si="85"/>
        <v>0</v>
      </c>
      <c r="S230" s="1574">
        <f t="shared" si="85"/>
        <v>0</v>
      </c>
      <c r="T230" s="1574">
        <f t="shared" si="85"/>
        <v>0</v>
      </c>
      <c r="U230" s="1574">
        <f t="shared" si="85"/>
        <v>0</v>
      </c>
      <c r="V230" s="1574">
        <f t="shared" si="85"/>
        <v>0</v>
      </c>
      <c r="W230" s="1574">
        <f t="shared" si="85"/>
        <v>0</v>
      </c>
      <c r="X230" s="1574">
        <f t="shared" si="85"/>
        <v>0</v>
      </c>
      <c r="Y230" s="1574">
        <f t="shared" si="85"/>
        <v>0</v>
      </c>
      <c r="Z230" s="1574">
        <f t="shared" si="85"/>
        <v>0</v>
      </c>
      <c r="AA230" s="1574">
        <f t="shared" si="85"/>
        <v>0</v>
      </c>
      <c r="AB230" s="1574">
        <f t="shared" si="85"/>
        <v>0</v>
      </c>
      <c r="AC230" s="1574">
        <f t="shared" si="85"/>
        <v>0</v>
      </c>
      <c r="AD230" s="1574">
        <f t="shared" si="85"/>
        <v>0</v>
      </c>
      <c r="AE230" s="1574">
        <f t="shared" si="85"/>
        <v>0</v>
      </c>
      <c r="AF230" s="1574">
        <f t="shared" si="85"/>
        <v>0</v>
      </c>
      <c r="AG230" s="1574">
        <f t="shared" si="85"/>
        <v>0</v>
      </c>
      <c r="AH230" s="1574">
        <f t="shared" si="85"/>
        <v>0</v>
      </c>
      <c r="AI230" s="1574">
        <f t="shared" si="85"/>
        <v>0</v>
      </c>
      <c r="AJ230" s="1574">
        <f t="shared" si="85"/>
        <v>0</v>
      </c>
      <c r="AK230" s="1574">
        <f t="shared" si="85"/>
        <v>0</v>
      </c>
      <c r="AL230" s="1574">
        <f t="shared" si="85"/>
        <v>0</v>
      </c>
      <c r="AM230" s="1574">
        <f t="shared" si="85"/>
        <v>0</v>
      </c>
      <c r="AN230" s="1574">
        <f t="shared" si="85"/>
        <v>0</v>
      </c>
      <c r="AO230" s="1574">
        <f t="shared" si="85"/>
        <v>0</v>
      </c>
      <c r="AP230" s="1574">
        <f t="shared" si="85"/>
        <v>0</v>
      </c>
      <c r="AQ230" s="1574">
        <f t="shared" si="85"/>
        <v>0</v>
      </c>
      <c r="AR230" s="1574">
        <f t="shared" si="85"/>
        <v>0</v>
      </c>
      <c r="AS230" s="1574">
        <f t="shared" si="85"/>
        <v>0</v>
      </c>
      <c r="AT230" s="1574">
        <f t="shared" si="85"/>
        <v>0</v>
      </c>
      <c r="AU230" s="1574">
        <f t="shared" si="85"/>
        <v>0</v>
      </c>
      <c r="AV230" s="1574">
        <f t="shared" si="85"/>
        <v>0</v>
      </c>
      <c r="AW230" s="1574">
        <f t="shared" si="85"/>
        <v>0</v>
      </c>
      <c r="AX230" s="1574">
        <f t="shared" si="85"/>
        <v>0</v>
      </c>
      <c r="AY230" s="1574">
        <f t="shared" si="85"/>
        <v>0</v>
      </c>
      <c r="AZ230" s="1574">
        <f t="shared" si="85"/>
        <v>0</v>
      </c>
      <c r="BA230" s="1574">
        <f t="shared" si="85"/>
        <v>0</v>
      </c>
      <c r="BB230" s="1574">
        <f t="shared" si="85"/>
        <v>0</v>
      </c>
      <c r="BC230" s="1574">
        <f t="shared" si="85"/>
        <v>0</v>
      </c>
      <c r="BD230" s="1574">
        <f t="shared" si="85"/>
        <v>0</v>
      </c>
      <c r="BE230" s="1575">
        <f t="shared" si="85"/>
        <v>0</v>
      </c>
      <c r="BF230" s="695"/>
    </row>
    <row r="231" spans="1:58" x14ac:dyDescent="0.45">
      <c r="A231" s="695"/>
      <c r="B231" s="946" t="str">
        <f>B222</f>
        <v xml:space="preserve">Public Guarantee Fees </v>
      </c>
      <c r="C231" s="947"/>
      <c r="D231" s="947"/>
      <c r="E231" s="950"/>
      <c r="F231" s="950" t="s">
        <v>748</v>
      </c>
      <c r="G231" s="1574"/>
      <c r="H231" s="1574">
        <f>-H222</f>
        <v>0</v>
      </c>
      <c r="I231" s="1574">
        <f t="shared" ref="I231:BE231" si="86">-I222</f>
        <v>0</v>
      </c>
      <c r="J231" s="1574">
        <f t="shared" si="86"/>
        <v>0</v>
      </c>
      <c r="K231" s="1574">
        <f t="shared" si="86"/>
        <v>0</v>
      </c>
      <c r="L231" s="1574">
        <f t="shared" si="86"/>
        <v>0</v>
      </c>
      <c r="M231" s="1574">
        <f t="shared" si="86"/>
        <v>0</v>
      </c>
      <c r="N231" s="1574">
        <f t="shared" si="86"/>
        <v>0</v>
      </c>
      <c r="O231" s="1574">
        <f t="shared" si="86"/>
        <v>0</v>
      </c>
      <c r="P231" s="1574">
        <f t="shared" si="86"/>
        <v>0</v>
      </c>
      <c r="Q231" s="1574">
        <f t="shared" si="86"/>
        <v>0</v>
      </c>
      <c r="R231" s="1574">
        <f t="shared" si="86"/>
        <v>0</v>
      </c>
      <c r="S231" s="1574">
        <f t="shared" si="86"/>
        <v>0</v>
      </c>
      <c r="T231" s="1574">
        <f t="shared" si="86"/>
        <v>0</v>
      </c>
      <c r="U231" s="1574">
        <f t="shared" si="86"/>
        <v>0</v>
      </c>
      <c r="V231" s="1574">
        <f t="shared" si="86"/>
        <v>0</v>
      </c>
      <c r="W231" s="1574">
        <f t="shared" si="86"/>
        <v>0</v>
      </c>
      <c r="X231" s="1574">
        <f t="shared" si="86"/>
        <v>0</v>
      </c>
      <c r="Y231" s="1574">
        <f t="shared" si="86"/>
        <v>0</v>
      </c>
      <c r="Z231" s="1574">
        <f t="shared" si="86"/>
        <v>0</v>
      </c>
      <c r="AA231" s="1574">
        <f t="shared" si="86"/>
        <v>0</v>
      </c>
      <c r="AB231" s="1574">
        <f t="shared" si="86"/>
        <v>0</v>
      </c>
      <c r="AC231" s="1574">
        <f t="shared" si="86"/>
        <v>0</v>
      </c>
      <c r="AD231" s="1574">
        <f t="shared" si="86"/>
        <v>0</v>
      </c>
      <c r="AE231" s="1574">
        <f t="shared" si="86"/>
        <v>0</v>
      </c>
      <c r="AF231" s="1574">
        <f t="shared" si="86"/>
        <v>0</v>
      </c>
      <c r="AG231" s="1574">
        <f t="shared" si="86"/>
        <v>0</v>
      </c>
      <c r="AH231" s="1574">
        <f t="shared" si="86"/>
        <v>0</v>
      </c>
      <c r="AI231" s="1574">
        <f t="shared" si="86"/>
        <v>0</v>
      </c>
      <c r="AJ231" s="1574">
        <f t="shared" si="86"/>
        <v>0</v>
      </c>
      <c r="AK231" s="1574">
        <f t="shared" si="86"/>
        <v>0</v>
      </c>
      <c r="AL231" s="1574">
        <f t="shared" si="86"/>
        <v>0</v>
      </c>
      <c r="AM231" s="1574">
        <f t="shared" si="86"/>
        <v>0</v>
      </c>
      <c r="AN231" s="1574">
        <f t="shared" si="86"/>
        <v>0</v>
      </c>
      <c r="AO231" s="1574">
        <f t="shared" si="86"/>
        <v>0</v>
      </c>
      <c r="AP231" s="1574">
        <f t="shared" si="86"/>
        <v>0</v>
      </c>
      <c r="AQ231" s="1574">
        <f t="shared" si="86"/>
        <v>0</v>
      </c>
      <c r="AR231" s="1574">
        <f t="shared" si="86"/>
        <v>0</v>
      </c>
      <c r="AS231" s="1574">
        <f t="shared" si="86"/>
        <v>0</v>
      </c>
      <c r="AT231" s="1574">
        <f t="shared" si="86"/>
        <v>0</v>
      </c>
      <c r="AU231" s="1574">
        <f t="shared" si="86"/>
        <v>0</v>
      </c>
      <c r="AV231" s="1574">
        <f t="shared" si="86"/>
        <v>0</v>
      </c>
      <c r="AW231" s="1574">
        <f t="shared" si="86"/>
        <v>0</v>
      </c>
      <c r="AX231" s="1574">
        <f t="shared" si="86"/>
        <v>0</v>
      </c>
      <c r="AY231" s="1574">
        <f t="shared" si="86"/>
        <v>0</v>
      </c>
      <c r="AZ231" s="1574">
        <f t="shared" si="86"/>
        <v>0</v>
      </c>
      <c r="BA231" s="1574">
        <f t="shared" si="86"/>
        <v>0</v>
      </c>
      <c r="BB231" s="1574">
        <f t="shared" si="86"/>
        <v>0</v>
      </c>
      <c r="BC231" s="1574">
        <f t="shared" si="86"/>
        <v>0</v>
      </c>
      <c r="BD231" s="1574">
        <f t="shared" si="86"/>
        <v>0</v>
      </c>
      <c r="BE231" s="1575">
        <f t="shared" si="86"/>
        <v>0</v>
      </c>
      <c r="BF231" s="695"/>
    </row>
    <row r="232" spans="1:58" x14ac:dyDescent="0.45">
      <c r="A232" s="695"/>
      <c r="B232" s="946" t="str">
        <f>B223</f>
        <v>Political Risk Insurance - Fees &amp; Annual Premium Payments</v>
      </c>
      <c r="C232" s="947"/>
      <c r="D232" s="947"/>
      <c r="E232" s="950"/>
      <c r="F232" s="950" t="s">
        <v>748</v>
      </c>
      <c r="G232" s="1574"/>
      <c r="H232" s="1574">
        <f>-H223</f>
        <v>0</v>
      </c>
      <c r="I232" s="1574">
        <f t="shared" ref="I232:BE232" si="87">-I223</f>
        <v>0</v>
      </c>
      <c r="J232" s="1574">
        <f t="shared" si="87"/>
        <v>0</v>
      </c>
      <c r="K232" s="1574">
        <f t="shared" si="87"/>
        <v>0</v>
      </c>
      <c r="L232" s="1574">
        <f t="shared" si="87"/>
        <v>0</v>
      </c>
      <c r="M232" s="1574">
        <f t="shared" si="87"/>
        <v>0</v>
      </c>
      <c r="N232" s="1574">
        <f t="shared" si="87"/>
        <v>0</v>
      </c>
      <c r="O232" s="1574">
        <f t="shared" si="87"/>
        <v>0</v>
      </c>
      <c r="P232" s="1574">
        <f t="shared" si="87"/>
        <v>0</v>
      </c>
      <c r="Q232" s="1574">
        <f t="shared" si="87"/>
        <v>0</v>
      </c>
      <c r="R232" s="1574">
        <f t="shared" si="87"/>
        <v>0</v>
      </c>
      <c r="S232" s="1574">
        <f t="shared" si="87"/>
        <v>0</v>
      </c>
      <c r="T232" s="1574">
        <f t="shared" si="87"/>
        <v>0</v>
      </c>
      <c r="U232" s="1574">
        <f t="shared" si="87"/>
        <v>0</v>
      </c>
      <c r="V232" s="1574">
        <f t="shared" si="87"/>
        <v>0</v>
      </c>
      <c r="W232" s="1574">
        <f t="shared" si="87"/>
        <v>0</v>
      </c>
      <c r="X232" s="1574">
        <f t="shared" si="87"/>
        <v>0</v>
      </c>
      <c r="Y232" s="1574">
        <f t="shared" si="87"/>
        <v>0</v>
      </c>
      <c r="Z232" s="1574">
        <f t="shared" si="87"/>
        <v>0</v>
      </c>
      <c r="AA232" s="1574">
        <f t="shared" si="87"/>
        <v>0</v>
      </c>
      <c r="AB232" s="1574">
        <f t="shared" si="87"/>
        <v>0</v>
      </c>
      <c r="AC232" s="1574">
        <f t="shared" si="87"/>
        <v>0</v>
      </c>
      <c r="AD232" s="1574">
        <f t="shared" si="87"/>
        <v>0</v>
      </c>
      <c r="AE232" s="1574">
        <f t="shared" si="87"/>
        <v>0</v>
      </c>
      <c r="AF232" s="1574">
        <f t="shared" si="87"/>
        <v>0</v>
      </c>
      <c r="AG232" s="1574">
        <f t="shared" si="87"/>
        <v>0</v>
      </c>
      <c r="AH232" s="1574">
        <f t="shared" si="87"/>
        <v>0</v>
      </c>
      <c r="AI232" s="1574">
        <f t="shared" si="87"/>
        <v>0</v>
      </c>
      <c r="AJ232" s="1574">
        <f t="shared" si="87"/>
        <v>0</v>
      </c>
      <c r="AK232" s="1574">
        <f t="shared" si="87"/>
        <v>0</v>
      </c>
      <c r="AL232" s="1574">
        <f t="shared" si="87"/>
        <v>0</v>
      </c>
      <c r="AM232" s="1574">
        <f t="shared" si="87"/>
        <v>0</v>
      </c>
      <c r="AN232" s="1574">
        <f t="shared" si="87"/>
        <v>0</v>
      </c>
      <c r="AO232" s="1574">
        <f t="shared" si="87"/>
        <v>0</v>
      </c>
      <c r="AP232" s="1574">
        <f t="shared" si="87"/>
        <v>0</v>
      </c>
      <c r="AQ232" s="1574">
        <f t="shared" si="87"/>
        <v>0</v>
      </c>
      <c r="AR232" s="1574">
        <f t="shared" si="87"/>
        <v>0</v>
      </c>
      <c r="AS232" s="1574">
        <f t="shared" si="87"/>
        <v>0</v>
      </c>
      <c r="AT232" s="1574">
        <f t="shared" si="87"/>
        <v>0</v>
      </c>
      <c r="AU232" s="1574">
        <f t="shared" si="87"/>
        <v>0</v>
      </c>
      <c r="AV232" s="1574">
        <f t="shared" si="87"/>
        <v>0</v>
      </c>
      <c r="AW232" s="1574">
        <f t="shared" si="87"/>
        <v>0</v>
      </c>
      <c r="AX232" s="1574">
        <f t="shared" si="87"/>
        <v>0</v>
      </c>
      <c r="AY232" s="1574">
        <f t="shared" si="87"/>
        <v>0</v>
      </c>
      <c r="AZ232" s="1574">
        <f t="shared" si="87"/>
        <v>0</v>
      </c>
      <c r="BA232" s="1574">
        <f t="shared" si="87"/>
        <v>0</v>
      </c>
      <c r="BB232" s="1574">
        <f t="shared" si="87"/>
        <v>0</v>
      </c>
      <c r="BC232" s="1574">
        <f t="shared" si="87"/>
        <v>0</v>
      </c>
      <c r="BD232" s="1574">
        <f t="shared" si="87"/>
        <v>0</v>
      </c>
      <c r="BE232" s="1575">
        <f t="shared" si="87"/>
        <v>0</v>
      </c>
      <c r="BF232" s="695"/>
    </row>
    <row r="233" spans="1:58" x14ac:dyDescent="0.45">
      <c r="A233" s="695"/>
      <c r="B233" s="946" t="s">
        <v>90</v>
      </c>
      <c r="C233" s="947"/>
      <c r="D233" s="947"/>
      <c r="E233" s="950"/>
      <c r="F233" s="950" t="s">
        <v>748</v>
      </c>
      <c r="G233" s="1574"/>
      <c r="H233" s="1574">
        <f>-(H612+H633+H654)</f>
        <v>0</v>
      </c>
      <c r="I233" s="1574">
        <f t="shared" ref="I233:BE233" si="88">-(I612+I633+I654)</f>
        <v>0</v>
      </c>
      <c r="J233" s="1574">
        <f t="shared" si="88"/>
        <v>0</v>
      </c>
      <c r="K233" s="1574">
        <f t="shared" si="88"/>
        <v>0</v>
      </c>
      <c r="L233" s="1574">
        <f t="shared" si="88"/>
        <v>0</v>
      </c>
      <c r="M233" s="1574">
        <f t="shared" si="88"/>
        <v>0</v>
      </c>
      <c r="N233" s="1574">
        <f t="shared" si="88"/>
        <v>0</v>
      </c>
      <c r="O233" s="1574">
        <f t="shared" si="88"/>
        <v>0</v>
      </c>
      <c r="P233" s="1574">
        <f t="shared" si="88"/>
        <v>0</v>
      </c>
      <c r="Q233" s="1574">
        <f t="shared" si="88"/>
        <v>0</v>
      </c>
      <c r="R233" s="1574">
        <f t="shared" si="88"/>
        <v>0</v>
      </c>
      <c r="S233" s="1574">
        <f t="shared" si="88"/>
        <v>0</v>
      </c>
      <c r="T233" s="1574">
        <f t="shared" si="88"/>
        <v>0</v>
      </c>
      <c r="U233" s="1574">
        <f t="shared" si="88"/>
        <v>0</v>
      </c>
      <c r="V233" s="1574">
        <f t="shared" si="88"/>
        <v>0</v>
      </c>
      <c r="W233" s="1574">
        <f t="shared" si="88"/>
        <v>0</v>
      </c>
      <c r="X233" s="1574">
        <f t="shared" si="88"/>
        <v>0</v>
      </c>
      <c r="Y233" s="1574">
        <f t="shared" si="88"/>
        <v>0</v>
      </c>
      <c r="Z233" s="1574">
        <f t="shared" si="88"/>
        <v>0</v>
      </c>
      <c r="AA233" s="1574">
        <f t="shared" si="88"/>
        <v>0</v>
      </c>
      <c r="AB233" s="1574">
        <f t="shared" si="88"/>
        <v>0</v>
      </c>
      <c r="AC233" s="1574">
        <f t="shared" si="88"/>
        <v>0</v>
      </c>
      <c r="AD233" s="1574">
        <f t="shared" si="88"/>
        <v>0</v>
      </c>
      <c r="AE233" s="1574">
        <f t="shared" si="88"/>
        <v>0</v>
      </c>
      <c r="AF233" s="1574">
        <f t="shared" si="88"/>
        <v>0</v>
      </c>
      <c r="AG233" s="1574">
        <f t="shared" si="88"/>
        <v>0</v>
      </c>
      <c r="AH233" s="1574">
        <f t="shared" si="88"/>
        <v>0</v>
      </c>
      <c r="AI233" s="1574">
        <f t="shared" si="88"/>
        <v>0</v>
      </c>
      <c r="AJ233" s="1574">
        <f t="shared" si="88"/>
        <v>0</v>
      </c>
      <c r="AK233" s="1574">
        <f t="shared" si="88"/>
        <v>0</v>
      </c>
      <c r="AL233" s="1574">
        <f t="shared" si="88"/>
        <v>0</v>
      </c>
      <c r="AM233" s="1574">
        <f t="shared" si="88"/>
        <v>0</v>
      </c>
      <c r="AN233" s="1574">
        <f t="shared" si="88"/>
        <v>0</v>
      </c>
      <c r="AO233" s="1574">
        <f t="shared" si="88"/>
        <v>0</v>
      </c>
      <c r="AP233" s="1574">
        <f t="shared" si="88"/>
        <v>0</v>
      </c>
      <c r="AQ233" s="1574">
        <f t="shared" si="88"/>
        <v>0</v>
      </c>
      <c r="AR233" s="1574">
        <f t="shared" si="88"/>
        <v>0</v>
      </c>
      <c r="AS233" s="1574">
        <f t="shared" si="88"/>
        <v>0</v>
      </c>
      <c r="AT233" s="1574">
        <f t="shared" si="88"/>
        <v>0</v>
      </c>
      <c r="AU233" s="1574">
        <f t="shared" si="88"/>
        <v>0</v>
      </c>
      <c r="AV233" s="1574">
        <f t="shared" si="88"/>
        <v>0</v>
      </c>
      <c r="AW233" s="1574">
        <f t="shared" si="88"/>
        <v>0</v>
      </c>
      <c r="AX233" s="1574">
        <f t="shared" si="88"/>
        <v>0</v>
      </c>
      <c r="AY233" s="1574">
        <f t="shared" si="88"/>
        <v>0</v>
      </c>
      <c r="AZ233" s="1574">
        <f t="shared" si="88"/>
        <v>0</v>
      </c>
      <c r="BA233" s="1574">
        <f t="shared" si="88"/>
        <v>0</v>
      </c>
      <c r="BB233" s="1574">
        <f t="shared" si="88"/>
        <v>0</v>
      </c>
      <c r="BC233" s="1574">
        <f t="shared" si="88"/>
        <v>0</v>
      </c>
      <c r="BD233" s="1574">
        <f t="shared" si="88"/>
        <v>0</v>
      </c>
      <c r="BE233" s="1575">
        <f t="shared" si="88"/>
        <v>0</v>
      </c>
      <c r="BF233" s="695"/>
    </row>
    <row r="234" spans="1:58" x14ac:dyDescent="0.45">
      <c r="A234" s="695"/>
      <c r="B234" s="960" t="s">
        <v>91</v>
      </c>
      <c r="C234" s="954"/>
      <c r="D234" s="954"/>
      <c r="E234" s="955"/>
      <c r="F234" s="955" t="s">
        <v>748</v>
      </c>
      <c r="G234" s="1576"/>
      <c r="H234" s="1576">
        <f>(H207+H214+H216+H221+H222+H223+H218+H219+H220)*'II. Inputs, Baseline Energy Mix'!$R$23</f>
        <v>0</v>
      </c>
      <c r="I234" s="1576">
        <f>(I207+I214+I216+I221+I222+I223+I218+I219+I220)*'II. Inputs, Baseline Energy Mix'!$R$23</f>
        <v>0</v>
      </c>
      <c r="J234" s="1576">
        <f>(J207+J214+J216+J221+J222+J223+J218+J219+J220)*'II. Inputs, Baseline Energy Mix'!$R$23</f>
        <v>0</v>
      </c>
      <c r="K234" s="1576">
        <f>(K207+K214+K216+K221+K222+K223+K218+K219+K220)*'II. Inputs, Baseline Energy Mix'!$R$23</f>
        <v>0</v>
      </c>
      <c r="L234" s="1576">
        <f>(L207+L214+L216+L221+L222+L223+L218+L219+L220)*'II. Inputs, Baseline Energy Mix'!$R$23</f>
        <v>0</v>
      </c>
      <c r="M234" s="1576">
        <f>(M207+M214+M216+M221+M222+M223+M218+M219+M220)*'II. Inputs, Baseline Energy Mix'!$R$23</f>
        <v>0</v>
      </c>
      <c r="N234" s="1576">
        <f>(N207+N214+N216+N221+N222+N223+N218+N219+N220)*'II. Inputs, Baseline Energy Mix'!$R$23</f>
        <v>0</v>
      </c>
      <c r="O234" s="1576">
        <f>(O207+O214+O216+O221+O222+O223+O218+O219+O220)*'II. Inputs, Baseline Energy Mix'!$R$23</f>
        <v>0</v>
      </c>
      <c r="P234" s="1576">
        <f>(P207+P214+P216+P221+P222+P223+P218+P219+P220)*'II. Inputs, Baseline Energy Mix'!$R$23</f>
        <v>0</v>
      </c>
      <c r="Q234" s="1576">
        <f>(Q207+Q214+Q216+Q221+Q222+Q223+Q218+Q219+Q220)*'II. Inputs, Baseline Energy Mix'!$R$23</f>
        <v>0</v>
      </c>
      <c r="R234" s="1576">
        <f>(R207+R214+R216+R221+R222+R223+R218+R219+R220)*'II. Inputs, Baseline Energy Mix'!$R$23</f>
        <v>0</v>
      </c>
      <c r="S234" s="1576">
        <f>(S207+S214+S216+S221+S222+S223+S218+S219+S220)*'II. Inputs, Baseline Energy Mix'!$R$23</f>
        <v>0</v>
      </c>
      <c r="T234" s="1576">
        <f>(T207+T214+T216+T221+T222+T223+T218+T219+T220)*'II. Inputs, Baseline Energy Mix'!$R$23</f>
        <v>0</v>
      </c>
      <c r="U234" s="1576">
        <f>(U207+U214+U216+U221+U222+U223+U218+U219+U220)*'II. Inputs, Baseline Energy Mix'!$R$23</f>
        <v>0</v>
      </c>
      <c r="V234" s="1576">
        <f>(V207+V214+V216+V221+V222+V223+V218+V219+V220)*'II. Inputs, Baseline Energy Mix'!$R$23</f>
        <v>0</v>
      </c>
      <c r="W234" s="1576">
        <f>(W207+W214+W216+W221+W222+W223+W218+W219+W220)*'II. Inputs, Baseline Energy Mix'!$R$23</f>
        <v>0</v>
      </c>
      <c r="X234" s="1576">
        <f>(X207+X214+X216+X221+X222+X223+X218+X219+X220)*'II. Inputs, Baseline Energy Mix'!$R$23</f>
        <v>0</v>
      </c>
      <c r="Y234" s="1576">
        <f>(Y207+Y214+Y216+Y221+Y222+Y223+Y218+Y219+Y220)*'II. Inputs, Baseline Energy Mix'!$R$23</f>
        <v>0</v>
      </c>
      <c r="Z234" s="1576">
        <f>(Z207+Z214+Z216+Z221+Z222+Z223+Z218+Z219+Z220)*'II. Inputs, Baseline Energy Mix'!$R$23</f>
        <v>0</v>
      </c>
      <c r="AA234" s="1576">
        <f>(AA207+AA214+AA216+AA221+AA222+AA223+AA218+AA219+AA220)*'II. Inputs, Baseline Energy Mix'!$R$23</f>
        <v>0</v>
      </c>
      <c r="AB234" s="1576">
        <f>(AB207+AB214+AB216+AB221+AB222+AB223+AB218+AB219+AB220)*'II. Inputs, Baseline Energy Mix'!$R$23</f>
        <v>0</v>
      </c>
      <c r="AC234" s="1576">
        <f>(AC207+AC214+AC216+AC221+AC222+AC223+AC218+AC219+AC220)*'II. Inputs, Baseline Energy Mix'!$R$23</f>
        <v>0</v>
      </c>
      <c r="AD234" s="1576">
        <f>(AD207+AD214+AD216+AD221+AD222+AD223+AD218+AD219+AD220)*'II. Inputs, Baseline Energy Mix'!$R$23</f>
        <v>0</v>
      </c>
      <c r="AE234" s="1576">
        <f>(AE207+AE214+AE216+AE221+AE222+AE223+AE218+AE219+AE220)*'II. Inputs, Baseline Energy Mix'!$R$23</f>
        <v>0</v>
      </c>
      <c r="AF234" s="1576">
        <f>(AF207+AF214+AF216+AF221+AF222+AF223+AF218+AF219+AF220)*'II. Inputs, Baseline Energy Mix'!$R$23</f>
        <v>0</v>
      </c>
      <c r="AG234" s="1576">
        <f>(AG207+AG214+AG216+AG221+AG222+AG223+AG218+AG219+AG220)*'II. Inputs, Baseline Energy Mix'!$R$23</f>
        <v>0</v>
      </c>
      <c r="AH234" s="1576">
        <f>(AH207+AH214+AH216+AH221+AH222+AH223+AH218+AH219+AH220)*'II. Inputs, Baseline Energy Mix'!$R$23</f>
        <v>0</v>
      </c>
      <c r="AI234" s="1576">
        <f>(AI207+AI214+AI216+AI221+AI222+AI223+AI218+AI219+AI220)*'II. Inputs, Baseline Energy Mix'!$R$23</f>
        <v>0</v>
      </c>
      <c r="AJ234" s="1576">
        <f>(AJ207+AJ214+AJ216+AJ221+AJ222+AJ223+AJ218+AJ219+AJ220)*'II. Inputs, Baseline Energy Mix'!$R$23</f>
        <v>0</v>
      </c>
      <c r="AK234" s="1576">
        <f>(AK207+AK214+AK216+AK221+AK222+AK223+AK218+AK219+AK220)*'II. Inputs, Baseline Energy Mix'!$R$23</f>
        <v>0</v>
      </c>
      <c r="AL234" s="1576">
        <f>(AL207+AL214+AL216+AL221+AL222+AL223+AL218+AL219+AL220)*'II. Inputs, Baseline Energy Mix'!$R$23</f>
        <v>0</v>
      </c>
      <c r="AM234" s="1576">
        <f>(AM207+AM214+AM216+AM221+AM222+AM223+AM218+AM219+AM220)*'II. Inputs, Baseline Energy Mix'!$R$23</f>
        <v>0</v>
      </c>
      <c r="AN234" s="1576">
        <f>(AN207+AN214+AN216+AN221+AN222+AN223+AN218+AN219+AN220)*'II. Inputs, Baseline Energy Mix'!$R$23</f>
        <v>0</v>
      </c>
      <c r="AO234" s="1576">
        <f>(AO207+AO214+AO216+AO221+AO222+AO223+AO218+AO219+AO220)*'II. Inputs, Baseline Energy Mix'!$R$23</f>
        <v>0</v>
      </c>
      <c r="AP234" s="1576">
        <f>(AP207+AP214+AP216+AP221+AP222+AP223+AP218+AP219+AP220)*'II. Inputs, Baseline Energy Mix'!$R$23</f>
        <v>0</v>
      </c>
      <c r="AQ234" s="1576">
        <f>(AQ207+AQ214+AQ216+AQ221+AQ222+AQ223+AQ218+AQ219+AQ220)*'II. Inputs, Baseline Energy Mix'!$R$23</f>
        <v>0</v>
      </c>
      <c r="AR234" s="1576">
        <f>(AR207+AR214+AR216+AR221+AR222+AR223+AR218+AR219+AR220)*'II. Inputs, Baseline Energy Mix'!$R$23</f>
        <v>0</v>
      </c>
      <c r="AS234" s="1576">
        <f>(AS207+AS214+AS216+AS221+AS222+AS223+AS218+AS219+AS220)*'II. Inputs, Baseline Energy Mix'!$R$23</f>
        <v>0</v>
      </c>
      <c r="AT234" s="1576">
        <f>(AT207+AT214+AT216+AT221+AT222+AT223+AT218+AT219+AT220)*'II. Inputs, Baseline Energy Mix'!$R$23</f>
        <v>0</v>
      </c>
      <c r="AU234" s="1576">
        <f>(AU207+AU214+AU216+AU221+AU222+AU223+AU218+AU219+AU220)*'II. Inputs, Baseline Energy Mix'!$R$23</f>
        <v>0</v>
      </c>
      <c r="AV234" s="1576">
        <f>(AV207+AV214+AV216+AV221+AV222+AV223+AV218+AV219+AV220)*'II. Inputs, Baseline Energy Mix'!$R$23</f>
        <v>0</v>
      </c>
      <c r="AW234" s="1576">
        <f>(AW207+AW214+AW216+AW221+AW222+AW223+AW218+AW219+AW220)*'II. Inputs, Baseline Energy Mix'!$R$23</f>
        <v>0</v>
      </c>
      <c r="AX234" s="1576">
        <f>(AX207+AX214+AX216+AX221+AX222+AX223+AX218+AX219+AX220)*'II. Inputs, Baseline Energy Mix'!$R$23</f>
        <v>0</v>
      </c>
      <c r="AY234" s="1576">
        <f>(AY207+AY214+AY216+AY221+AY222+AY223+AY218+AY219+AY220)*'II. Inputs, Baseline Energy Mix'!$R$23</f>
        <v>0</v>
      </c>
      <c r="AZ234" s="1576">
        <f>(AZ207+AZ214+AZ216+AZ221+AZ222+AZ223+AZ218+AZ219+AZ220)*'II. Inputs, Baseline Energy Mix'!$R$23</f>
        <v>0</v>
      </c>
      <c r="BA234" s="1576">
        <f>(BA207+BA214+BA216+BA221+BA222+BA223+BA218+BA219+BA220)*'II. Inputs, Baseline Energy Mix'!$R$23</f>
        <v>0</v>
      </c>
      <c r="BB234" s="1576">
        <f>(BB207+BB214+BB216+BB221+BB222+BB223+BB218+BB219+BB220)*'II. Inputs, Baseline Energy Mix'!$R$23</f>
        <v>0</v>
      </c>
      <c r="BC234" s="1576">
        <f>(BC207+BC214+BC216+BC221+BC222+BC223+BC218+BC219+BC220)*'II. Inputs, Baseline Energy Mix'!$R$23</f>
        <v>0</v>
      </c>
      <c r="BD234" s="1576">
        <f>(BD207+BD214+BD216+BD221+BD222+BD223+BD218+BD219+BD220)*'II. Inputs, Baseline Energy Mix'!$R$23</f>
        <v>0</v>
      </c>
      <c r="BE234" s="1577">
        <f>(BE207+BE214+BE216+BE221+BE222+BE223+BE218+BE219+BE220)*'II. Inputs, Baseline Energy Mix'!$R$23</f>
        <v>0</v>
      </c>
      <c r="BF234" s="695"/>
    </row>
    <row r="235" spans="1:58" x14ac:dyDescent="0.45">
      <c r="A235" s="695"/>
      <c r="B235" s="946" t="s">
        <v>92</v>
      </c>
      <c r="C235" s="947"/>
      <c r="D235" s="947"/>
      <c r="E235" s="950"/>
      <c r="F235" s="950" t="s">
        <v>748</v>
      </c>
      <c r="G235" s="1574">
        <f>-IF('II. Inputs, Baseline Energy Mix'!$R$19&gt;0, 'II. Inputs, Baseline Energy Mix'!$R$20*'II. Inputs, Baseline Energy Mix'!$R$21*'II. Inputs, Baseline Energy Mix'!$R$35,0)</f>
        <v>0</v>
      </c>
      <c r="H235" s="1574">
        <f t="shared" ref="H235:AM235" si="89">SUM(H228:H234)</f>
        <v>0</v>
      </c>
      <c r="I235" s="1574">
        <f t="shared" si="89"/>
        <v>0</v>
      </c>
      <c r="J235" s="1574">
        <f t="shared" si="89"/>
        <v>0</v>
      </c>
      <c r="K235" s="1574">
        <f t="shared" si="89"/>
        <v>0</v>
      </c>
      <c r="L235" s="1574">
        <f t="shared" si="89"/>
        <v>0</v>
      </c>
      <c r="M235" s="1574">
        <f t="shared" si="89"/>
        <v>0</v>
      </c>
      <c r="N235" s="1574">
        <f t="shared" si="89"/>
        <v>0</v>
      </c>
      <c r="O235" s="1574">
        <f t="shared" si="89"/>
        <v>0</v>
      </c>
      <c r="P235" s="1574">
        <f t="shared" si="89"/>
        <v>0</v>
      </c>
      <c r="Q235" s="1574">
        <f t="shared" si="89"/>
        <v>0</v>
      </c>
      <c r="R235" s="1574">
        <f t="shared" si="89"/>
        <v>0</v>
      </c>
      <c r="S235" s="1574">
        <f t="shared" si="89"/>
        <v>0</v>
      </c>
      <c r="T235" s="1574">
        <f t="shared" si="89"/>
        <v>0</v>
      </c>
      <c r="U235" s="1574">
        <f t="shared" si="89"/>
        <v>0</v>
      </c>
      <c r="V235" s="1574">
        <f t="shared" si="89"/>
        <v>0</v>
      </c>
      <c r="W235" s="1574">
        <f t="shared" si="89"/>
        <v>0</v>
      </c>
      <c r="X235" s="1574">
        <f t="shared" si="89"/>
        <v>0</v>
      </c>
      <c r="Y235" s="1574">
        <f t="shared" si="89"/>
        <v>0</v>
      </c>
      <c r="Z235" s="1574">
        <f t="shared" si="89"/>
        <v>0</v>
      </c>
      <c r="AA235" s="1574">
        <f t="shared" si="89"/>
        <v>0</v>
      </c>
      <c r="AB235" s="1574">
        <f t="shared" si="89"/>
        <v>0</v>
      </c>
      <c r="AC235" s="1574">
        <f t="shared" si="89"/>
        <v>0</v>
      </c>
      <c r="AD235" s="1574">
        <f t="shared" si="89"/>
        <v>0</v>
      </c>
      <c r="AE235" s="1574">
        <f t="shared" si="89"/>
        <v>0</v>
      </c>
      <c r="AF235" s="1574">
        <f t="shared" si="89"/>
        <v>0</v>
      </c>
      <c r="AG235" s="1574">
        <f t="shared" si="89"/>
        <v>0</v>
      </c>
      <c r="AH235" s="1574">
        <f t="shared" si="89"/>
        <v>0</v>
      </c>
      <c r="AI235" s="1574">
        <f t="shared" si="89"/>
        <v>0</v>
      </c>
      <c r="AJ235" s="1574">
        <f t="shared" si="89"/>
        <v>0</v>
      </c>
      <c r="AK235" s="1574">
        <f t="shared" si="89"/>
        <v>0</v>
      </c>
      <c r="AL235" s="1574">
        <f t="shared" si="89"/>
        <v>0</v>
      </c>
      <c r="AM235" s="1574">
        <f t="shared" si="89"/>
        <v>0</v>
      </c>
      <c r="AN235" s="1574">
        <f t="shared" ref="AN235:BE235" si="90">SUM(AN228:AN234)</f>
        <v>0</v>
      </c>
      <c r="AO235" s="1574">
        <f t="shared" si="90"/>
        <v>0</v>
      </c>
      <c r="AP235" s="1574">
        <f t="shared" si="90"/>
        <v>0</v>
      </c>
      <c r="AQ235" s="1574">
        <f t="shared" si="90"/>
        <v>0</v>
      </c>
      <c r="AR235" s="1574">
        <f t="shared" si="90"/>
        <v>0</v>
      </c>
      <c r="AS235" s="1574">
        <f t="shared" si="90"/>
        <v>0</v>
      </c>
      <c r="AT235" s="1574">
        <f t="shared" si="90"/>
        <v>0</v>
      </c>
      <c r="AU235" s="1574">
        <f t="shared" si="90"/>
        <v>0</v>
      </c>
      <c r="AV235" s="1574">
        <f t="shared" si="90"/>
        <v>0</v>
      </c>
      <c r="AW235" s="1574">
        <f t="shared" si="90"/>
        <v>0</v>
      </c>
      <c r="AX235" s="1574">
        <f t="shared" si="90"/>
        <v>0</v>
      </c>
      <c r="AY235" s="1574">
        <f t="shared" si="90"/>
        <v>0</v>
      </c>
      <c r="AZ235" s="1574">
        <f t="shared" si="90"/>
        <v>0</v>
      </c>
      <c r="BA235" s="1574">
        <f t="shared" si="90"/>
        <v>0</v>
      </c>
      <c r="BB235" s="1574">
        <f t="shared" si="90"/>
        <v>0</v>
      </c>
      <c r="BC235" s="1574">
        <f t="shared" si="90"/>
        <v>0</v>
      </c>
      <c r="BD235" s="1574">
        <f t="shared" si="90"/>
        <v>0</v>
      </c>
      <c r="BE235" s="1575">
        <f t="shared" si="90"/>
        <v>0</v>
      </c>
      <c r="BF235" s="695"/>
    </row>
    <row r="236" spans="1:58" x14ac:dyDescent="0.45">
      <c r="A236" s="695"/>
      <c r="B236" s="946"/>
      <c r="C236" s="947"/>
      <c r="D236" s="947"/>
      <c r="E236" s="950"/>
      <c r="F236" s="947"/>
      <c r="G236" s="947"/>
      <c r="H236" s="947"/>
      <c r="I236" s="1574"/>
      <c r="J236" s="947"/>
      <c r="K236" s="947"/>
      <c r="L236" s="947"/>
      <c r="M236" s="947"/>
      <c r="N236" s="947"/>
      <c r="O236" s="947"/>
      <c r="P236" s="947"/>
      <c r="Q236" s="947"/>
      <c r="R236" s="947"/>
      <c r="S236" s="947"/>
      <c r="T236" s="947"/>
      <c r="U236" s="947"/>
      <c r="V236" s="947"/>
      <c r="W236" s="947"/>
      <c r="X236" s="947"/>
      <c r="Y236" s="947"/>
      <c r="Z236" s="947"/>
      <c r="AA236" s="947"/>
      <c r="AB236" s="947"/>
      <c r="AC236" s="947"/>
      <c r="AD236" s="947"/>
      <c r="AE236" s="947"/>
      <c r="AF236" s="947"/>
      <c r="AG236" s="947"/>
      <c r="AH236" s="947"/>
      <c r="AI236" s="947"/>
      <c r="AJ236" s="947"/>
      <c r="AK236" s="947"/>
      <c r="AL236" s="947"/>
      <c r="AM236" s="947"/>
      <c r="AN236" s="947"/>
      <c r="AO236" s="947"/>
      <c r="AP236" s="947"/>
      <c r="AQ236" s="947"/>
      <c r="AR236" s="947"/>
      <c r="AS236" s="947"/>
      <c r="AT236" s="947"/>
      <c r="AU236" s="947"/>
      <c r="AV236" s="947"/>
      <c r="AW236" s="947"/>
      <c r="AX236" s="947"/>
      <c r="AY236" s="947"/>
      <c r="AZ236" s="947"/>
      <c r="BA236" s="947"/>
      <c r="BB236" s="947"/>
      <c r="BC236" s="947"/>
      <c r="BD236" s="947"/>
      <c r="BE236" s="948"/>
      <c r="BF236" s="695"/>
    </row>
    <row r="237" spans="1:58" x14ac:dyDescent="0.45">
      <c r="A237" s="695"/>
      <c r="B237" s="946" t="s">
        <v>93</v>
      </c>
      <c r="C237" s="947"/>
      <c r="D237" s="947"/>
      <c r="E237" s="950"/>
      <c r="F237" s="947"/>
      <c r="G237" s="961">
        <f>'II. Inputs, Baseline Energy Mix'!$R$43</f>
        <v>0</v>
      </c>
      <c r="H237" s="947"/>
      <c r="I237" s="1574"/>
      <c r="J237" s="947"/>
      <c r="K237" s="947"/>
      <c r="L237" s="947"/>
      <c r="M237" s="947"/>
      <c r="N237" s="947"/>
      <c r="O237" s="947"/>
      <c r="P237" s="947"/>
      <c r="Q237" s="947"/>
      <c r="R237" s="947"/>
      <c r="S237" s="947"/>
      <c r="T237" s="947"/>
      <c r="U237" s="947"/>
      <c r="V237" s="947"/>
      <c r="W237" s="947"/>
      <c r="X237" s="947"/>
      <c r="Y237" s="947"/>
      <c r="Z237" s="947"/>
      <c r="AA237" s="947"/>
      <c r="AB237" s="947"/>
      <c r="AC237" s="947"/>
      <c r="AD237" s="947"/>
      <c r="AE237" s="947"/>
      <c r="AF237" s="947"/>
      <c r="AG237" s="947"/>
      <c r="AH237" s="947"/>
      <c r="AI237" s="947"/>
      <c r="AJ237" s="947"/>
      <c r="AK237" s="947"/>
      <c r="AL237" s="947"/>
      <c r="AM237" s="947"/>
      <c r="AN237" s="947"/>
      <c r="AO237" s="947"/>
      <c r="AP237" s="947"/>
      <c r="AQ237" s="947"/>
      <c r="AR237" s="947"/>
      <c r="AS237" s="947"/>
      <c r="AT237" s="947"/>
      <c r="AU237" s="947"/>
      <c r="AV237" s="947"/>
      <c r="AW237" s="947"/>
      <c r="AX237" s="947"/>
      <c r="AY237" s="947"/>
      <c r="AZ237" s="947"/>
      <c r="BA237" s="947"/>
      <c r="BB237" s="947"/>
      <c r="BC237" s="947"/>
      <c r="BD237" s="947"/>
      <c r="BE237" s="948"/>
      <c r="BF237" s="695"/>
    </row>
    <row r="238" spans="1:58" x14ac:dyDescent="0.45">
      <c r="A238" s="695"/>
      <c r="B238" s="946" t="s">
        <v>94</v>
      </c>
      <c r="C238" s="947"/>
      <c r="D238" s="947"/>
      <c r="E238" s="950"/>
      <c r="F238" s="947"/>
      <c r="G238" s="1578">
        <f>IF(G237="NA", "NA", NPV(G237,H235:BE235)+G235)</f>
        <v>0</v>
      </c>
      <c r="H238" s="947"/>
      <c r="I238" s="1574"/>
      <c r="J238" s="947"/>
      <c r="K238" s="947"/>
      <c r="L238" s="947"/>
      <c r="M238" s="947"/>
      <c r="N238" s="947"/>
      <c r="O238" s="947"/>
      <c r="P238" s="947"/>
      <c r="Q238" s="947"/>
      <c r="R238" s="947"/>
      <c r="S238" s="947"/>
      <c r="T238" s="947"/>
      <c r="U238" s="947"/>
      <c r="V238" s="947"/>
      <c r="W238" s="947"/>
      <c r="X238" s="947"/>
      <c r="Y238" s="947"/>
      <c r="Z238" s="947"/>
      <c r="AA238" s="947"/>
      <c r="AB238" s="947"/>
      <c r="AC238" s="947"/>
      <c r="AD238" s="947"/>
      <c r="AE238" s="947"/>
      <c r="AF238" s="947"/>
      <c r="AG238" s="947"/>
      <c r="AH238" s="947"/>
      <c r="AI238" s="947"/>
      <c r="AJ238" s="947"/>
      <c r="AK238" s="947"/>
      <c r="AL238" s="947"/>
      <c r="AM238" s="947"/>
      <c r="AN238" s="947"/>
      <c r="AO238" s="947"/>
      <c r="AP238" s="947"/>
      <c r="AQ238" s="947"/>
      <c r="AR238" s="947"/>
      <c r="AS238" s="947"/>
      <c r="AT238" s="947"/>
      <c r="AU238" s="947"/>
      <c r="AV238" s="947"/>
      <c r="AW238" s="947"/>
      <c r="AX238" s="947"/>
      <c r="AY238" s="947"/>
      <c r="AZ238" s="947"/>
      <c r="BA238" s="947"/>
      <c r="BB238" s="947"/>
      <c r="BC238" s="947"/>
      <c r="BD238" s="947"/>
      <c r="BE238" s="948"/>
      <c r="BF238" s="695"/>
    </row>
    <row r="239" spans="1:58" x14ac:dyDescent="0.45">
      <c r="A239" s="695"/>
      <c r="B239" s="946" t="s">
        <v>95</v>
      </c>
      <c r="C239" s="947"/>
      <c r="D239" s="947"/>
      <c r="E239" s="950"/>
      <c r="F239" s="947"/>
      <c r="G239" s="962">
        <f>IF(G237="NA", "NA", -NPV(G237,H203:BE203))</f>
        <v>0</v>
      </c>
      <c r="H239" s="947"/>
      <c r="I239" s="1574"/>
      <c r="J239" s="947"/>
      <c r="K239" s="947"/>
      <c r="L239" s="947"/>
      <c r="M239" s="947"/>
      <c r="N239" s="947"/>
      <c r="O239" s="947"/>
      <c r="P239" s="947"/>
      <c r="Q239" s="947"/>
      <c r="R239" s="947"/>
      <c r="S239" s="947"/>
      <c r="T239" s="947"/>
      <c r="U239" s="947"/>
      <c r="V239" s="947"/>
      <c r="W239" s="947"/>
      <c r="X239" s="947"/>
      <c r="Y239" s="947"/>
      <c r="Z239" s="947"/>
      <c r="AA239" s="947"/>
      <c r="AB239" s="947"/>
      <c r="AC239" s="947"/>
      <c r="AD239" s="947"/>
      <c r="AE239" s="947"/>
      <c r="AF239" s="947"/>
      <c r="AG239" s="947"/>
      <c r="AH239" s="947"/>
      <c r="AI239" s="947"/>
      <c r="AJ239" s="947"/>
      <c r="AK239" s="947"/>
      <c r="AL239" s="947"/>
      <c r="AM239" s="947"/>
      <c r="AN239" s="947"/>
      <c r="AO239" s="947"/>
      <c r="AP239" s="947"/>
      <c r="AQ239" s="947"/>
      <c r="AR239" s="947"/>
      <c r="AS239" s="947"/>
      <c r="AT239" s="947"/>
      <c r="AU239" s="947"/>
      <c r="AV239" s="947"/>
      <c r="AW239" s="947"/>
      <c r="AX239" s="947"/>
      <c r="AY239" s="947"/>
      <c r="AZ239" s="947"/>
      <c r="BA239" s="947"/>
      <c r="BB239" s="947"/>
      <c r="BC239" s="947"/>
      <c r="BD239" s="947"/>
      <c r="BE239" s="948"/>
      <c r="BF239" s="695"/>
    </row>
    <row r="240" spans="1:58" ht="13.15" thickBot="1" x14ac:dyDescent="0.5">
      <c r="A240" s="695"/>
      <c r="B240" s="946" t="s">
        <v>96</v>
      </c>
      <c r="C240" s="947"/>
      <c r="D240" s="947"/>
      <c r="E240" s="950"/>
      <c r="F240" s="950" t="s">
        <v>749</v>
      </c>
      <c r="G240" s="1790" t="str">
        <f>IF(OR(G239=0,G237="NA"), "NA", G238/G239)</f>
        <v>NA</v>
      </c>
      <c r="H240" s="947"/>
      <c r="I240" s="1574"/>
      <c r="J240" s="947"/>
      <c r="K240" s="947"/>
      <c r="L240" s="947"/>
      <c r="M240" s="947"/>
      <c r="N240" s="947"/>
      <c r="O240" s="947"/>
      <c r="P240" s="947"/>
      <c r="Q240" s="947"/>
      <c r="R240" s="947"/>
      <c r="S240" s="947"/>
      <c r="T240" s="947"/>
      <c r="U240" s="947"/>
      <c r="V240" s="947"/>
      <c r="W240" s="947"/>
      <c r="X240" s="947"/>
      <c r="Y240" s="947"/>
      <c r="Z240" s="947"/>
      <c r="AA240" s="947"/>
      <c r="AB240" s="947"/>
      <c r="AC240" s="947"/>
      <c r="AD240" s="947"/>
      <c r="AE240" s="947"/>
      <c r="AF240" s="947"/>
      <c r="AG240" s="947"/>
      <c r="AH240" s="947"/>
      <c r="AI240" s="947"/>
      <c r="AJ240" s="947"/>
      <c r="AK240" s="947"/>
      <c r="AL240" s="947"/>
      <c r="AM240" s="947"/>
      <c r="AN240" s="947"/>
      <c r="AO240" s="947"/>
      <c r="AP240" s="947"/>
      <c r="AQ240" s="947"/>
      <c r="AR240" s="947"/>
      <c r="AS240" s="947"/>
      <c r="AT240" s="947"/>
      <c r="AU240" s="947"/>
      <c r="AV240" s="947"/>
      <c r="AW240" s="947"/>
      <c r="AX240" s="947"/>
      <c r="AY240" s="947"/>
      <c r="AZ240" s="947"/>
      <c r="BA240" s="947"/>
      <c r="BB240" s="947"/>
      <c r="BC240" s="947"/>
      <c r="BD240" s="947"/>
      <c r="BE240" s="948"/>
      <c r="BF240" s="695"/>
    </row>
    <row r="241" spans="1:58" ht="13.5" thickBot="1" x14ac:dyDescent="0.5">
      <c r="A241" s="695"/>
      <c r="B241" s="963" t="s">
        <v>97</v>
      </c>
      <c r="C241" s="964"/>
      <c r="D241" s="964"/>
      <c r="E241" s="965"/>
      <c r="F241" s="965" t="s">
        <v>749</v>
      </c>
      <c r="G241" s="1791" t="str">
        <f>IF(G240="NA", "NA", $G$240/(1-'II. Inputs, Baseline Energy Mix'!$R$23))</f>
        <v>NA</v>
      </c>
      <c r="H241" s="947"/>
      <c r="I241" s="1574"/>
      <c r="J241" s="947"/>
      <c r="K241" s="947"/>
      <c r="L241" s="947"/>
      <c r="M241" s="947"/>
      <c r="N241" s="947"/>
      <c r="O241" s="947"/>
      <c r="P241" s="947"/>
      <c r="Q241" s="947"/>
      <c r="R241" s="947"/>
      <c r="S241" s="947"/>
      <c r="T241" s="947"/>
      <c r="U241" s="947"/>
      <c r="V241" s="947"/>
      <c r="W241" s="947"/>
      <c r="X241" s="947"/>
      <c r="Y241" s="947"/>
      <c r="Z241" s="947"/>
      <c r="AA241" s="947"/>
      <c r="AB241" s="947"/>
      <c r="AC241" s="947"/>
      <c r="AD241" s="947"/>
      <c r="AE241" s="947"/>
      <c r="AF241" s="947"/>
      <c r="AG241" s="947"/>
      <c r="AH241" s="947"/>
      <c r="AI241" s="947"/>
      <c r="AJ241" s="947"/>
      <c r="AK241" s="947"/>
      <c r="AL241" s="947"/>
      <c r="AM241" s="947"/>
      <c r="AN241" s="947"/>
      <c r="AO241" s="947"/>
      <c r="AP241" s="947"/>
      <c r="AQ241" s="947"/>
      <c r="AR241" s="947"/>
      <c r="AS241" s="947"/>
      <c r="AT241" s="947"/>
      <c r="AU241" s="947"/>
      <c r="AV241" s="947"/>
      <c r="AW241" s="947"/>
      <c r="AX241" s="947"/>
      <c r="AY241" s="947"/>
      <c r="AZ241" s="947"/>
      <c r="BA241" s="947"/>
      <c r="BB241" s="947"/>
      <c r="BC241" s="947"/>
      <c r="BD241" s="947"/>
      <c r="BE241" s="948"/>
      <c r="BF241" s="695"/>
    </row>
    <row r="242" spans="1:58" ht="13.5" thickBot="1" x14ac:dyDescent="0.5">
      <c r="A242" s="695"/>
      <c r="B242" s="966"/>
      <c r="C242" s="967"/>
      <c r="D242" s="967"/>
      <c r="E242" s="968"/>
      <c r="F242" s="968"/>
      <c r="G242" s="1792"/>
      <c r="H242" s="969"/>
      <c r="I242" s="1579"/>
      <c r="J242" s="969"/>
      <c r="K242" s="969"/>
      <c r="L242" s="969"/>
      <c r="M242" s="969"/>
      <c r="N242" s="969"/>
      <c r="O242" s="969"/>
      <c r="P242" s="969"/>
      <c r="Q242" s="969"/>
      <c r="R242" s="969"/>
      <c r="S242" s="969"/>
      <c r="T242" s="969"/>
      <c r="U242" s="969"/>
      <c r="V242" s="969"/>
      <c r="W242" s="969"/>
      <c r="X242" s="969"/>
      <c r="Y242" s="969"/>
      <c r="Z242" s="969"/>
      <c r="AA242" s="969"/>
      <c r="AB242" s="969"/>
      <c r="AC242" s="969"/>
      <c r="AD242" s="969"/>
      <c r="AE242" s="969"/>
      <c r="AF242" s="969"/>
      <c r="AG242" s="969"/>
      <c r="AH242" s="969"/>
      <c r="AI242" s="969"/>
      <c r="AJ242" s="969"/>
      <c r="AK242" s="969"/>
      <c r="AL242" s="969"/>
      <c r="AM242" s="969"/>
      <c r="AN242" s="969"/>
      <c r="AO242" s="969"/>
      <c r="AP242" s="969"/>
      <c r="AQ242" s="969"/>
      <c r="AR242" s="969"/>
      <c r="AS242" s="969"/>
      <c r="AT242" s="969"/>
      <c r="AU242" s="969"/>
      <c r="AV242" s="969"/>
      <c r="AW242" s="969"/>
      <c r="AX242" s="969"/>
      <c r="AY242" s="969"/>
      <c r="AZ242" s="969"/>
      <c r="BA242" s="969"/>
      <c r="BB242" s="969"/>
      <c r="BC242" s="969"/>
      <c r="BD242" s="969"/>
      <c r="BE242" s="970"/>
      <c r="BF242" s="695"/>
    </row>
    <row r="243" spans="1:58" ht="13.5" thickBot="1" x14ac:dyDescent="0.5">
      <c r="A243" s="695"/>
      <c r="B243" s="696"/>
      <c r="C243" s="696"/>
      <c r="D243" s="696"/>
      <c r="E243" s="697"/>
      <c r="F243" s="697"/>
      <c r="G243" s="1787"/>
      <c r="H243" s="695"/>
      <c r="I243" s="1548"/>
      <c r="J243" s="695"/>
      <c r="K243" s="695"/>
      <c r="L243" s="695"/>
      <c r="M243" s="695"/>
      <c r="N243" s="695"/>
      <c r="O243" s="695"/>
      <c r="P243" s="695"/>
      <c r="Q243" s="695"/>
      <c r="R243" s="695"/>
      <c r="S243" s="695"/>
      <c r="T243" s="695"/>
      <c r="U243" s="695"/>
      <c r="V243" s="695"/>
      <c r="W243" s="695"/>
      <c r="X243" s="695"/>
      <c r="Y243" s="695"/>
      <c r="Z243" s="695"/>
      <c r="AA243" s="695"/>
      <c r="AB243" s="695"/>
      <c r="AC243" s="695"/>
      <c r="AD243" s="695"/>
      <c r="AE243" s="695"/>
      <c r="AF243" s="695"/>
      <c r="AG243" s="695"/>
      <c r="AH243" s="695"/>
      <c r="AI243" s="695"/>
      <c r="AJ243" s="695"/>
      <c r="AK243" s="695"/>
      <c r="AL243" s="695"/>
      <c r="AM243" s="695"/>
      <c r="AN243" s="695"/>
      <c r="AO243" s="695"/>
      <c r="AP243" s="695"/>
      <c r="AQ243" s="695"/>
      <c r="AR243" s="695"/>
      <c r="AS243" s="695"/>
      <c r="AT243" s="695"/>
      <c r="AU243" s="695"/>
      <c r="AV243" s="695"/>
      <c r="AW243" s="695"/>
      <c r="AX243" s="695"/>
      <c r="AY243" s="695"/>
      <c r="AZ243" s="695"/>
      <c r="BA243" s="695"/>
      <c r="BB243" s="695"/>
      <c r="BC243" s="695"/>
      <c r="BD243" s="695"/>
      <c r="BE243" s="695"/>
      <c r="BF243" s="695"/>
    </row>
    <row r="244" spans="1:58" s="479" customFormat="1" ht="13.15" x14ac:dyDescent="0.45">
      <c r="A244" s="704"/>
      <c r="B244" s="971" t="str">
        <f>'II. Inputs, Baseline Energy Mix'!S18</f>
        <v>Technology #6</v>
      </c>
      <c r="C244" s="972"/>
      <c r="D244" s="972"/>
      <c r="E244" s="972"/>
      <c r="F244" s="972"/>
      <c r="G244" s="972"/>
      <c r="H244" s="972"/>
      <c r="I244" s="972"/>
      <c r="J244" s="972"/>
      <c r="K244" s="972"/>
      <c r="L244" s="972"/>
      <c r="M244" s="972"/>
      <c r="N244" s="972"/>
      <c r="O244" s="972"/>
      <c r="P244" s="972"/>
      <c r="Q244" s="972"/>
      <c r="R244" s="972"/>
      <c r="S244" s="972"/>
      <c r="T244" s="972"/>
      <c r="U244" s="972"/>
      <c r="V244" s="972"/>
      <c r="W244" s="972"/>
      <c r="X244" s="972"/>
      <c r="Y244" s="972"/>
      <c r="Z244" s="972"/>
      <c r="AA244" s="972"/>
      <c r="AB244" s="972"/>
      <c r="AC244" s="972"/>
      <c r="AD244" s="972"/>
      <c r="AE244" s="972"/>
      <c r="AF244" s="972"/>
      <c r="AG244" s="972"/>
      <c r="AH244" s="972"/>
      <c r="AI244" s="972"/>
      <c r="AJ244" s="972"/>
      <c r="AK244" s="972"/>
      <c r="AL244" s="972"/>
      <c r="AM244" s="972"/>
      <c r="AN244" s="972"/>
      <c r="AO244" s="972"/>
      <c r="AP244" s="972"/>
      <c r="AQ244" s="972"/>
      <c r="AR244" s="972"/>
      <c r="AS244" s="972"/>
      <c r="AT244" s="972"/>
      <c r="AU244" s="972"/>
      <c r="AV244" s="972"/>
      <c r="AW244" s="972"/>
      <c r="AX244" s="972"/>
      <c r="AY244" s="972"/>
      <c r="AZ244" s="972"/>
      <c r="BA244" s="972"/>
      <c r="BB244" s="972"/>
      <c r="BC244" s="972"/>
      <c r="BD244" s="972"/>
      <c r="BE244" s="973"/>
      <c r="BF244" s="704"/>
    </row>
    <row r="245" spans="1:58" x14ac:dyDescent="0.45">
      <c r="A245" s="695"/>
      <c r="B245" s="974"/>
      <c r="C245" s="975"/>
      <c r="D245" s="975"/>
      <c r="E245" s="975"/>
      <c r="F245" s="975"/>
      <c r="G245" s="975"/>
      <c r="H245" s="975"/>
      <c r="I245" s="975"/>
      <c r="J245" s="975"/>
      <c r="K245" s="975"/>
      <c r="L245" s="975"/>
      <c r="M245" s="975"/>
      <c r="N245" s="975"/>
      <c r="O245" s="975"/>
      <c r="P245" s="975"/>
      <c r="Q245" s="975"/>
      <c r="R245" s="975"/>
      <c r="S245" s="975"/>
      <c r="T245" s="975"/>
      <c r="U245" s="975"/>
      <c r="V245" s="975"/>
      <c r="W245" s="975"/>
      <c r="X245" s="975"/>
      <c r="Y245" s="975"/>
      <c r="Z245" s="975"/>
      <c r="AA245" s="975"/>
      <c r="AB245" s="975"/>
      <c r="AC245" s="975"/>
      <c r="AD245" s="975"/>
      <c r="AE245" s="975"/>
      <c r="AF245" s="975"/>
      <c r="AG245" s="975"/>
      <c r="AH245" s="975"/>
      <c r="AI245" s="975"/>
      <c r="AJ245" s="975"/>
      <c r="AK245" s="975"/>
      <c r="AL245" s="975"/>
      <c r="AM245" s="975"/>
      <c r="AN245" s="975"/>
      <c r="AO245" s="975"/>
      <c r="AP245" s="975"/>
      <c r="AQ245" s="975"/>
      <c r="AR245" s="975"/>
      <c r="AS245" s="975"/>
      <c r="AT245" s="975"/>
      <c r="AU245" s="975"/>
      <c r="AV245" s="975"/>
      <c r="AW245" s="975"/>
      <c r="AX245" s="975"/>
      <c r="AY245" s="975"/>
      <c r="AZ245" s="975"/>
      <c r="BA245" s="975"/>
      <c r="BB245" s="975"/>
      <c r="BC245" s="975"/>
      <c r="BD245" s="975"/>
      <c r="BE245" s="976"/>
      <c r="BF245" s="695"/>
    </row>
    <row r="246" spans="1:58" x14ac:dyDescent="0.45">
      <c r="A246" s="695"/>
      <c r="B246" s="974" t="s">
        <v>122</v>
      </c>
      <c r="C246" s="975"/>
      <c r="D246" s="975"/>
      <c r="E246" s="975"/>
      <c r="F246" s="975"/>
      <c r="G246" s="975"/>
      <c r="H246" s="977">
        <f>IF(H$13&gt;'II. Inputs, Baseline Energy Mix'!$S$22,0,1)</f>
        <v>0</v>
      </c>
      <c r="I246" s="975">
        <f>IF(I$13&gt;'II. Inputs, Baseline Energy Mix'!$S$22,0,1)</f>
        <v>0</v>
      </c>
      <c r="J246" s="975">
        <f>IF(J$13&gt;'II. Inputs, Baseline Energy Mix'!$S$22,0,1)</f>
        <v>0</v>
      </c>
      <c r="K246" s="975">
        <f>IF(K$13&gt;'II. Inputs, Baseline Energy Mix'!$S$22,0,1)</f>
        <v>0</v>
      </c>
      <c r="L246" s="975">
        <f>IF(L$13&gt;'II. Inputs, Baseline Energy Mix'!$S$22,0,1)</f>
        <v>0</v>
      </c>
      <c r="M246" s="975">
        <f>IF(M$13&gt;'II. Inputs, Baseline Energy Mix'!$S$22,0,1)</f>
        <v>0</v>
      </c>
      <c r="N246" s="975">
        <f>IF(N$13&gt;'II. Inputs, Baseline Energy Mix'!$S$22,0,1)</f>
        <v>0</v>
      </c>
      <c r="O246" s="975">
        <f>IF(O$13&gt;'II. Inputs, Baseline Energy Mix'!$S$22,0,1)</f>
        <v>0</v>
      </c>
      <c r="P246" s="975">
        <f>IF(P$13&gt;'II. Inputs, Baseline Energy Mix'!$S$22,0,1)</f>
        <v>0</v>
      </c>
      <c r="Q246" s="975">
        <f>IF(Q$13&gt;'II. Inputs, Baseline Energy Mix'!$S$22,0,1)</f>
        <v>0</v>
      </c>
      <c r="R246" s="975">
        <f>IF(R$13&gt;'II. Inputs, Baseline Energy Mix'!$S$22,0,1)</f>
        <v>0</v>
      </c>
      <c r="S246" s="975">
        <f>IF(S$13&gt;'II. Inputs, Baseline Energy Mix'!$S$22,0,1)</f>
        <v>0</v>
      </c>
      <c r="T246" s="975">
        <f>IF(T$13&gt;'II. Inputs, Baseline Energy Mix'!$S$22,0,1)</f>
        <v>0</v>
      </c>
      <c r="U246" s="975">
        <f>IF(U$13&gt;'II. Inputs, Baseline Energy Mix'!$S$22,0,1)</f>
        <v>0</v>
      </c>
      <c r="V246" s="975">
        <f>IF(V$13&gt;'II. Inputs, Baseline Energy Mix'!$S$22,0,1)</f>
        <v>0</v>
      </c>
      <c r="W246" s="975">
        <f>IF(W$13&gt;'II. Inputs, Baseline Energy Mix'!$S$22,0,1)</f>
        <v>0</v>
      </c>
      <c r="X246" s="975">
        <f>IF(X$13&gt;'II. Inputs, Baseline Energy Mix'!$S$22,0,1)</f>
        <v>0</v>
      </c>
      <c r="Y246" s="975">
        <f>IF(Y$13&gt;'II. Inputs, Baseline Energy Mix'!$S$22,0,1)</f>
        <v>0</v>
      </c>
      <c r="Z246" s="975">
        <f>IF(Z$13&gt;'II. Inputs, Baseline Energy Mix'!$S$22,0,1)</f>
        <v>0</v>
      </c>
      <c r="AA246" s="975">
        <f>IF(AA$13&gt;'II. Inputs, Baseline Energy Mix'!$S$22,0,1)</f>
        <v>0</v>
      </c>
      <c r="AB246" s="975">
        <f>IF(AB$13&gt;'II. Inputs, Baseline Energy Mix'!$S$22,0,1)</f>
        <v>0</v>
      </c>
      <c r="AC246" s="975">
        <f>IF(AC$13&gt;'II. Inputs, Baseline Energy Mix'!$S$22,0,1)</f>
        <v>0</v>
      </c>
      <c r="AD246" s="975">
        <f>IF(AD$13&gt;'II. Inputs, Baseline Energy Mix'!$S$22,0,1)</f>
        <v>0</v>
      </c>
      <c r="AE246" s="975">
        <f>IF(AE$13&gt;'II. Inputs, Baseline Energy Mix'!$S$22,0,1)</f>
        <v>0</v>
      </c>
      <c r="AF246" s="975">
        <f>IF(AF$13&gt;'II. Inputs, Baseline Energy Mix'!$S$22,0,1)</f>
        <v>0</v>
      </c>
      <c r="AG246" s="975">
        <f>IF(AG$13&gt;'II. Inputs, Baseline Energy Mix'!$S$22,0,1)</f>
        <v>0</v>
      </c>
      <c r="AH246" s="975">
        <f>IF(AH$13&gt;'II. Inputs, Baseline Energy Mix'!$S$22,0,1)</f>
        <v>0</v>
      </c>
      <c r="AI246" s="975">
        <f>IF(AI$13&gt;'II. Inputs, Baseline Energy Mix'!$S$22,0,1)</f>
        <v>0</v>
      </c>
      <c r="AJ246" s="975">
        <f>IF(AJ$13&gt;'II. Inputs, Baseline Energy Mix'!$S$22,0,1)</f>
        <v>0</v>
      </c>
      <c r="AK246" s="975">
        <f>IF(AK$13&gt;'II. Inputs, Baseline Energy Mix'!$S$22,0,1)</f>
        <v>0</v>
      </c>
      <c r="AL246" s="975">
        <f>IF(AL$13&gt;'II. Inputs, Baseline Energy Mix'!$S$22,0,1)</f>
        <v>0</v>
      </c>
      <c r="AM246" s="975">
        <f>IF(AM$13&gt;'II. Inputs, Baseline Energy Mix'!$S$22,0,1)</f>
        <v>0</v>
      </c>
      <c r="AN246" s="975">
        <f>IF(AN$13&gt;'II. Inputs, Baseline Energy Mix'!$S$22,0,1)</f>
        <v>0</v>
      </c>
      <c r="AO246" s="975">
        <f>IF(AO$13&gt;'II. Inputs, Baseline Energy Mix'!$S$22,0,1)</f>
        <v>0</v>
      </c>
      <c r="AP246" s="975">
        <f>IF(AP$13&gt;'II. Inputs, Baseline Energy Mix'!$S$22,0,1)</f>
        <v>0</v>
      </c>
      <c r="AQ246" s="975">
        <f>IF(AQ$13&gt;'II. Inputs, Baseline Energy Mix'!$S$22,0,1)</f>
        <v>0</v>
      </c>
      <c r="AR246" s="975">
        <f>IF(AR$13&gt;'II. Inputs, Baseline Energy Mix'!$S$22,0,1)</f>
        <v>0</v>
      </c>
      <c r="AS246" s="975">
        <f>IF(AS$13&gt;'II. Inputs, Baseline Energy Mix'!$S$22,0,1)</f>
        <v>0</v>
      </c>
      <c r="AT246" s="975">
        <f>IF(AT$13&gt;'II. Inputs, Baseline Energy Mix'!$S$22,0,1)</f>
        <v>0</v>
      </c>
      <c r="AU246" s="975">
        <f>IF(AU$13&gt;'II. Inputs, Baseline Energy Mix'!$S$22,0,1)</f>
        <v>0</v>
      </c>
      <c r="AV246" s="975">
        <f>IF(AV$13&gt;'II. Inputs, Baseline Energy Mix'!$S$22,0,1)</f>
        <v>0</v>
      </c>
      <c r="AW246" s="975">
        <f>IF(AW$13&gt;'II. Inputs, Baseline Energy Mix'!$S$22,0,1)</f>
        <v>0</v>
      </c>
      <c r="AX246" s="975">
        <f>IF(AX$13&gt;'II. Inputs, Baseline Energy Mix'!$S$22,0,1)</f>
        <v>0</v>
      </c>
      <c r="AY246" s="975">
        <f>IF(AY$13&gt;'II. Inputs, Baseline Energy Mix'!$S$22,0,1)</f>
        <v>0</v>
      </c>
      <c r="AZ246" s="975">
        <f>IF(AZ$13&gt;'II. Inputs, Baseline Energy Mix'!$S$22,0,1)</f>
        <v>0</v>
      </c>
      <c r="BA246" s="975">
        <f>IF(BA$13&gt;'II. Inputs, Baseline Energy Mix'!$S$22,0,1)</f>
        <v>0</v>
      </c>
      <c r="BB246" s="975">
        <f>IF(BB$13&gt;'II. Inputs, Baseline Energy Mix'!$S$22,0,1)</f>
        <v>0</v>
      </c>
      <c r="BC246" s="975">
        <f>IF(BC$13&gt;'II. Inputs, Baseline Energy Mix'!$S$22,0,1)</f>
        <v>0</v>
      </c>
      <c r="BD246" s="975">
        <f>IF(BD$13&gt;'II. Inputs, Baseline Energy Mix'!$S$22,0,1)</f>
        <v>0</v>
      </c>
      <c r="BE246" s="976">
        <f>IF(BE$13&gt;'II. Inputs, Baseline Energy Mix'!$S$22,0,1)</f>
        <v>0</v>
      </c>
      <c r="BF246" s="695"/>
    </row>
    <row r="247" spans="1:58" x14ac:dyDescent="0.45">
      <c r="A247" s="695"/>
      <c r="B247" s="974"/>
      <c r="C247" s="975"/>
      <c r="D247" s="975"/>
      <c r="E247" s="975"/>
      <c r="F247" s="975"/>
      <c r="G247" s="975"/>
      <c r="H247" s="977"/>
      <c r="I247" s="975"/>
      <c r="J247" s="975"/>
      <c r="K247" s="975"/>
      <c r="L247" s="975"/>
      <c r="M247" s="975"/>
      <c r="N247" s="975"/>
      <c r="O247" s="975"/>
      <c r="P247" s="975"/>
      <c r="Q247" s="975"/>
      <c r="R247" s="975"/>
      <c r="S247" s="975"/>
      <c r="T247" s="975"/>
      <c r="U247" s="975"/>
      <c r="V247" s="975"/>
      <c r="W247" s="975"/>
      <c r="X247" s="975"/>
      <c r="Y247" s="975"/>
      <c r="Z247" s="975"/>
      <c r="AA247" s="975"/>
      <c r="AB247" s="975"/>
      <c r="AC247" s="975"/>
      <c r="AD247" s="975"/>
      <c r="AE247" s="975"/>
      <c r="AF247" s="975"/>
      <c r="AG247" s="975"/>
      <c r="AH247" s="975"/>
      <c r="AI247" s="975"/>
      <c r="AJ247" s="975"/>
      <c r="AK247" s="975"/>
      <c r="AL247" s="975"/>
      <c r="AM247" s="975"/>
      <c r="AN247" s="975"/>
      <c r="AO247" s="975"/>
      <c r="AP247" s="975"/>
      <c r="AQ247" s="975"/>
      <c r="AR247" s="975"/>
      <c r="AS247" s="975"/>
      <c r="AT247" s="975"/>
      <c r="AU247" s="975"/>
      <c r="AV247" s="975"/>
      <c r="AW247" s="975"/>
      <c r="AX247" s="975"/>
      <c r="AY247" s="975"/>
      <c r="AZ247" s="975"/>
      <c r="BA247" s="975"/>
      <c r="BB247" s="975"/>
      <c r="BC247" s="975"/>
      <c r="BD247" s="975"/>
      <c r="BE247" s="976"/>
      <c r="BF247" s="695"/>
    </row>
    <row r="248" spans="1:58" x14ac:dyDescent="0.45">
      <c r="A248" s="695"/>
      <c r="B248" s="974" t="s">
        <v>85</v>
      </c>
      <c r="C248" s="975"/>
      <c r="D248" s="975"/>
      <c r="E248" s="975"/>
      <c r="F248" s="978" t="s">
        <v>86</v>
      </c>
      <c r="G248" s="975"/>
      <c r="H248" s="979">
        <f>IF('II. Inputs, Baseline Energy Mix'!$S$19=0,0,'II. Inputs, Baseline Energy Mix'!$S$105*'II. Inputs, Baseline Energy Mix'!$S$20*H246)</f>
        <v>0</v>
      </c>
      <c r="I248" s="979">
        <f>IF('II. Inputs, Baseline Energy Mix'!$S$19=0,0,'II. Inputs, Baseline Energy Mix'!$S$105*'II. Inputs, Baseline Energy Mix'!$S$20*I246)</f>
        <v>0</v>
      </c>
      <c r="J248" s="979">
        <f>IF('II. Inputs, Baseline Energy Mix'!$S$19=0,0,'II. Inputs, Baseline Energy Mix'!$S$105*'II. Inputs, Baseline Energy Mix'!$S$20*J246)</f>
        <v>0</v>
      </c>
      <c r="K248" s="979">
        <f>IF('II. Inputs, Baseline Energy Mix'!$S$19=0,0,'II. Inputs, Baseline Energy Mix'!$S$105*'II. Inputs, Baseline Energy Mix'!$S$20*K246)</f>
        <v>0</v>
      </c>
      <c r="L248" s="979">
        <f>IF('II. Inputs, Baseline Energy Mix'!$S$19=0,0,'II. Inputs, Baseline Energy Mix'!$S$105*'II. Inputs, Baseline Energy Mix'!$S$20*L246)</f>
        <v>0</v>
      </c>
      <c r="M248" s="979">
        <f>IF('II. Inputs, Baseline Energy Mix'!$S$19=0,0,'II. Inputs, Baseline Energy Mix'!$S$105*'II. Inputs, Baseline Energy Mix'!$S$20*M246)</f>
        <v>0</v>
      </c>
      <c r="N248" s="979">
        <f>IF('II. Inputs, Baseline Energy Mix'!$S$19=0,0,'II. Inputs, Baseline Energy Mix'!$S$105*'II. Inputs, Baseline Energy Mix'!$S$20*N246)</f>
        <v>0</v>
      </c>
      <c r="O248" s="979">
        <f>IF('II. Inputs, Baseline Energy Mix'!$S$19=0,0,'II. Inputs, Baseline Energy Mix'!$S$105*'II. Inputs, Baseline Energy Mix'!$S$20*O246)</f>
        <v>0</v>
      </c>
      <c r="P248" s="979">
        <f>IF('II. Inputs, Baseline Energy Mix'!$S$19=0,0,'II. Inputs, Baseline Energy Mix'!$S$105*'II. Inputs, Baseline Energy Mix'!$S$20*P246)</f>
        <v>0</v>
      </c>
      <c r="Q248" s="979">
        <f>IF('II. Inputs, Baseline Energy Mix'!$S$19=0,0,'II. Inputs, Baseline Energy Mix'!$S$105*'II. Inputs, Baseline Energy Mix'!$S$20*Q246)</f>
        <v>0</v>
      </c>
      <c r="R248" s="979">
        <f>IF('II. Inputs, Baseline Energy Mix'!$S$19=0,0,'II. Inputs, Baseline Energy Mix'!$S$105*'II. Inputs, Baseline Energy Mix'!$S$20*R246)</f>
        <v>0</v>
      </c>
      <c r="S248" s="979">
        <f>IF('II. Inputs, Baseline Energy Mix'!$S$19=0,0,'II. Inputs, Baseline Energy Mix'!$S$105*'II. Inputs, Baseline Energy Mix'!$S$20*S246)</f>
        <v>0</v>
      </c>
      <c r="T248" s="979">
        <f>IF('II. Inputs, Baseline Energy Mix'!$S$19=0,0,'II. Inputs, Baseline Energy Mix'!$S$105*'II. Inputs, Baseline Energy Mix'!$S$20*T246)</f>
        <v>0</v>
      </c>
      <c r="U248" s="979">
        <f>IF('II. Inputs, Baseline Energy Mix'!$S$19=0,0,'II. Inputs, Baseline Energy Mix'!$S$105*'II. Inputs, Baseline Energy Mix'!$S$20*U246)</f>
        <v>0</v>
      </c>
      <c r="V248" s="979">
        <f>IF('II. Inputs, Baseline Energy Mix'!$S$19=0,0,'II. Inputs, Baseline Energy Mix'!$S$105*'II. Inputs, Baseline Energy Mix'!$S$20*V246)</f>
        <v>0</v>
      </c>
      <c r="W248" s="979">
        <f>IF('II. Inputs, Baseline Energy Mix'!$S$19=0,0,'II. Inputs, Baseline Energy Mix'!$S$105*'II. Inputs, Baseline Energy Mix'!$S$20*W246)</f>
        <v>0</v>
      </c>
      <c r="X248" s="979">
        <f>IF('II. Inputs, Baseline Energy Mix'!$S$19=0,0,'II. Inputs, Baseline Energy Mix'!$S$105*'II. Inputs, Baseline Energy Mix'!$S$20*X246)</f>
        <v>0</v>
      </c>
      <c r="Y248" s="979">
        <f>IF('II. Inputs, Baseline Energy Mix'!$S$19=0,0,'II. Inputs, Baseline Energy Mix'!$S$105*'II. Inputs, Baseline Energy Mix'!$S$20*Y246)</f>
        <v>0</v>
      </c>
      <c r="Z248" s="979">
        <f>IF('II. Inputs, Baseline Energy Mix'!$S$19=0,0,'II. Inputs, Baseline Energy Mix'!$S$105*'II. Inputs, Baseline Energy Mix'!$S$20*Z246)</f>
        <v>0</v>
      </c>
      <c r="AA248" s="979">
        <f>IF('II. Inputs, Baseline Energy Mix'!$S$19=0,0,'II. Inputs, Baseline Energy Mix'!$S$105*'II. Inputs, Baseline Energy Mix'!$S$20*AA246)</f>
        <v>0</v>
      </c>
      <c r="AB248" s="979">
        <f>IF('II. Inputs, Baseline Energy Mix'!$S$19=0,0,'II. Inputs, Baseline Energy Mix'!$S$105*'II. Inputs, Baseline Energy Mix'!$S$20*AB246)</f>
        <v>0</v>
      </c>
      <c r="AC248" s="979">
        <f>IF('II. Inputs, Baseline Energy Mix'!$S$19=0,0,'II. Inputs, Baseline Energy Mix'!$S$105*'II. Inputs, Baseline Energy Mix'!$S$20*AC246)</f>
        <v>0</v>
      </c>
      <c r="AD248" s="979">
        <f>IF('II. Inputs, Baseline Energy Mix'!$S$19=0,0,'II. Inputs, Baseline Energy Mix'!$S$105*'II. Inputs, Baseline Energy Mix'!$S$20*AD246)</f>
        <v>0</v>
      </c>
      <c r="AE248" s="979">
        <f>IF('II. Inputs, Baseline Energy Mix'!$S$19=0,0,'II. Inputs, Baseline Energy Mix'!$S$105*'II. Inputs, Baseline Energy Mix'!$S$20*AE246)</f>
        <v>0</v>
      </c>
      <c r="AF248" s="979">
        <f>IF('II. Inputs, Baseline Energy Mix'!$S$19=0,0,'II. Inputs, Baseline Energy Mix'!$S$105*'II. Inputs, Baseline Energy Mix'!$S$20*AF246)</f>
        <v>0</v>
      </c>
      <c r="AG248" s="979">
        <f>IF('II. Inputs, Baseline Energy Mix'!$S$19=0,0,'II. Inputs, Baseline Energy Mix'!$S$105*'II. Inputs, Baseline Energy Mix'!$S$20*AG246)</f>
        <v>0</v>
      </c>
      <c r="AH248" s="979">
        <f>IF('II. Inputs, Baseline Energy Mix'!$S$19=0,0,'II. Inputs, Baseline Energy Mix'!$S$105*'II. Inputs, Baseline Energy Mix'!$S$20*AH246)</f>
        <v>0</v>
      </c>
      <c r="AI248" s="979">
        <f>IF('II. Inputs, Baseline Energy Mix'!$S$19=0,0,'II. Inputs, Baseline Energy Mix'!$S$105*'II. Inputs, Baseline Energy Mix'!$S$20*AI246)</f>
        <v>0</v>
      </c>
      <c r="AJ248" s="979">
        <f>IF('II. Inputs, Baseline Energy Mix'!$S$19=0,0,'II. Inputs, Baseline Energy Mix'!$S$105*'II. Inputs, Baseline Energy Mix'!$S$20*AJ246)</f>
        <v>0</v>
      </c>
      <c r="AK248" s="979">
        <f>IF('II. Inputs, Baseline Energy Mix'!$S$19=0,0,'II. Inputs, Baseline Energy Mix'!$S$105*'II. Inputs, Baseline Energy Mix'!$S$20*AK246)</f>
        <v>0</v>
      </c>
      <c r="AL248" s="979">
        <f>IF('II. Inputs, Baseline Energy Mix'!$S$19=0,0,'II. Inputs, Baseline Energy Mix'!$S$105*'II. Inputs, Baseline Energy Mix'!$S$20*AL246)</f>
        <v>0</v>
      </c>
      <c r="AM248" s="979">
        <f>IF('II. Inputs, Baseline Energy Mix'!$S$19=0,0,'II. Inputs, Baseline Energy Mix'!$S$105*'II. Inputs, Baseline Energy Mix'!$S$20*AM246)</f>
        <v>0</v>
      </c>
      <c r="AN248" s="979">
        <f>IF('II. Inputs, Baseline Energy Mix'!$S$19=0,0,'II. Inputs, Baseline Energy Mix'!$S$105*'II. Inputs, Baseline Energy Mix'!$S$20*AN246)</f>
        <v>0</v>
      </c>
      <c r="AO248" s="979">
        <f>IF('II. Inputs, Baseline Energy Mix'!$S$19=0,0,'II. Inputs, Baseline Energy Mix'!$S$105*'II. Inputs, Baseline Energy Mix'!$S$20*AO246)</f>
        <v>0</v>
      </c>
      <c r="AP248" s="979">
        <f>IF('II. Inputs, Baseline Energy Mix'!$S$19=0,0,'II. Inputs, Baseline Energy Mix'!$S$105*'II. Inputs, Baseline Energy Mix'!$S$20*AP246)</f>
        <v>0</v>
      </c>
      <c r="AQ248" s="979">
        <f>IF('II. Inputs, Baseline Energy Mix'!$S$19=0,0,'II. Inputs, Baseline Energy Mix'!$S$105*'II. Inputs, Baseline Energy Mix'!$S$20*AQ246)</f>
        <v>0</v>
      </c>
      <c r="AR248" s="979">
        <f>IF('II. Inputs, Baseline Energy Mix'!$S$19=0,0,'II. Inputs, Baseline Energy Mix'!$S$105*'II. Inputs, Baseline Energy Mix'!$S$20*AR246)</f>
        <v>0</v>
      </c>
      <c r="AS248" s="979">
        <f>IF('II. Inputs, Baseline Energy Mix'!$S$19=0,0,'II. Inputs, Baseline Energy Mix'!$S$105*'II. Inputs, Baseline Energy Mix'!$S$20*AS246)</f>
        <v>0</v>
      </c>
      <c r="AT248" s="979">
        <f>IF('II. Inputs, Baseline Energy Mix'!$S$19=0,0,'II. Inputs, Baseline Energy Mix'!$S$105*'II. Inputs, Baseline Energy Mix'!$S$20*AT246)</f>
        <v>0</v>
      </c>
      <c r="AU248" s="979">
        <f>IF('II. Inputs, Baseline Energy Mix'!$S$19=0,0,'II. Inputs, Baseline Energy Mix'!$S$105*'II. Inputs, Baseline Energy Mix'!$S$20*AU246)</f>
        <v>0</v>
      </c>
      <c r="AV248" s="979">
        <f>IF('II. Inputs, Baseline Energy Mix'!$S$19=0,0,'II. Inputs, Baseline Energy Mix'!$S$105*'II. Inputs, Baseline Energy Mix'!$S$20*AV246)</f>
        <v>0</v>
      </c>
      <c r="AW248" s="979">
        <f>IF('II. Inputs, Baseline Energy Mix'!$S$19=0,0,'II. Inputs, Baseline Energy Mix'!$S$105*'II. Inputs, Baseline Energy Mix'!$S$20*AW246)</f>
        <v>0</v>
      </c>
      <c r="AX248" s="979">
        <f>IF('II. Inputs, Baseline Energy Mix'!$S$19=0,0,'II. Inputs, Baseline Energy Mix'!$S$105*'II. Inputs, Baseline Energy Mix'!$S$20*AX246)</f>
        <v>0</v>
      </c>
      <c r="AY248" s="979">
        <f>IF('II. Inputs, Baseline Energy Mix'!$S$19=0,0,'II. Inputs, Baseline Energy Mix'!$S$105*'II. Inputs, Baseline Energy Mix'!$S$20*AY246)</f>
        <v>0</v>
      </c>
      <c r="AZ248" s="979">
        <f>IF('II. Inputs, Baseline Energy Mix'!$S$19=0,0,'II. Inputs, Baseline Energy Mix'!$S$105*'II. Inputs, Baseline Energy Mix'!$S$20*AZ246)</f>
        <v>0</v>
      </c>
      <c r="BA248" s="979">
        <f>IF('II. Inputs, Baseline Energy Mix'!$S$19=0,0,'II. Inputs, Baseline Energy Mix'!$S$105*'II. Inputs, Baseline Energy Mix'!$S$20*BA246)</f>
        <v>0</v>
      </c>
      <c r="BB248" s="979">
        <f>IF('II. Inputs, Baseline Energy Mix'!$S$19=0,0,'II. Inputs, Baseline Energy Mix'!$S$105*'II. Inputs, Baseline Energy Mix'!$S$20*BB246)</f>
        <v>0</v>
      </c>
      <c r="BC248" s="979">
        <f>IF('II. Inputs, Baseline Energy Mix'!$S$19=0,0,'II. Inputs, Baseline Energy Mix'!$S$105*'II. Inputs, Baseline Energy Mix'!$S$20*BC246)</f>
        <v>0</v>
      </c>
      <c r="BD248" s="979">
        <f>IF('II. Inputs, Baseline Energy Mix'!$S$19=0,0,'II. Inputs, Baseline Energy Mix'!$S$105*'II. Inputs, Baseline Energy Mix'!$S$20*BD246)</f>
        <v>0</v>
      </c>
      <c r="BE248" s="980">
        <f>IF('II. Inputs, Baseline Energy Mix'!$S$19=0,0,'II. Inputs, Baseline Energy Mix'!$S$105*'II. Inputs, Baseline Energy Mix'!$S$20*BE246)</f>
        <v>0</v>
      </c>
      <c r="BF248" s="695"/>
    </row>
    <row r="249" spans="1:58" x14ac:dyDescent="0.45">
      <c r="A249" s="695"/>
      <c r="B249" s="974"/>
      <c r="C249" s="975"/>
      <c r="D249" s="975"/>
      <c r="E249" s="978"/>
      <c r="F249" s="975"/>
      <c r="G249" s="975"/>
      <c r="H249" s="975"/>
      <c r="I249" s="975"/>
      <c r="J249" s="975"/>
      <c r="K249" s="975"/>
      <c r="L249" s="975"/>
      <c r="M249" s="975"/>
      <c r="N249" s="975"/>
      <c r="O249" s="975"/>
      <c r="P249" s="975"/>
      <c r="Q249" s="975"/>
      <c r="R249" s="975"/>
      <c r="S249" s="975"/>
      <c r="T249" s="975"/>
      <c r="U249" s="975"/>
      <c r="V249" s="975"/>
      <c r="W249" s="975"/>
      <c r="X249" s="975"/>
      <c r="Y249" s="975"/>
      <c r="Z249" s="975"/>
      <c r="AA249" s="975"/>
      <c r="AB249" s="975"/>
      <c r="AC249" s="975"/>
      <c r="AD249" s="975"/>
      <c r="AE249" s="975"/>
      <c r="AF249" s="975"/>
      <c r="AG249" s="975"/>
      <c r="AH249" s="975"/>
      <c r="AI249" s="975"/>
      <c r="AJ249" s="975"/>
      <c r="AK249" s="975"/>
      <c r="AL249" s="975"/>
      <c r="AM249" s="975"/>
      <c r="AN249" s="975"/>
      <c r="AO249" s="975"/>
      <c r="AP249" s="975"/>
      <c r="AQ249" s="975"/>
      <c r="AR249" s="975"/>
      <c r="AS249" s="975"/>
      <c r="AT249" s="975"/>
      <c r="AU249" s="975"/>
      <c r="AV249" s="975"/>
      <c r="AW249" s="975"/>
      <c r="AX249" s="975"/>
      <c r="AY249" s="975"/>
      <c r="AZ249" s="975"/>
      <c r="BA249" s="975"/>
      <c r="BB249" s="975"/>
      <c r="BC249" s="975"/>
      <c r="BD249" s="975"/>
      <c r="BE249" s="976"/>
      <c r="BF249" s="695"/>
    </row>
    <row r="250" spans="1:58" ht="13.15" x14ac:dyDescent="0.45">
      <c r="A250" s="695"/>
      <c r="B250" s="981" t="s">
        <v>87</v>
      </c>
      <c r="C250" s="982"/>
      <c r="D250" s="982"/>
      <c r="E250" s="983"/>
      <c r="F250" s="983"/>
      <c r="G250" s="983"/>
      <c r="H250" s="983"/>
      <c r="I250" s="983"/>
      <c r="J250" s="983"/>
      <c r="K250" s="983"/>
      <c r="L250" s="983"/>
      <c r="M250" s="983"/>
      <c r="N250" s="983"/>
      <c r="O250" s="983"/>
      <c r="P250" s="983"/>
      <c r="Q250" s="983"/>
      <c r="R250" s="983"/>
      <c r="S250" s="983"/>
      <c r="T250" s="983"/>
      <c r="U250" s="983"/>
      <c r="V250" s="983"/>
      <c r="W250" s="983"/>
      <c r="X250" s="983"/>
      <c r="Y250" s="983"/>
      <c r="Z250" s="983"/>
      <c r="AA250" s="983"/>
      <c r="AB250" s="983"/>
      <c r="AC250" s="983"/>
      <c r="AD250" s="983"/>
      <c r="AE250" s="983"/>
      <c r="AF250" s="983"/>
      <c r="AG250" s="983"/>
      <c r="AH250" s="983"/>
      <c r="AI250" s="983"/>
      <c r="AJ250" s="983"/>
      <c r="AK250" s="983"/>
      <c r="AL250" s="983"/>
      <c r="AM250" s="983"/>
      <c r="AN250" s="983"/>
      <c r="AO250" s="983"/>
      <c r="AP250" s="983"/>
      <c r="AQ250" s="983"/>
      <c r="AR250" s="983"/>
      <c r="AS250" s="983"/>
      <c r="AT250" s="983"/>
      <c r="AU250" s="983"/>
      <c r="AV250" s="983"/>
      <c r="AW250" s="983"/>
      <c r="AX250" s="983"/>
      <c r="AY250" s="983"/>
      <c r="AZ250" s="983"/>
      <c r="BA250" s="983"/>
      <c r="BB250" s="983"/>
      <c r="BC250" s="983"/>
      <c r="BD250" s="983"/>
      <c r="BE250" s="984"/>
      <c r="BF250" s="695"/>
    </row>
    <row r="251" spans="1:58" x14ac:dyDescent="0.45">
      <c r="A251" s="695"/>
      <c r="B251" s="974"/>
      <c r="C251" s="975"/>
      <c r="D251" s="975"/>
      <c r="E251" s="978"/>
      <c r="F251" s="975"/>
      <c r="G251" s="975"/>
      <c r="H251" s="975"/>
      <c r="I251" s="975"/>
      <c r="J251" s="975"/>
      <c r="K251" s="975"/>
      <c r="L251" s="975"/>
      <c r="M251" s="975"/>
      <c r="N251" s="975"/>
      <c r="O251" s="975"/>
      <c r="P251" s="975"/>
      <c r="Q251" s="975"/>
      <c r="R251" s="975"/>
      <c r="S251" s="975"/>
      <c r="T251" s="975"/>
      <c r="U251" s="975"/>
      <c r="V251" s="975"/>
      <c r="W251" s="975"/>
      <c r="X251" s="975"/>
      <c r="Y251" s="975"/>
      <c r="Z251" s="975"/>
      <c r="AA251" s="975"/>
      <c r="AB251" s="975"/>
      <c r="AC251" s="975"/>
      <c r="AD251" s="975"/>
      <c r="AE251" s="975"/>
      <c r="AF251" s="975"/>
      <c r="AG251" s="975"/>
      <c r="AH251" s="975"/>
      <c r="AI251" s="975"/>
      <c r="AJ251" s="975"/>
      <c r="AK251" s="975"/>
      <c r="AL251" s="975"/>
      <c r="AM251" s="975"/>
      <c r="AN251" s="975"/>
      <c r="AO251" s="975"/>
      <c r="AP251" s="975"/>
      <c r="AQ251" s="975"/>
      <c r="AR251" s="975"/>
      <c r="AS251" s="975"/>
      <c r="AT251" s="975"/>
      <c r="AU251" s="975"/>
      <c r="AV251" s="975"/>
      <c r="AW251" s="975"/>
      <c r="AX251" s="975"/>
      <c r="AY251" s="975"/>
      <c r="AZ251" s="975"/>
      <c r="BA251" s="975"/>
      <c r="BB251" s="975"/>
      <c r="BC251" s="975"/>
      <c r="BD251" s="975"/>
      <c r="BE251" s="976"/>
      <c r="BF251" s="695"/>
    </row>
    <row r="252" spans="1:58" x14ac:dyDescent="0.45">
      <c r="A252" s="695"/>
      <c r="B252" s="974" t="s">
        <v>123</v>
      </c>
      <c r="C252" s="975"/>
      <c r="D252" s="975"/>
      <c r="E252" s="978"/>
      <c r="F252" s="978" t="s">
        <v>748</v>
      </c>
      <c r="G252" s="985"/>
      <c r="H252" s="1580">
        <f>IF('II. Inputs, Baseline Energy Mix'!$S$19=0,0,H246*'II. Inputs, Baseline Energy Mix'!$S$118*(1+'II. Inputs, Baseline Energy Mix'!$S$119)^('IV. LCOE, Baseline Energy Mix'!H$13-1))</f>
        <v>0</v>
      </c>
      <c r="I252" s="1580">
        <f>IF('II. Inputs, Baseline Energy Mix'!$S$19=0,0,I246*'II. Inputs, Baseline Energy Mix'!$S$118*(1+'II. Inputs, Baseline Energy Mix'!$S$119)^('IV. LCOE, Baseline Energy Mix'!I$13-1))</f>
        <v>0</v>
      </c>
      <c r="J252" s="1580">
        <f>IF('II. Inputs, Baseline Energy Mix'!$S$19=0,0,J246*'II. Inputs, Baseline Energy Mix'!$S$118*(1+'II. Inputs, Baseline Energy Mix'!$S$119)^('IV. LCOE, Baseline Energy Mix'!J$13-1))</f>
        <v>0</v>
      </c>
      <c r="K252" s="1580">
        <f>IF('II. Inputs, Baseline Energy Mix'!$S$19=0,0,K246*'II. Inputs, Baseline Energy Mix'!$S$118*(1+'II. Inputs, Baseline Energy Mix'!$S$119)^('IV. LCOE, Baseline Energy Mix'!K$13-1))</f>
        <v>0</v>
      </c>
      <c r="L252" s="1580">
        <f>IF('II. Inputs, Baseline Energy Mix'!$S$19=0,0,L246*'II. Inputs, Baseline Energy Mix'!$S$118*(1+'II. Inputs, Baseline Energy Mix'!$S$119)^('IV. LCOE, Baseline Energy Mix'!L$13-1))</f>
        <v>0</v>
      </c>
      <c r="M252" s="1580">
        <f>IF('II. Inputs, Baseline Energy Mix'!$S$19=0,0,M246*'II. Inputs, Baseline Energy Mix'!$S$118*(1+'II. Inputs, Baseline Energy Mix'!$S$119)^('IV. LCOE, Baseline Energy Mix'!M$13-1))</f>
        <v>0</v>
      </c>
      <c r="N252" s="1580">
        <f>IF('II. Inputs, Baseline Energy Mix'!$S$19=0,0,N246*'II. Inputs, Baseline Energy Mix'!$S$118*(1+'II. Inputs, Baseline Energy Mix'!$S$119)^('IV. LCOE, Baseline Energy Mix'!N$13-1))</f>
        <v>0</v>
      </c>
      <c r="O252" s="1580">
        <f>IF('II. Inputs, Baseline Energy Mix'!$S$19=0,0,O246*'II. Inputs, Baseline Energy Mix'!$S$118*(1+'II. Inputs, Baseline Energy Mix'!$S$119)^('IV. LCOE, Baseline Energy Mix'!O$13-1))</f>
        <v>0</v>
      </c>
      <c r="P252" s="1580">
        <f>IF('II. Inputs, Baseline Energy Mix'!$S$19=0,0,P246*'II. Inputs, Baseline Energy Mix'!$S$118*(1+'II. Inputs, Baseline Energy Mix'!$S$119)^('IV. LCOE, Baseline Energy Mix'!P$13-1))</f>
        <v>0</v>
      </c>
      <c r="Q252" s="1580">
        <f>IF('II. Inputs, Baseline Energy Mix'!$S$19=0,0,Q246*'II. Inputs, Baseline Energy Mix'!$S$118*(1+'II. Inputs, Baseline Energy Mix'!$S$119)^('IV. LCOE, Baseline Energy Mix'!Q$13-1))</f>
        <v>0</v>
      </c>
      <c r="R252" s="1580">
        <f>IF('II. Inputs, Baseline Energy Mix'!$S$19=0,0,R246*'II. Inputs, Baseline Energy Mix'!$S$118*(1+'II. Inputs, Baseline Energy Mix'!$S$119)^('IV. LCOE, Baseline Energy Mix'!R$13-1))</f>
        <v>0</v>
      </c>
      <c r="S252" s="1580">
        <f>IF('II. Inputs, Baseline Energy Mix'!$S$19=0,0,S246*'II. Inputs, Baseline Energy Mix'!$S$118*(1+'II. Inputs, Baseline Energy Mix'!$S$119)^('IV. LCOE, Baseline Energy Mix'!S$13-1))</f>
        <v>0</v>
      </c>
      <c r="T252" s="1580">
        <f>IF('II. Inputs, Baseline Energy Mix'!$S$19=0,0,T246*'II. Inputs, Baseline Energy Mix'!$S$118*(1+'II. Inputs, Baseline Energy Mix'!$S$119)^('IV. LCOE, Baseline Energy Mix'!T$13-1))</f>
        <v>0</v>
      </c>
      <c r="U252" s="1580">
        <f>IF('II. Inputs, Baseline Energy Mix'!$S$19=0,0,U246*'II. Inputs, Baseline Energy Mix'!$S$118*(1+'II. Inputs, Baseline Energy Mix'!$S$119)^('IV. LCOE, Baseline Energy Mix'!U$13-1))</f>
        <v>0</v>
      </c>
      <c r="V252" s="1580">
        <f>IF('II. Inputs, Baseline Energy Mix'!$S$19=0,0,V246*'II. Inputs, Baseline Energy Mix'!$S$118*(1+'II. Inputs, Baseline Energy Mix'!$S$119)^('IV. LCOE, Baseline Energy Mix'!V$13-1))</f>
        <v>0</v>
      </c>
      <c r="W252" s="1580">
        <f>IF('II. Inputs, Baseline Energy Mix'!$S$19=0,0,W246*'II. Inputs, Baseline Energy Mix'!$S$118*(1+'II. Inputs, Baseline Energy Mix'!$S$119)^('IV. LCOE, Baseline Energy Mix'!W$13-1))</f>
        <v>0</v>
      </c>
      <c r="X252" s="1580">
        <f>IF('II. Inputs, Baseline Energy Mix'!$S$19=0,0,X246*'II. Inputs, Baseline Energy Mix'!$S$118*(1+'II. Inputs, Baseline Energy Mix'!$S$119)^('IV. LCOE, Baseline Energy Mix'!X$13-1))</f>
        <v>0</v>
      </c>
      <c r="Y252" s="1580">
        <f>IF('II. Inputs, Baseline Energy Mix'!$S$19=0,0,Y246*'II. Inputs, Baseline Energy Mix'!$S$118*(1+'II. Inputs, Baseline Energy Mix'!$S$119)^('IV. LCOE, Baseline Energy Mix'!Y$13-1))</f>
        <v>0</v>
      </c>
      <c r="Z252" s="1580">
        <f>IF('II. Inputs, Baseline Energy Mix'!$S$19=0,0,Z246*'II. Inputs, Baseline Energy Mix'!$S$118*(1+'II. Inputs, Baseline Energy Mix'!$S$119)^('IV. LCOE, Baseline Energy Mix'!Z$13-1))</f>
        <v>0</v>
      </c>
      <c r="AA252" s="1580">
        <f>IF('II. Inputs, Baseline Energy Mix'!$S$19=0,0,AA246*'II. Inputs, Baseline Energy Mix'!$S$118*(1+'II. Inputs, Baseline Energy Mix'!$S$119)^('IV. LCOE, Baseline Energy Mix'!AA$13-1))</f>
        <v>0</v>
      </c>
      <c r="AB252" s="1580">
        <f>IF('II. Inputs, Baseline Energy Mix'!$S$19=0,0,AB246*'II. Inputs, Baseline Energy Mix'!$S$118*(1+'II. Inputs, Baseline Energy Mix'!$S$119)^('IV. LCOE, Baseline Energy Mix'!AB$13-1))</f>
        <v>0</v>
      </c>
      <c r="AC252" s="1580">
        <f>IF('II. Inputs, Baseline Energy Mix'!$S$19=0,0,AC246*'II. Inputs, Baseline Energy Mix'!$S$118*(1+'II. Inputs, Baseline Energy Mix'!$S$119)^('IV. LCOE, Baseline Energy Mix'!AC$13-1))</f>
        <v>0</v>
      </c>
      <c r="AD252" s="1580">
        <f>IF('II. Inputs, Baseline Energy Mix'!$S$19=0,0,AD246*'II. Inputs, Baseline Energy Mix'!$S$118*(1+'II. Inputs, Baseline Energy Mix'!$S$119)^('IV. LCOE, Baseline Energy Mix'!AD$13-1))</f>
        <v>0</v>
      </c>
      <c r="AE252" s="1580">
        <f>IF('II. Inputs, Baseline Energy Mix'!$S$19=0,0,AE246*'II. Inputs, Baseline Energy Mix'!$S$118*(1+'II. Inputs, Baseline Energy Mix'!$S$119)^('IV. LCOE, Baseline Energy Mix'!AE$13-1))</f>
        <v>0</v>
      </c>
      <c r="AF252" s="1580">
        <f>IF('II. Inputs, Baseline Energy Mix'!$S$19=0,0,AF246*'II. Inputs, Baseline Energy Mix'!$S$118*(1+'II. Inputs, Baseline Energy Mix'!$S$119)^('IV. LCOE, Baseline Energy Mix'!AF$13-1))</f>
        <v>0</v>
      </c>
      <c r="AG252" s="1580">
        <f>IF('II. Inputs, Baseline Energy Mix'!$S$19=0,0,AG246*'II. Inputs, Baseline Energy Mix'!$S$118*(1+'II. Inputs, Baseline Energy Mix'!$S$119)^('IV. LCOE, Baseline Energy Mix'!AG$13-1))</f>
        <v>0</v>
      </c>
      <c r="AH252" s="1580">
        <f>IF('II. Inputs, Baseline Energy Mix'!$S$19=0,0,AH246*'II. Inputs, Baseline Energy Mix'!$S$118*(1+'II. Inputs, Baseline Energy Mix'!$S$119)^('IV. LCOE, Baseline Energy Mix'!AH$13-1))</f>
        <v>0</v>
      </c>
      <c r="AI252" s="1580">
        <f>IF('II. Inputs, Baseline Energy Mix'!$S$19=0,0,AI246*'II. Inputs, Baseline Energy Mix'!$S$118*(1+'II. Inputs, Baseline Energy Mix'!$S$119)^('IV. LCOE, Baseline Energy Mix'!AI$13-1))</f>
        <v>0</v>
      </c>
      <c r="AJ252" s="1580">
        <f>IF('II. Inputs, Baseline Energy Mix'!$S$19=0,0,AJ246*'II. Inputs, Baseline Energy Mix'!$S$118*(1+'II. Inputs, Baseline Energy Mix'!$S$119)^('IV. LCOE, Baseline Energy Mix'!AJ$13-1))</f>
        <v>0</v>
      </c>
      <c r="AK252" s="1580">
        <f>IF('II. Inputs, Baseline Energy Mix'!$S$19=0,0,AK246*'II. Inputs, Baseline Energy Mix'!$S$118*(1+'II. Inputs, Baseline Energy Mix'!$S$119)^('IV. LCOE, Baseline Energy Mix'!AK$13-1))</f>
        <v>0</v>
      </c>
      <c r="AL252" s="1580">
        <f>IF('II. Inputs, Baseline Energy Mix'!$S$19=0,0,AL246*'II. Inputs, Baseline Energy Mix'!$S$118*(1+'II. Inputs, Baseline Energy Mix'!$S$119)^('IV. LCOE, Baseline Energy Mix'!AL$13-1))</f>
        <v>0</v>
      </c>
      <c r="AM252" s="1580">
        <f>IF('II. Inputs, Baseline Energy Mix'!$S$19=0,0,AM246*'II. Inputs, Baseline Energy Mix'!$S$118*(1+'II. Inputs, Baseline Energy Mix'!$S$119)^('IV. LCOE, Baseline Energy Mix'!AM$13-1))</f>
        <v>0</v>
      </c>
      <c r="AN252" s="1580">
        <f>IF('II. Inputs, Baseline Energy Mix'!$S$19=0,0,AN246*'II. Inputs, Baseline Energy Mix'!$S$118*(1+'II. Inputs, Baseline Energy Mix'!$S$119)^('IV. LCOE, Baseline Energy Mix'!AN$13-1))</f>
        <v>0</v>
      </c>
      <c r="AO252" s="1580">
        <f>IF('II. Inputs, Baseline Energy Mix'!$S$19=0,0,AO246*'II. Inputs, Baseline Energy Mix'!$S$118*(1+'II. Inputs, Baseline Energy Mix'!$S$119)^('IV. LCOE, Baseline Energy Mix'!AO$13-1))</f>
        <v>0</v>
      </c>
      <c r="AP252" s="1580">
        <f>IF('II. Inputs, Baseline Energy Mix'!$S$19=0,0,AP246*'II. Inputs, Baseline Energy Mix'!$S$118*(1+'II. Inputs, Baseline Energy Mix'!$S$119)^('IV. LCOE, Baseline Energy Mix'!AP$13-1))</f>
        <v>0</v>
      </c>
      <c r="AQ252" s="1580">
        <f>IF('II. Inputs, Baseline Energy Mix'!$S$19=0,0,AQ246*'II. Inputs, Baseline Energy Mix'!$S$118*(1+'II. Inputs, Baseline Energy Mix'!$S$119)^('IV. LCOE, Baseline Energy Mix'!AQ$13-1))</f>
        <v>0</v>
      </c>
      <c r="AR252" s="1580">
        <f>IF('II. Inputs, Baseline Energy Mix'!$S$19=0,0,AR246*'II. Inputs, Baseline Energy Mix'!$S$118*(1+'II. Inputs, Baseline Energy Mix'!$S$119)^('IV. LCOE, Baseline Energy Mix'!AR$13-1))</f>
        <v>0</v>
      </c>
      <c r="AS252" s="1580">
        <f>IF('II. Inputs, Baseline Energy Mix'!$S$19=0,0,AS246*'II. Inputs, Baseline Energy Mix'!$S$118*(1+'II. Inputs, Baseline Energy Mix'!$S$119)^('IV. LCOE, Baseline Energy Mix'!AS$13-1))</f>
        <v>0</v>
      </c>
      <c r="AT252" s="1580">
        <f>IF('II. Inputs, Baseline Energy Mix'!$S$19=0,0,AT246*'II. Inputs, Baseline Energy Mix'!$S$118*(1+'II. Inputs, Baseline Energy Mix'!$S$119)^('IV. LCOE, Baseline Energy Mix'!AT$13-1))</f>
        <v>0</v>
      </c>
      <c r="AU252" s="1580">
        <f>IF('II. Inputs, Baseline Energy Mix'!$S$19=0,0,AU246*'II. Inputs, Baseline Energy Mix'!$S$118*(1+'II. Inputs, Baseline Energy Mix'!$S$119)^('IV. LCOE, Baseline Energy Mix'!AU$13-1))</f>
        <v>0</v>
      </c>
      <c r="AV252" s="1580">
        <f>IF('II. Inputs, Baseline Energy Mix'!$S$19=0,0,AV246*'II. Inputs, Baseline Energy Mix'!$S$118*(1+'II. Inputs, Baseline Energy Mix'!$S$119)^('IV. LCOE, Baseline Energy Mix'!AV$13-1))</f>
        <v>0</v>
      </c>
      <c r="AW252" s="1580">
        <f>IF('II. Inputs, Baseline Energy Mix'!$S$19=0,0,AW246*'II. Inputs, Baseline Energy Mix'!$S$118*(1+'II. Inputs, Baseline Energy Mix'!$S$119)^('IV. LCOE, Baseline Energy Mix'!AW$13-1))</f>
        <v>0</v>
      </c>
      <c r="AX252" s="1580">
        <f>IF('II. Inputs, Baseline Energy Mix'!$S$19=0,0,AX246*'II. Inputs, Baseline Energy Mix'!$S$118*(1+'II. Inputs, Baseline Energy Mix'!$S$119)^('IV. LCOE, Baseline Energy Mix'!AX$13-1))</f>
        <v>0</v>
      </c>
      <c r="AY252" s="1580">
        <f>IF('II. Inputs, Baseline Energy Mix'!$S$19=0,0,AY246*'II. Inputs, Baseline Energy Mix'!$S$118*(1+'II. Inputs, Baseline Energy Mix'!$S$119)^('IV. LCOE, Baseline Energy Mix'!AY$13-1))</f>
        <v>0</v>
      </c>
      <c r="AZ252" s="1580">
        <f>IF('II. Inputs, Baseline Energy Mix'!$S$19=0,0,AZ246*'II. Inputs, Baseline Energy Mix'!$S$118*(1+'II. Inputs, Baseline Energy Mix'!$S$119)^('IV. LCOE, Baseline Energy Mix'!AZ$13-1))</f>
        <v>0</v>
      </c>
      <c r="BA252" s="1580">
        <f>IF('II. Inputs, Baseline Energy Mix'!$S$19=0,0,BA246*'II. Inputs, Baseline Energy Mix'!$S$118*(1+'II. Inputs, Baseline Energy Mix'!$S$119)^('IV. LCOE, Baseline Energy Mix'!BA$13-1))</f>
        <v>0</v>
      </c>
      <c r="BB252" s="1580">
        <f>IF('II. Inputs, Baseline Energy Mix'!$S$19=0,0,BB246*'II. Inputs, Baseline Energy Mix'!$S$118*(1+'II. Inputs, Baseline Energy Mix'!$S$119)^('IV. LCOE, Baseline Energy Mix'!BB$13-1))</f>
        <v>0</v>
      </c>
      <c r="BC252" s="1580">
        <f>IF('II. Inputs, Baseline Energy Mix'!$S$19=0,0,BC246*'II. Inputs, Baseline Energy Mix'!$S$118*(1+'II. Inputs, Baseline Energy Mix'!$S$119)^('IV. LCOE, Baseline Energy Mix'!BC$13-1))</f>
        <v>0</v>
      </c>
      <c r="BD252" s="1580">
        <f>IF('II. Inputs, Baseline Energy Mix'!$S$19=0,0,BD246*'II. Inputs, Baseline Energy Mix'!$S$118*(1+'II. Inputs, Baseline Energy Mix'!$S$119)^('IV. LCOE, Baseline Energy Mix'!BD$13-1))</f>
        <v>0</v>
      </c>
      <c r="BE252" s="1581">
        <f>IF('II. Inputs, Baseline Energy Mix'!$S$19=0,0,BE246*'II. Inputs, Baseline Energy Mix'!$S$118*(1+'II. Inputs, Baseline Energy Mix'!$S$119)^('IV. LCOE, Baseline Energy Mix'!BE$13-1))</f>
        <v>0</v>
      </c>
      <c r="BF252" s="695"/>
    </row>
    <row r="253" spans="1:58" x14ac:dyDescent="0.45">
      <c r="A253" s="695"/>
      <c r="B253" s="974"/>
      <c r="C253" s="975"/>
      <c r="D253" s="975"/>
      <c r="E253" s="978"/>
      <c r="F253" s="978"/>
      <c r="G253" s="985"/>
      <c r="H253" s="986"/>
      <c r="I253" s="986"/>
      <c r="J253" s="986"/>
      <c r="K253" s="986"/>
      <c r="L253" s="986"/>
      <c r="M253" s="986"/>
      <c r="N253" s="986"/>
      <c r="O253" s="986"/>
      <c r="P253" s="986"/>
      <c r="Q253" s="986"/>
      <c r="R253" s="986"/>
      <c r="S253" s="986"/>
      <c r="T253" s="986"/>
      <c r="U253" s="986"/>
      <c r="V253" s="986"/>
      <c r="W253" s="986"/>
      <c r="X253" s="986"/>
      <c r="Y253" s="986"/>
      <c r="Z253" s="986"/>
      <c r="AA253" s="986"/>
      <c r="AB253" s="986"/>
      <c r="AC253" s="986"/>
      <c r="AD253" s="986"/>
      <c r="AE253" s="986"/>
      <c r="AF253" s="986"/>
      <c r="AG253" s="986"/>
      <c r="AH253" s="986"/>
      <c r="AI253" s="986"/>
      <c r="AJ253" s="986"/>
      <c r="AK253" s="986"/>
      <c r="AL253" s="986"/>
      <c r="AM253" s="986"/>
      <c r="AN253" s="986"/>
      <c r="AO253" s="986"/>
      <c r="AP253" s="986"/>
      <c r="AQ253" s="986"/>
      <c r="AR253" s="986"/>
      <c r="AS253" s="986"/>
      <c r="AT253" s="986"/>
      <c r="AU253" s="986"/>
      <c r="AV253" s="986"/>
      <c r="AW253" s="986"/>
      <c r="AX253" s="986"/>
      <c r="AY253" s="986"/>
      <c r="AZ253" s="986"/>
      <c r="BA253" s="986"/>
      <c r="BB253" s="986"/>
      <c r="BC253" s="986"/>
      <c r="BD253" s="986"/>
      <c r="BE253" s="987"/>
      <c r="BF253" s="695"/>
    </row>
    <row r="254" spans="1:58" x14ac:dyDescent="0.45">
      <c r="A254" s="695"/>
      <c r="B254" s="974" t="s">
        <v>33</v>
      </c>
      <c r="C254" s="975"/>
      <c r="D254" s="975"/>
      <c r="E254" s="978"/>
      <c r="F254" s="978" t="s">
        <v>749</v>
      </c>
      <c r="G254" s="985"/>
      <c r="H254" s="1793">
        <f>IF('II. Inputs, Baseline Energy Mix'!$S$109="User-defined, annually adjusted",H255,IF('II. Inputs, Baseline Energy Mix'!$S$109="Manual Entry",H257,H256))</f>
        <v>0</v>
      </c>
      <c r="I254" s="1793">
        <f>IF('II. Inputs, Baseline Energy Mix'!$S$109="User-defined, annually adjusted",I255,IF('II. Inputs, Baseline Energy Mix'!$S$109="Manual Entry",I257,I256))</f>
        <v>0</v>
      </c>
      <c r="J254" s="1793">
        <f>IF('II. Inputs, Baseline Energy Mix'!$S$109="User-defined, annually adjusted",J255,IF('II. Inputs, Baseline Energy Mix'!$S$109="Manual Entry",J257,J256))</f>
        <v>0</v>
      </c>
      <c r="K254" s="1793">
        <f>IF('II. Inputs, Baseline Energy Mix'!$S$109="User-defined, annually adjusted",K255,IF('II. Inputs, Baseline Energy Mix'!$S$109="Manual Entry",K257,K256))</f>
        <v>0</v>
      </c>
      <c r="L254" s="1793">
        <f>IF('II. Inputs, Baseline Energy Mix'!$S$109="User-defined, annually adjusted",L255,IF('II. Inputs, Baseline Energy Mix'!$S$109="Manual Entry",L257,L256))</f>
        <v>0</v>
      </c>
      <c r="M254" s="1793">
        <f>IF('II. Inputs, Baseline Energy Mix'!$S$109="User-defined, annually adjusted",M255,IF('II. Inputs, Baseline Energy Mix'!$S$109="Manual Entry",M257,M256))</f>
        <v>0</v>
      </c>
      <c r="N254" s="1793">
        <f>IF('II. Inputs, Baseline Energy Mix'!$S$109="User-defined, annually adjusted",N255,IF('II. Inputs, Baseline Energy Mix'!$S$109="Manual Entry",N257,N256))</f>
        <v>0</v>
      </c>
      <c r="O254" s="1793">
        <f>IF('II. Inputs, Baseline Energy Mix'!$S$109="User-defined, annually adjusted",O255,IF('II. Inputs, Baseline Energy Mix'!$S$109="Manual Entry",O257,O256))</f>
        <v>0</v>
      </c>
      <c r="P254" s="1793">
        <f>IF('II. Inputs, Baseline Energy Mix'!$S$109="User-defined, annually adjusted",P255,IF('II. Inputs, Baseline Energy Mix'!$S$109="Manual Entry",P257,P256))</f>
        <v>0</v>
      </c>
      <c r="Q254" s="1793">
        <f>IF('II. Inputs, Baseline Energy Mix'!$S$109="User-defined, annually adjusted",Q255,IF('II. Inputs, Baseline Energy Mix'!$S$109="Manual Entry",Q257,Q256))</f>
        <v>0</v>
      </c>
      <c r="R254" s="1793">
        <f>IF('II. Inputs, Baseline Energy Mix'!$S$109="User-defined, annually adjusted",R255,IF('II. Inputs, Baseline Energy Mix'!$S$109="Manual Entry",R257,R256))</f>
        <v>0</v>
      </c>
      <c r="S254" s="1793">
        <f>IF('II. Inputs, Baseline Energy Mix'!$S$109="User-defined, annually adjusted",S255,IF('II. Inputs, Baseline Energy Mix'!$S$109="Manual Entry",S257,S256))</f>
        <v>0</v>
      </c>
      <c r="T254" s="1793">
        <f>IF('II. Inputs, Baseline Energy Mix'!$S$109="User-defined, annually adjusted",T255,IF('II. Inputs, Baseline Energy Mix'!$S$109="Manual Entry",T257,T256))</f>
        <v>0</v>
      </c>
      <c r="U254" s="1793">
        <f>IF('II. Inputs, Baseline Energy Mix'!$S$109="User-defined, annually adjusted",U255,IF('II. Inputs, Baseline Energy Mix'!$S$109="Manual Entry",U257,U256))</f>
        <v>0</v>
      </c>
      <c r="V254" s="1793">
        <f>IF('II. Inputs, Baseline Energy Mix'!$S$109="User-defined, annually adjusted",V255,IF('II. Inputs, Baseline Energy Mix'!$S$109="Manual Entry",V257,V256))</f>
        <v>0</v>
      </c>
      <c r="W254" s="1793">
        <f>IF('II. Inputs, Baseline Energy Mix'!$S$109="User-defined, annually adjusted",W255,IF('II. Inputs, Baseline Energy Mix'!$S$109="Manual Entry",W257,W256))</f>
        <v>0</v>
      </c>
      <c r="X254" s="1793">
        <f>IF('II. Inputs, Baseline Energy Mix'!$S$109="User-defined, annually adjusted",X255,IF('II. Inputs, Baseline Energy Mix'!$S$109="Manual Entry",X257,X256))</f>
        <v>0</v>
      </c>
      <c r="Y254" s="1793">
        <f>IF('II. Inputs, Baseline Energy Mix'!$S$109="User-defined, annually adjusted",Y255,IF('II. Inputs, Baseline Energy Mix'!$S$109="Manual Entry",Y257,Y256))</f>
        <v>0</v>
      </c>
      <c r="Z254" s="1793">
        <f>IF('II. Inputs, Baseline Energy Mix'!$S$109="User-defined, annually adjusted",Z255,IF('II. Inputs, Baseline Energy Mix'!$S$109="Manual Entry",Z257,Z256))</f>
        <v>0</v>
      </c>
      <c r="AA254" s="1793">
        <f>IF('II. Inputs, Baseline Energy Mix'!$S$109="User-defined, annually adjusted",AA255,IF('II. Inputs, Baseline Energy Mix'!$S$109="Manual Entry",AA257,AA256))</f>
        <v>0</v>
      </c>
      <c r="AB254" s="1793">
        <f>IF('II. Inputs, Baseline Energy Mix'!$S$109="User-defined, annually adjusted",AB255,IF('II. Inputs, Baseline Energy Mix'!$S$109="Manual Entry",AB257,AB256))</f>
        <v>0</v>
      </c>
      <c r="AC254" s="1793">
        <f>IF('II. Inputs, Baseline Energy Mix'!$S$109="User-defined, annually adjusted",AC255,IF('II. Inputs, Baseline Energy Mix'!$S$109="Manual Entry",AC257,AC256))</f>
        <v>0</v>
      </c>
      <c r="AD254" s="1793">
        <f>IF('II. Inputs, Baseline Energy Mix'!$S$109="User-defined, annually adjusted",AD255,IF('II. Inputs, Baseline Energy Mix'!$S$109="Manual Entry",AD257,AD256))</f>
        <v>0</v>
      </c>
      <c r="AE254" s="1793">
        <f>IF('II. Inputs, Baseline Energy Mix'!$S$109="User-defined, annually adjusted",AE255,IF('II. Inputs, Baseline Energy Mix'!$S$109="Manual Entry",AE257,AE256))</f>
        <v>0</v>
      </c>
      <c r="AF254" s="1793">
        <f>IF('II. Inputs, Baseline Energy Mix'!$S$109="User-defined, annually adjusted",AF255,IF('II. Inputs, Baseline Energy Mix'!$S$109="Manual Entry",AF257,AF256))</f>
        <v>0</v>
      </c>
      <c r="AG254" s="1793">
        <f>IF('II. Inputs, Baseline Energy Mix'!$S$109="User-defined, annually adjusted",AG255,IF('II. Inputs, Baseline Energy Mix'!$S$109="Manual Entry",AG257,AG256))</f>
        <v>0</v>
      </c>
      <c r="AH254" s="1793">
        <f>IF('II. Inputs, Baseline Energy Mix'!$S$109="User-defined, annually adjusted",AH255,IF('II. Inputs, Baseline Energy Mix'!$S$109="Manual Entry",AH257,AH256))</f>
        <v>0</v>
      </c>
      <c r="AI254" s="1793">
        <f>IF('II. Inputs, Baseline Energy Mix'!$S$109="User-defined, annually adjusted",AI255,IF('II. Inputs, Baseline Energy Mix'!$S$109="Manual Entry",AI257,AI256))</f>
        <v>0</v>
      </c>
      <c r="AJ254" s="1793">
        <f>IF('II. Inputs, Baseline Energy Mix'!$S$109="User-defined, annually adjusted",AJ255,IF('II. Inputs, Baseline Energy Mix'!$S$109="Manual Entry",AJ257,AJ256))</f>
        <v>0</v>
      </c>
      <c r="AK254" s="1793">
        <f>IF('II. Inputs, Baseline Energy Mix'!$S$109="User-defined, annually adjusted",AK255,IF('II. Inputs, Baseline Energy Mix'!$S$109="Manual Entry",AK257,AK256))</f>
        <v>0</v>
      </c>
      <c r="AL254" s="1793">
        <f>IF('II. Inputs, Baseline Energy Mix'!$S$109="User-defined, annually adjusted",AL255,IF('II. Inputs, Baseline Energy Mix'!$S$109="Manual Entry",AL257,AL256))</f>
        <v>0</v>
      </c>
      <c r="AM254" s="1793">
        <f>IF('II. Inputs, Baseline Energy Mix'!$S$109="User-defined, annually adjusted",AM255,IF('II. Inputs, Baseline Energy Mix'!$S$109="Manual Entry",AM257,AM256))</f>
        <v>0</v>
      </c>
      <c r="AN254" s="1793">
        <f>IF('II. Inputs, Baseline Energy Mix'!$S$109="User-defined, annually adjusted",AN255,IF('II. Inputs, Baseline Energy Mix'!$S$109="Manual Entry",AN257,AN256))</f>
        <v>0</v>
      </c>
      <c r="AO254" s="1793">
        <f>IF('II. Inputs, Baseline Energy Mix'!$S$109="User-defined, annually adjusted",AO255,IF('II. Inputs, Baseline Energy Mix'!$S$109="Manual Entry",AO257,AO256))</f>
        <v>0</v>
      </c>
      <c r="AP254" s="1793">
        <f>IF('II. Inputs, Baseline Energy Mix'!$S$109="User-defined, annually adjusted",AP255,IF('II. Inputs, Baseline Energy Mix'!$S$109="Manual Entry",AP257,AP256))</f>
        <v>0</v>
      </c>
      <c r="AQ254" s="1793">
        <f>IF('II. Inputs, Baseline Energy Mix'!$S$109="User-defined, annually adjusted",AQ255,IF('II. Inputs, Baseline Energy Mix'!$S$109="Manual Entry",AQ257,AQ256))</f>
        <v>0</v>
      </c>
      <c r="AR254" s="1793">
        <f>IF('II. Inputs, Baseline Energy Mix'!$S$109="User-defined, annually adjusted",AR255,IF('II. Inputs, Baseline Energy Mix'!$S$109="Manual Entry",AR257,AR256))</f>
        <v>0</v>
      </c>
      <c r="AS254" s="1793">
        <f>IF('II. Inputs, Baseline Energy Mix'!$S$109="User-defined, annually adjusted",AS255,IF('II. Inputs, Baseline Energy Mix'!$S$109="Manual Entry",AS257,AS256))</f>
        <v>0</v>
      </c>
      <c r="AT254" s="1793">
        <f>IF('II. Inputs, Baseline Energy Mix'!$S$109="User-defined, annually adjusted",AT255,IF('II. Inputs, Baseline Energy Mix'!$S$109="Manual Entry",AT257,AT256))</f>
        <v>0</v>
      </c>
      <c r="AU254" s="1793">
        <f>IF('II. Inputs, Baseline Energy Mix'!$S$109="User-defined, annually adjusted",AU255,IF('II. Inputs, Baseline Energy Mix'!$S$109="Manual Entry",AU257,AU256))</f>
        <v>0</v>
      </c>
      <c r="AV254" s="1793">
        <f>IF('II. Inputs, Baseline Energy Mix'!$S$109="User-defined, annually adjusted",AV255,IF('II. Inputs, Baseline Energy Mix'!$S$109="Manual Entry",AV257,AV256))</f>
        <v>0</v>
      </c>
      <c r="AW254" s="1793">
        <f>IF('II. Inputs, Baseline Energy Mix'!$S$109="User-defined, annually adjusted",AW255,IF('II. Inputs, Baseline Energy Mix'!$S$109="Manual Entry",AW257,AW256))</f>
        <v>0</v>
      </c>
      <c r="AX254" s="1793">
        <f>IF('II. Inputs, Baseline Energy Mix'!$S$109="User-defined, annually adjusted",AX255,IF('II. Inputs, Baseline Energy Mix'!$S$109="Manual Entry",AX257,AX256))</f>
        <v>0</v>
      </c>
      <c r="AY254" s="1793">
        <f>IF('II. Inputs, Baseline Energy Mix'!$S$109="User-defined, annually adjusted",AY255,IF('II. Inputs, Baseline Energy Mix'!$S$109="Manual Entry",AY257,AY256))</f>
        <v>0</v>
      </c>
      <c r="AZ254" s="1793">
        <f>IF('II. Inputs, Baseline Energy Mix'!$S$109="User-defined, annually adjusted",AZ255,IF('II. Inputs, Baseline Energy Mix'!$S$109="Manual Entry",AZ257,AZ256))</f>
        <v>0</v>
      </c>
      <c r="BA254" s="1793">
        <f>IF('II. Inputs, Baseline Energy Mix'!$S$109="User-defined, annually adjusted",BA255,IF('II. Inputs, Baseline Energy Mix'!$S$109="Manual Entry",BA257,BA256))</f>
        <v>0</v>
      </c>
      <c r="BB254" s="1793">
        <f>IF('II. Inputs, Baseline Energy Mix'!$S$109="User-defined, annually adjusted",BB255,IF('II. Inputs, Baseline Energy Mix'!$S$109="Manual Entry",BB257,BB256))</f>
        <v>0</v>
      </c>
      <c r="BC254" s="1793">
        <f>IF('II. Inputs, Baseline Energy Mix'!$S$109="User-defined, annually adjusted",BC255,IF('II. Inputs, Baseline Energy Mix'!$S$109="Manual Entry",BC257,BC256))</f>
        <v>0</v>
      </c>
      <c r="BD254" s="1793">
        <f>IF('II. Inputs, Baseline Energy Mix'!$S$109="User-defined, annually adjusted",BD255,IF('II. Inputs, Baseline Energy Mix'!$S$109="Manual Entry",BD257,BD256))</f>
        <v>0</v>
      </c>
      <c r="BE254" s="1794">
        <f>IF('II. Inputs, Baseline Energy Mix'!$S$109="User-defined, annually adjusted",BE255,IF('II. Inputs, Baseline Energy Mix'!$S$109="Manual Entry",BE257,BE256))</f>
        <v>0</v>
      </c>
      <c r="BF254" s="695"/>
    </row>
    <row r="255" spans="1:58" outlineLevel="1" x14ac:dyDescent="0.45">
      <c r="A255" s="695"/>
      <c r="B255" s="974"/>
      <c r="C255" s="975" t="s">
        <v>620</v>
      </c>
      <c r="D255" s="975"/>
      <c r="E255" s="978"/>
      <c r="F255" s="978"/>
      <c r="G255" s="985"/>
      <c r="H255" s="1793">
        <f xml:space="preserve"> H$246*VLOOKUP(H$13,'II. Inputs, Baseline Energy Mix'!$F$133:$Y$182,8, FALSE)</f>
        <v>0</v>
      </c>
      <c r="I255" s="1793">
        <f xml:space="preserve"> I$246*VLOOKUP(I$13,'II. Inputs, Baseline Energy Mix'!$F$133:$Y$182,8, FALSE)</f>
        <v>0</v>
      </c>
      <c r="J255" s="1793">
        <f xml:space="preserve"> J$246*VLOOKUP(J$13,'II. Inputs, Baseline Energy Mix'!$F$133:$Y$182,8, FALSE)</f>
        <v>0</v>
      </c>
      <c r="K255" s="1793">
        <f xml:space="preserve"> K$246*VLOOKUP(K$13,'II. Inputs, Baseline Energy Mix'!$F$133:$Y$182,8, FALSE)</f>
        <v>0</v>
      </c>
      <c r="L255" s="1793">
        <f xml:space="preserve"> L$246*VLOOKUP(L$13,'II. Inputs, Baseline Energy Mix'!$F$133:$Y$182,8, FALSE)</f>
        <v>0</v>
      </c>
      <c r="M255" s="1793">
        <f xml:space="preserve"> M$246*VLOOKUP(M$13,'II. Inputs, Baseline Energy Mix'!$F$133:$Y$182,8, FALSE)</f>
        <v>0</v>
      </c>
      <c r="N255" s="1793">
        <f xml:space="preserve"> N$246*VLOOKUP(N$13,'II. Inputs, Baseline Energy Mix'!$F$133:$Y$182,8, FALSE)</f>
        <v>0</v>
      </c>
      <c r="O255" s="1793">
        <f xml:space="preserve"> O$246*VLOOKUP(O$13,'II. Inputs, Baseline Energy Mix'!$F$133:$Y$182,8, FALSE)</f>
        <v>0</v>
      </c>
      <c r="P255" s="1793">
        <f xml:space="preserve"> P$246*VLOOKUP(P$13,'II. Inputs, Baseline Energy Mix'!$F$133:$Y$182,8, FALSE)</f>
        <v>0</v>
      </c>
      <c r="Q255" s="1793">
        <f xml:space="preserve"> Q$246*VLOOKUP(Q$13,'II. Inputs, Baseline Energy Mix'!$F$133:$Y$182,8, FALSE)</f>
        <v>0</v>
      </c>
      <c r="R255" s="1793">
        <f xml:space="preserve"> R$246*VLOOKUP(R$13,'II. Inputs, Baseline Energy Mix'!$F$133:$Y$182,8, FALSE)</f>
        <v>0</v>
      </c>
      <c r="S255" s="1793">
        <f xml:space="preserve"> S$246*VLOOKUP(S$13,'II. Inputs, Baseline Energy Mix'!$F$133:$Y$182,8, FALSE)</f>
        <v>0</v>
      </c>
      <c r="T255" s="1793">
        <f xml:space="preserve"> T$246*VLOOKUP(T$13,'II. Inputs, Baseline Energy Mix'!$F$133:$Y$182,8, FALSE)</f>
        <v>0</v>
      </c>
      <c r="U255" s="1793">
        <f xml:space="preserve"> U$246*VLOOKUP(U$13,'II. Inputs, Baseline Energy Mix'!$F$133:$Y$182,8, FALSE)</f>
        <v>0</v>
      </c>
      <c r="V255" s="1793">
        <f xml:space="preserve"> V$246*VLOOKUP(V$13,'II. Inputs, Baseline Energy Mix'!$F$133:$Y$182,8, FALSE)</f>
        <v>0</v>
      </c>
      <c r="W255" s="1793">
        <f xml:space="preserve"> W$246*VLOOKUP(W$13,'II. Inputs, Baseline Energy Mix'!$F$133:$Y$182,8, FALSE)</f>
        <v>0</v>
      </c>
      <c r="X255" s="1793">
        <f xml:space="preserve"> X$246*VLOOKUP(X$13,'II. Inputs, Baseline Energy Mix'!$F$133:$Y$182,8, FALSE)</f>
        <v>0</v>
      </c>
      <c r="Y255" s="1793">
        <f xml:space="preserve"> Y$246*VLOOKUP(Y$13,'II. Inputs, Baseline Energy Mix'!$F$133:$Y$182,8, FALSE)</f>
        <v>0</v>
      </c>
      <c r="Z255" s="1793">
        <f xml:space="preserve"> Z$246*VLOOKUP(Z$13,'II. Inputs, Baseline Energy Mix'!$F$133:$Y$182,8, FALSE)</f>
        <v>0</v>
      </c>
      <c r="AA255" s="1793">
        <f xml:space="preserve"> AA$246*VLOOKUP(AA$13,'II. Inputs, Baseline Energy Mix'!$F$133:$Y$182,8, FALSE)</f>
        <v>0</v>
      </c>
      <c r="AB255" s="1793">
        <f xml:space="preserve"> AB$246*VLOOKUP(AB$13,'II. Inputs, Baseline Energy Mix'!$F$133:$Y$182,8, FALSE)</f>
        <v>0</v>
      </c>
      <c r="AC255" s="1793">
        <f xml:space="preserve"> AC$246*VLOOKUP(AC$13,'II. Inputs, Baseline Energy Mix'!$F$133:$Y$182,8, FALSE)</f>
        <v>0</v>
      </c>
      <c r="AD255" s="1793">
        <f xml:space="preserve"> AD$246*VLOOKUP(AD$13,'II. Inputs, Baseline Energy Mix'!$F$133:$Y$182,8, FALSE)</f>
        <v>0</v>
      </c>
      <c r="AE255" s="1793">
        <f xml:space="preserve"> AE$246*VLOOKUP(AE$13,'II. Inputs, Baseline Energy Mix'!$F$133:$Y$182,8, FALSE)</f>
        <v>0</v>
      </c>
      <c r="AF255" s="1793">
        <f xml:space="preserve"> AF$246*VLOOKUP(AF$13,'II. Inputs, Baseline Energy Mix'!$F$133:$Y$182,8, FALSE)</f>
        <v>0</v>
      </c>
      <c r="AG255" s="1793">
        <f xml:space="preserve"> AG$246*VLOOKUP(AG$13,'II. Inputs, Baseline Energy Mix'!$F$133:$Y$182,8, FALSE)</f>
        <v>0</v>
      </c>
      <c r="AH255" s="1793">
        <f xml:space="preserve"> AH$246*VLOOKUP(AH$13,'II. Inputs, Baseline Energy Mix'!$F$133:$Y$182,8, FALSE)</f>
        <v>0</v>
      </c>
      <c r="AI255" s="1793">
        <f xml:space="preserve"> AI$246*VLOOKUP(AI$13,'II. Inputs, Baseline Energy Mix'!$F$133:$Y$182,8, FALSE)</f>
        <v>0</v>
      </c>
      <c r="AJ255" s="1793">
        <f xml:space="preserve"> AJ$246*VLOOKUP(AJ$13,'II. Inputs, Baseline Energy Mix'!$F$133:$Y$182,8, FALSE)</f>
        <v>0</v>
      </c>
      <c r="AK255" s="1793">
        <f xml:space="preserve"> AK$246*VLOOKUP(AK$13,'II. Inputs, Baseline Energy Mix'!$F$133:$Y$182,8, FALSE)</f>
        <v>0</v>
      </c>
      <c r="AL255" s="1793">
        <f xml:space="preserve"> AL$246*VLOOKUP(AL$13,'II. Inputs, Baseline Energy Mix'!$F$133:$Y$182,8, FALSE)</f>
        <v>0</v>
      </c>
      <c r="AM255" s="1793">
        <f xml:space="preserve"> AM$246*VLOOKUP(AM$13,'II. Inputs, Baseline Energy Mix'!$F$133:$Y$182,8, FALSE)</f>
        <v>0</v>
      </c>
      <c r="AN255" s="1793">
        <f xml:space="preserve"> AN$246*VLOOKUP(AN$13,'II. Inputs, Baseline Energy Mix'!$F$133:$Y$182,8, FALSE)</f>
        <v>0</v>
      </c>
      <c r="AO255" s="1793">
        <f xml:space="preserve"> AO$246*VLOOKUP(AO$13,'II. Inputs, Baseline Energy Mix'!$F$133:$Y$182,8, FALSE)</f>
        <v>0</v>
      </c>
      <c r="AP255" s="1793">
        <f xml:space="preserve"> AP$246*VLOOKUP(AP$13,'II. Inputs, Baseline Energy Mix'!$F$133:$Y$182,8, FALSE)</f>
        <v>0</v>
      </c>
      <c r="AQ255" s="1793">
        <f xml:space="preserve"> AQ$246*VLOOKUP(AQ$13,'II. Inputs, Baseline Energy Mix'!$F$133:$Y$182,8, FALSE)</f>
        <v>0</v>
      </c>
      <c r="AR255" s="1793">
        <f xml:space="preserve"> AR$246*VLOOKUP(AR$13,'II. Inputs, Baseline Energy Mix'!$F$133:$Y$182,8, FALSE)</f>
        <v>0</v>
      </c>
      <c r="AS255" s="1793">
        <f xml:space="preserve"> AS$246*VLOOKUP(AS$13,'II. Inputs, Baseline Energy Mix'!$F$133:$Y$182,8, FALSE)</f>
        <v>0</v>
      </c>
      <c r="AT255" s="1793">
        <f xml:space="preserve"> AT$246*VLOOKUP(AT$13,'II. Inputs, Baseline Energy Mix'!$F$133:$Y$182,8, FALSE)</f>
        <v>0</v>
      </c>
      <c r="AU255" s="1793">
        <f xml:space="preserve"> AU$246*VLOOKUP(AU$13,'II. Inputs, Baseline Energy Mix'!$F$133:$Y$182,8, FALSE)</f>
        <v>0</v>
      </c>
      <c r="AV255" s="1793">
        <f xml:space="preserve"> AV$246*VLOOKUP(AV$13,'II. Inputs, Baseline Energy Mix'!$F$133:$Y$182,8, FALSE)</f>
        <v>0</v>
      </c>
      <c r="AW255" s="1793">
        <f xml:space="preserve"> AW$246*VLOOKUP(AW$13,'II. Inputs, Baseline Energy Mix'!$F$133:$Y$182,8, FALSE)</f>
        <v>0</v>
      </c>
      <c r="AX255" s="1793">
        <f xml:space="preserve"> AX$246*VLOOKUP(AX$13,'II. Inputs, Baseline Energy Mix'!$F$133:$Y$182,8, FALSE)</f>
        <v>0</v>
      </c>
      <c r="AY255" s="1793">
        <f xml:space="preserve"> AY$246*VLOOKUP(AY$13,'II. Inputs, Baseline Energy Mix'!$F$133:$Y$182,8, FALSE)</f>
        <v>0</v>
      </c>
      <c r="AZ255" s="1793">
        <f xml:space="preserve"> AZ$246*VLOOKUP(AZ$13,'II. Inputs, Baseline Energy Mix'!$F$133:$Y$182,8, FALSE)</f>
        <v>0</v>
      </c>
      <c r="BA255" s="1793">
        <f xml:space="preserve"> BA$246*VLOOKUP(BA$13,'II. Inputs, Baseline Energy Mix'!$F$133:$Y$182,8, FALSE)</f>
        <v>0</v>
      </c>
      <c r="BB255" s="1793">
        <f xml:space="preserve"> BB$246*VLOOKUP(BB$13,'II. Inputs, Baseline Energy Mix'!$F$133:$Y$182,8, FALSE)</f>
        <v>0</v>
      </c>
      <c r="BC255" s="1793">
        <f xml:space="preserve"> BC$246*VLOOKUP(BC$13,'II. Inputs, Baseline Energy Mix'!$F$133:$Y$182,8, FALSE)</f>
        <v>0</v>
      </c>
      <c r="BD255" s="1793">
        <f xml:space="preserve"> BD$246*VLOOKUP(BD$13,'II. Inputs, Baseline Energy Mix'!$F$133:$Y$182,8, FALSE)</f>
        <v>0</v>
      </c>
      <c r="BE255" s="1794">
        <f xml:space="preserve"> BE$246*VLOOKUP(BE$13,'II. Inputs, Baseline Energy Mix'!$F$133:$Y$182,8, FALSE)</f>
        <v>0</v>
      </c>
      <c r="BF255" s="695"/>
    </row>
    <row r="256" spans="1:58" outlineLevel="1" x14ac:dyDescent="0.45">
      <c r="A256" s="695"/>
      <c r="B256" s="974"/>
      <c r="C256" s="975" t="s">
        <v>621</v>
      </c>
      <c r="D256" s="975"/>
      <c r="E256" s="978"/>
      <c r="F256" s="978"/>
      <c r="G256" s="985"/>
      <c r="H256" s="1793">
        <f xml:space="preserve"> H$246*VLOOKUP(H$13,'II. Inputs, Baseline Energy Mix'!$F$133:$Y$182,14, FALSE)</f>
        <v>0</v>
      </c>
      <c r="I256" s="1793">
        <f xml:space="preserve"> I$246*VLOOKUP(I$13,'II. Inputs, Baseline Energy Mix'!$F$133:$Y$182,14, FALSE)</f>
        <v>0</v>
      </c>
      <c r="J256" s="1793">
        <f xml:space="preserve"> J$246*VLOOKUP(J$13,'II. Inputs, Baseline Energy Mix'!$F$133:$Y$182,14, FALSE)</f>
        <v>0</v>
      </c>
      <c r="K256" s="1793">
        <f xml:space="preserve"> K$246*VLOOKUP(K$13,'II. Inputs, Baseline Energy Mix'!$F$133:$Y$182,14, FALSE)</f>
        <v>0</v>
      </c>
      <c r="L256" s="1793">
        <f xml:space="preserve"> L$246*VLOOKUP(L$13,'II. Inputs, Baseline Energy Mix'!$F$133:$Y$182,14, FALSE)</f>
        <v>0</v>
      </c>
      <c r="M256" s="1793">
        <f xml:space="preserve"> M$246*VLOOKUP(M$13,'II. Inputs, Baseline Energy Mix'!$F$133:$Y$182,14, FALSE)</f>
        <v>0</v>
      </c>
      <c r="N256" s="1793">
        <f xml:space="preserve"> N$246*VLOOKUP(N$13,'II. Inputs, Baseline Energy Mix'!$F$133:$Y$182,14, FALSE)</f>
        <v>0</v>
      </c>
      <c r="O256" s="1793">
        <f xml:space="preserve"> O$246*VLOOKUP(O$13,'II. Inputs, Baseline Energy Mix'!$F$133:$Y$182,14, FALSE)</f>
        <v>0</v>
      </c>
      <c r="P256" s="1793">
        <f xml:space="preserve"> P$246*VLOOKUP(P$13,'II. Inputs, Baseline Energy Mix'!$F$133:$Y$182,14, FALSE)</f>
        <v>0</v>
      </c>
      <c r="Q256" s="1793">
        <f xml:space="preserve"> Q$246*VLOOKUP(Q$13,'II. Inputs, Baseline Energy Mix'!$F$133:$Y$182,14, FALSE)</f>
        <v>0</v>
      </c>
      <c r="R256" s="1793">
        <f xml:space="preserve"> R$246*VLOOKUP(R$13,'II. Inputs, Baseline Energy Mix'!$F$133:$Y$182,14, FALSE)</f>
        <v>0</v>
      </c>
      <c r="S256" s="1793">
        <f xml:space="preserve"> S$246*VLOOKUP(S$13,'II. Inputs, Baseline Energy Mix'!$F$133:$Y$182,14, FALSE)</f>
        <v>0</v>
      </c>
      <c r="T256" s="1793">
        <f xml:space="preserve"> T$246*VLOOKUP(T$13,'II. Inputs, Baseline Energy Mix'!$F$133:$Y$182,14, FALSE)</f>
        <v>0</v>
      </c>
      <c r="U256" s="1793">
        <f xml:space="preserve"> U$246*VLOOKUP(U$13,'II. Inputs, Baseline Energy Mix'!$F$133:$Y$182,14, FALSE)</f>
        <v>0</v>
      </c>
      <c r="V256" s="1793">
        <f xml:space="preserve"> V$246*VLOOKUP(V$13,'II. Inputs, Baseline Energy Mix'!$F$133:$Y$182,14, FALSE)</f>
        <v>0</v>
      </c>
      <c r="W256" s="1793">
        <f xml:space="preserve"> W$246*VLOOKUP(W$13,'II. Inputs, Baseline Energy Mix'!$F$133:$Y$182,14, FALSE)</f>
        <v>0</v>
      </c>
      <c r="X256" s="1793">
        <f xml:space="preserve"> X$246*VLOOKUP(X$13,'II. Inputs, Baseline Energy Mix'!$F$133:$Y$182,14, FALSE)</f>
        <v>0</v>
      </c>
      <c r="Y256" s="1793">
        <f xml:space="preserve"> Y$246*VLOOKUP(Y$13,'II. Inputs, Baseline Energy Mix'!$F$133:$Y$182,14, FALSE)</f>
        <v>0</v>
      </c>
      <c r="Z256" s="1793">
        <f xml:space="preserve"> Z$246*VLOOKUP(Z$13,'II. Inputs, Baseline Energy Mix'!$F$133:$Y$182,14, FALSE)</f>
        <v>0</v>
      </c>
      <c r="AA256" s="1793">
        <f xml:space="preserve"> AA$246*VLOOKUP(AA$13,'II. Inputs, Baseline Energy Mix'!$F$133:$Y$182,14, FALSE)</f>
        <v>0</v>
      </c>
      <c r="AB256" s="1793">
        <f xml:space="preserve"> AB$246*VLOOKUP(AB$13,'II. Inputs, Baseline Energy Mix'!$F$133:$Y$182,14, FALSE)</f>
        <v>0</v>
      </c>
      <c r="AC256" s="1793">
        <f xml:space="preserve"> AC$246*VLOOKUP(AC$13,'II. Inputs, Baseline Energy Mix'!$F$133:$Y$182,14, FALSE)</f>
        <v>0</v>
      </c>
      <c r="AD256" s="1793">
        <f xml:space="preserve"> AD$246*VLOOKUP(AD$13,'II. Inputs, Baseline Energy Mix'!$F$133:$Y$182,14, FALSE)</f>
        <v>0</v>
      </c>
      <c r="AE256" s="1793">
        <f xml:space="preserve"> AE$246*VLOOKUP(AE$13,'II. Inputs, Baseline Energy Mix'!$F$133:$Y$182,14, FALSE)</f>
        <v>0</v>
      </c>
      <c r="AF256" s="1793">
        <f xml:space="preserve"> AF$246*VLOOKUP(AF$13,'II. Inputs, Baseline Energy Mix'!$F$133:$Y$182,14, FALSE)</f>
        <v>0</v>
      </c>
      <c r="AG256" s="1793">
        <f xml:space="preserve"> AG$246*VLOOKUP(AG$13,'II. Inputs, Baseline Energy Mix'!$F$133:$Y$182,14, FALSE)</f>
        <v>0</v>
      </c>
      <c r="AH256" s="1793">
        <f xml:space="preserve"> AH$246*VLOOKUP(AH$13,'II. Inputs, Baseline Energy Mix'!$F$133:$Y$182,14, FALSE)</f>
        <v>0</v>
      </c>
      <c r="AI256" s="1793">
        <f xml:space="preserve"> AI$246*VLOOKUP(AI$13,'II. Inputs, Baseline Energy Mix'!$F$133:$Y$182,14, FALSE)</f>
        <v>0</v>
      </c>
      <c r="AJ256" s="1793">
        <f xml:space="preserve"> AJ$246*VLOOKUP(AJ$13,'II. Inputs, Baseline Energy Mix'!$F$133:$Y$182,14, FALSE)</f>
        <v>0</v>
      </c>
      <c r="AK256" s="1793">
        <f xml:space="preserve"> AK$246*VLOOKUP(AK$13,'II. Inputs, Baseline Energy Mix'!$F$133:$Y$182,14, FALSE)</f>
        <v>0</v>
      </c>
      <c r="AL256" s="1793">
        <f xml:space="preserve"> AL$246*VLOOKUP(AL$13,'II. Inputs, Baseline Energy Mix'!$F$133:$Y$182,14, FALSE)</f>
        <v>0</v>
      </c>
      <c r="AM256" s="1793">
        <f xml:space="preserve"> AM$246*VLOOKUP(AM$13,'II. Inputs, Baseline Energy Mix'!$F$133:$Y$182,14, FALSE)</f>
        <v>0</v>
      </c>
      <c r="AN256" s="1793">
        <f xml:space="preserve"> AN$246*VLOOKUP(AN$13,'II. Inputs, Baseline Energy Mix'!$F$133:$Y$182,14, FALSE)</f>
        <v>0</v>
      </c>
      <c r="AO256" s="1793">
        <f xml:space="preserve"> AO$246*VLOOKUP(AO$13,'II. Inputs, Baseline Energy Mix'!$F$133:$Y$182,14, FALSE)</f>
        <v>0</v>
      </c>
      <c r="AP256" s="1793">
        <f xml:space="preserve"> AP$246*VLOOKUP(AP$13,'II. Inputs, Baseline Energy Mix'!$F$133:$Y$182,14, FALSE)</f>
        <v>0</v>
      </c>
      <c r="AQ256" s="1793">
        <f xml:space="preserve"> AQ$246*VLOOKUP(AQ$13,'II. Inputs, Baseline Energy Mix'!$F$133:$Y$182,14, FALSE)</f>
        <v>0</v>
      </c>
      <c r="AR256" s="1793">
        <f xml:space="preserve"> AR$246*VLOOKUP(AR$13,'II. Inputs, Baseline Energy Mix'!$F$133:$Y$182,14, FALSE)</f>
        <v>0</v>
      </c>
      <c r="AS256" s="1793">
        <f xml:space="preserve"> AS$246*VLOOKUP(AS$13,'II. Inputs, Baseline Energy Mix'!$F$133:$Y$182,14, FALSE)</f>
        <v>0</v>
      </c>
      <c r="AT256" s="1793">
        <f xml:space="preserve"> AT$246*VLOOKUP(AT$13,'II. Inputs, Baseline Energy Mix'!$F$133:$Y$182,14, FALSE)</f>
        <v>0</v>
      </c>
      <c r="AU256" s="1793">
        <f xml:space="preserve"> AU$246*VLOOKUP(AU$13,'II. Inputs, Baseline Energy Mix'!$F$133:$Y$182,14, FALSE)</f>
        <v>0</v>
      </c>
      <c r="AV256" s="1793">
        <f xml:space="preserve"> AV$246*VLOOKUP(AV$13,'II. Inputs, Baseline Energy Mix'!$F$133:$Y$182,14, FALSE)</f>
        <v>0</v>
      </c>
      <c r="AW256" s="1793">
        <f xml:space="preserve"> AW$246*VLOOKUP(AW$13,'II. Inputs, Baseline Energy Mix'!$F$133:$Y$182,14, FALSE)</f>
        <v>0</v>
      </c>
      <c r="AX256" s="1793">
        <f xml:space="preserve"> AX$246*VLOOKUP(AX$13,'II. Inputs, Baseline Energy Mix'!$F$133:$Y$182,14, FALSE)</f>
        <v>0</v>
      </c>
      <c r="AY256" s="1793">
        <f xml:space="preserve"> AY$246*VLOOKUP(AY$13,'II. Inputs, Baseline Energy Mix'!$F$133:$Y$182,14, FALSE)</f>
        <v>0</v>
      </c>
      <c r="AZ256" s="1793">
        <f xml:space="preserve"> AZ$246*VLOOKUP(AZ$13,'II. Inputs, Baseline Energy Mix'!$F$133:$Y$182,14, FALSE)</f>
        <v>0</v>
      </c>
      <c r="BA256" s="1793">
        <f xml:space="preserve"> BA$246*VLOOKUP(BA$13,'II. Inputs, Baseline Energy Mix'!$F$133:$Y$182,14, FALSE)</f>
        <v>0</v>
      </c>
      <c r="BB256" s="1793">
        <f xml:space="preserve"> BB$246*VLOOKUP(BB$13,'II. Inputs, Baseline Energy Mix'!$F$133:$Y$182,14, FALSE)</f>
        <v>0</v>
      </c>
      <c r="BC256" s="1793">
        <f xml:space="preserve"> BC$246*VLOOKUP(BC$13,'II. Inputs, Baseline Energy Mix'!$F$133:$Y$182,14, FALSE)</f>
        <v>0</v>
      </c>
      <c r="BD256" s="1793">
        <f xml:space="preserve"> BD$246*VLOOKUP(BD$13,'II. Inputs, Baseline Energy Mix'!$F$133:$Y$182,14, FALSE)</f>
        <v>0</v>
      </c>
      <c r="BE256" s="1794">
        <f xml:space="preserve"> BE$246*VLOOKUP(BE$13,'II. Inputs, Baseline Energy Mix'!$F$133:$Y$182,14, FALSE)</f>
        <v>0</v>
      </c>
      <c r="BF256" s="695"/>
    </row>
    <row r="257" spans="1:58" outlineLevel="1" x14ac:dyDescent="0.45">
      <c r="A257" s="695"/>
      <c r="B257" s="974"/>
      <c r="C257" s="975" t="s">
        <v>622</v>
      </c>
      <c r="D257" s="975"/>
      <c r="E257" s="978"/>
      <c r="F257" s="978"/>
      <c r="G257" s="985"/>
      <c r="H257" s="1793">
        <f xml:space="preserve"> H$246*VLOOKUP(H$13,'II. Inputs, Baseline Energy Mix'!$F$133:$Y$182,20, FALSE)</f>
        <v>0</v>
      </c>
      <c r="I257" s="1793">
        <f xml:space="preserve"> I$246*VLOOKUP(I$13,'II. Inputs, Baseline Energy Mix'!$F$133:$Y$182,20, FALSE)</f>
        <v>0</v>
      </c>
      <c r="J257" s="1793">
        <f xml:space="preserve"> J$246*VLOOKUP(J$13,'II. Inputs, Baseline Energy Mix'!$F$133:$Y$182,20, FALSE)</f>
        <v>0</v>
      </c>
      <c r="K257" s="1793">
        <f xml:space="preserve"> K$246*VLOOKUP(K$13,'II. Inputs, Baseline Energy Mix'!$F$133:$Y$182,20, FALSE)</f>
        <v>0</v>
      </c>
      <c r="L257" s="1793">
        <f xml:space="preserve"> L$246*VLOOKUP(L$13,'II. Inputs, Baseline Energy Mix'!$F$133:$Y$182,20, FALSE)</f>
        <v>0</v>
      </c>
      <c r="M257" s="1793">
        <f xml:space="preserve"> M$246*VLOOKUP(M$13,'II. Inputs, Baseline Energy Mix'!$F$133:$Y$182,20, FALSE)</f>
        <v>0</v>
      </c>
      <c r="N257" s="1793">
        <f xml:space="preserve"> N$246*VLOOKUP(N$13,'II. Inputs, Baseline Energy Mix'!$F$133:$Y$182,20, FALSE)</f>
        <v>0</v>
      </c>
      <c r="O257" s="1793">
        <f xml:space="preserve"> O$246*VLOOKUP(O$13,'II. Inputs, Baseline Energy Mix'!$F$133:$Y$182,20, FALSE)</f>
        <v>0</v>
      </c>
      <c r="P257" s="1793">
        <f xml:space="preserve"> P$246*VLOOKUP(P$13,'II. Inputs, Baseline Energy Mix'!$F$133:$Y$182,20, FALSE)</f>
        <v>0</v>
      </c>
      <c r="Q257" s="1793">
        <f xml:space="preserve"> Q$246*VLOOKUP(Q$13,'II. Inputs, Baseline Energy Mix'!$F$133:$Y$182,20, FALSE)</f>
        <v>0</v>
      </c>
      <c r="R257" s="1793">
        <f xml:space="preserve"> R$246*VLOOKUP(R$13,'II. Inputs, Baseline Energy Mix'!$F$133:$Y$182,20, FALSE)</f>
        <v>0</v>
      </c>
      <c r="S257" s="1793">
        <f xml:space="preserve"> S$246*VLOOKUP(S$13,'II. Inputs, Baseline Energy Mix'!$F$133:$Y$182,20, FALSE)</f>
        <v>0</v>
      </c>
      <c r="T257" s="1793">
        <f xml:space="preserve"> T$246*VLOOKUP(T$13,'II. Inputs, Baseline Energy Mix'!$F$133:$Y$182,20, FALSE)</f>
        <v>0</v>
      </c>
      <c r="U257" s="1793">
        <f xml:space="preserve"> U$246*VLOOKUP(U$13,'II. Inputs, Baseline Energy Mix'!$F$133:$Y$182,20, FALSE)</f>
        <v>0</v>
      </c>
      <c r="V257" s="1793">
        <f xml:space="preserve"> V$246*VLOOKUP(V$13,'II. Inputs, Baseline Energy Mix'!$F$133:$Y$182,20, FALSE)</f>
        <v>0</v>
      </c>
      <c r="W257" s="1793">
        <f xml:space="preserve"> W$246*VLOOKUP(W$13,'II. Inputs, Baseline Energy Mix'!$F$133:$Y$182,20, FALSE)</f>
        <v>0</v>
      </c>
      <c r="X257" s="1793">
        <f xml:space="preserve"> X$246*VLOOKUP(X$13,'II. Inputs, Baseline Energy Mix'!$F$133:$Y$182,20, FALSE)</f>
        <v>0</v>
      </c>
      <c r="Y257" s="1793">
        <f xml:space="preserve"> Y$246*VLOOKUP(Y$13,'II. Inputs, Baseline Energy Mix'!$F$133:$Y$182,20, FALSE)</f>
        <v>0</v>
      </c>
      <c r="Z257" s="1793">
        <f xml:space="preserve"> Z$246*VLOOKUP(Z$13,'II. Inputs, Baseline Energy Mix'!$F$133:$Y$182,20, FALSE)</f>
        <v>0</v>
      </c>
      <c r="AA257" s="1793">
        <f xml:space="preserve"> AA$246*VLOOKUP(AA$13,'II. Inputs, Baseline Energy Mix'!$F$133:$Y$182,20, FALSE)</f>
        <v>0</v>
      </c>
      <c r="AB257" s="1793">
        <f xml:space="preserve"> AB$246*VLOOKUP(AB$13,'II. Inputs, Baseline Energy Mix'!$F$133:$Y$182,20, FALSE)</f>
        <v>0</v>
      </c>
      <c r="AC257" s="1793">
        <f xml:space="preserve"> AC$246*VLOOKUP(AC$13,'II. Inputs, Baseline Energy Mix'!$F$133:$Y$182,20, FALSE)</f>
        <v>0</v>
      </c>
      <c r="AD257" s="1793">
        <f xml:space="preserve"> AD$246*VLOOKUP(AD$13,'II. Inputs, Baseline Energy Mix'!$F$133:$Y$182,20, FALSE)</f>
        <v>0</v>
      </c>
      <c r="AE257" s="1793">
        <f xml:space="preserve"> AE$246*VLOOKUP(AE$13,'II. Inputs, Baseline Energy Mix'!$F$133:$Y$182,20, FALSE)</f>
        <v>0</v>
      </c>
      <c r="AF257" s="1793">
        <f xml:space="preserve"> AF$246*VLOOKUP(AF$13,'II. Inputs, Baseline Energy Mix'!$F$133:$Y$182,20, FALSE)</f>
        <v>0</v>
      </c>
      <c r="AG257" s="1793">
        <f xml:space="preserve"> AG$246*VLOOKUP(AG$13,'II. Inputs, Baseline Energy Mix'!$F$133:$Y$182,20, FALSE)</f>
        <v>0</v>
      </c>
      <c r="AH257" s="1793">
        <f xml:space="preserve"> AH$246*VLOOKUP(AH$13,'II. Inputs, Baseline Energy Mix'!$F$133:$Y$182,20, FALSE)</f>
        <v>0</v>
      </c>
      <c r="AI257" s="1793">
        <f xml:space="preserve"> AI$246*VLOOKUP(AI$13,'II. Inputs, Baseline Energy Mix'!$F$133:$Y$182,20, FALSE)</f>
        <v>0</v>
      </c>
      <c r="AJ257" s="1793">
        <f xml:space="preserve"> AJ$246*VLOOKUP(AJ$13,'II. Inputs, Baseline Energy Mix'!$F$133:$Y$182,20, FALSE)</f>
        <v>0</v>
      </c>
      <c r="AK257" s="1793">
        <f xml:space="preserve"> AK$246*VLOOKUP(AK$13,'II. Inputs, Baseline Energy Mix'!$F$133:$Y$182,20, FALSE)</f>
        <v>0</v>
      </c>
      <c r="AL257" s="1793">
        <f xml:space="preserve"> AL$246*VLOOKUP(AL$13,'II. Inputs, Baseline Energy Mix'!$F$133:$Y$182,20, FALSE)</f>
        <v>0</v>
      </c>
      <c r="AM257" s="1793">
        <f xml:space="preserve"> AM$246*VLOOKUP(AM$13,'II. Inputs, Baseline Energy Mix'!$F$133:$Y$182,20, FALSE)</f>
        <v>0</v>
      </c>
      <c r="AN257" s="1793">
        <f xml:space="preserve"> AN$246*VLOOKUP(AN$13,'II. Inputs, Baseline Energy Mix'!$F$133:$Y$182,20, FALSE)</f>
        <v>0</v>
      </c>
      <c r="AO257" s="1793">
        <f xml:space="preserve"> AO$246*VLOOKUP(AO$13,'II. Inputs, Baseline Energy Mix'!$F$133:$Y$182,20, FALSE)</f>
        <v>0</v>
      </c>
      <c r="AP257" s="1793">
        <f xml:space="preserve"> AP$246*VLOOKUP(AP$13,'II. Inputs, Baseline Energy Mix'!$F$133:$Y$182,20, FALSE)</f>
        <v>0</v>
      </c>
      <c r="AQ257" s="1793">
        <f xml:space="preserve"> AQ$246*VLOOKUP(AQ$13,'II. Inputs, Baseline Energy Mix'!$F$133:$Y$182,20, FALSE)</f>
        <v>0</v>
      </c>
      <c r="AR257" s="1793">
        <f xml:space="preserve"> AR$246*VLOOKUP(AR$13,'II. Inputs, Baseline Energy Mix'!$F$133:$Y$182,20, FALSE)</f>
        <v>0</v>
      </c>
      <c r="AS257" s="1793">
        <f xml:space="preserve"> AS$246*VLOOKUP(AS$13,'II. Inputs, Baseline Energy Mix'!$F$133:$Y$182,20, FALSE)</f>
        <v>0</v>
      </c>
      <c r="AT257" s="1793">
        <f xml:space="preserve"> AT$246*VLOOKUP(AT$13,'II. Inputs, Baseline Energy Mix'!$F$133:$Y$182,20, FALSE)</f>
        <v>0</v>
      </c>
      <c r="AU257" s="1793">
        <f xml:space="preserve"> AU$246*VLOOKUP(AU$13,'II. Inputs, Baseline Energy Mix'!$F$133:$Y$182,20, FALSE)</f>
        <v>0</v>
      </c>
      <c r="AV257" s="1793">
        <f xml:space="preserve"> AV$246*VLOOKUP(AV$13,'II. Inputs, Baseline Energy Mix'!$F$133:$Y$182,20, FALSE)</f>
        <v>0</v>
      </c>
      <c r="AW257" s="1793">
        <f xml:space="preserve"> AW$246*VLOOKUP(AW$13,'II. Inputs, Baseline Energy Mix'!$F$133:$Y$182,20, FALSE)</f>
        <v>0</v>
      </c>
      <c r="AX257" s="1793">
        <f xml:space="preserve"> AX$246*VLOOKUP(AX$13,'II. Inputs, Baseline Energy Mix'!$F$133:$Y$182,20, FALSE)</f>
        <v>0</v>
      </c>
      <c r="AY257" s="1793">
        <f xml:space="preserve"> AY$246*VLOOKUP(AY$13,'II. Inputs, Baseline Energy Mix'!$F$133:$Y$182,20, FALSE)</f>
        <v>0</v>
      </c>
      <c r="AZ257" s="1793">
        <f xml:space="preserve"> AZ$246*VLOOKUP(AZ$13,'II. Inputs, Baseline Energy Mix'!$F$133:$Y$182,20, FALSE)</f>
        <v>0</v>
      </c>
      <c r="BA257" s="1793">
        <f xml:space="preserve"> BA$246*VLOOKUP(BA$13,'II. Inputs, Baseline Energy Mix'!$F$133:$Y$182,20, FALSE)</f>
        <v>0</v>
      </c>
      <c r="BB257" s="1793">
        <f xml:space="preserve"> BB$246*VLOOKUP(BB$13,'II. Inputs, Baseline Energy Mix'!$F$133:$Y$182,20, FALSE)</f>
        <v>0</v>
      </c>
      <c r="BC257" s="1793">
        <f xml:space="preserve"> BC$246*VLOOKUP(BC$13,'II. Inputs, Baseline Energy Mix'!$F$133:$Y$182,20, FALSE)</f>
        <v>0</v>
      </c>
      <c r="BD257" s="1793">
        <f xml:space="preserve"> BD$246*VLOOKUP(BD$13,'II. Inputs, Baseline Energy Mix'!$F$133:$Y$182,20, FALSE)</f>
        <v>0</v>
      </c>
      <c r="BE257" s="1794">
        <f xml:space="preserve"> BE$246*VLOOKUP(BE$13,'II. Inputs, Baseline Energy Mix'!$F$133:$Y$182,20, FALSE)</f>
        <v>0</v>
      </c>
      <c r="BF257" s="695"/>
    </row>
    <row r="258" spans="1:58" outlineLevel="1" x14ac:dyDescent="0.45">
      <c r="A258" s="695"/>
      <c r="B258" s="974"/>
      <c r="C258" s="975"/>
      <c r="D258" s="975"/>
      <c r="E258" s="978"/>
      <c r="F258" s="978"/>
      <c r="G258" s="985"/>
      <c r="H258" s="986"/>
      <c r="I258" s="986"/>
      <c r="J258" s="986"/>
      <c r="K258" s="986"/>
      <c r="L258" s="986"/>
      <c r="M258" s="986"/>
      <c r="N258" s="986"/>
      <c r="O258" s="986"/>
      <c r="P258" s="986"/>
      <c r="Q258" s="986"/>
      <c r="R258" s="986"/>
      <c r="S258" s="986"/>
      <c r="T258" s="986"/>
      <c r="U258" s="986"/>
      <c r="V258" s="986"/>
      <c r="W258" s="986"/>
      <c r="X258" s="986"/>
      <c r="Y258" s="986"/>
      <c r="Z258" s="986"/>
      <c r="AA258" s="986"/>
      <c r="AB258" s="986"/>
      <c r="AC258" s="986"/>
      <c r="AD258" s="986"/>
      <c r="AE258" s="986"/>
      <c r="AF258" s="986"/>
      <c r="AG258" s="986"/>
      <c r="AH258" s="986"/>
      <c r="AI258" s="986"/>
      <c r="AJ258" s="986"/>
      <c r="AK258" s="986"/>
      <c r="AL258" s="986"/>
      <c r="AM258" s="986"/>
      <c r="AN258" s="986"/>
      <c r="AO258" s="986"/>
      <c r="AP258" s="986"/>
      <c r="AQ258" s="986"/>
      <c r="AR258" s="986"/>
      <c r="AS258" s="986"/>
      <c r="AT258" s="986"/>
      <c r="AU258" s="986"/>
      <c r="AV258" s="986"/>
      <c r="AW258" s="986"/>
      <c r="AX258" s="986"/>
      <c r="AY258" s="986"/>
      <c r="AZ258" s="986"/>
      <c r="BA258" s="986"/>
      <c r="BB258" s="986"/>
      <c r="BC258" s="986"/>
      <c r="BD258" s="986"/>
      <c r="BE258" s="987"/>
      <c r="BF258" s="695"/>
    </row>
    <row r="259" spans="1:58" x14ac:dyDescent="0.45">
      <c r="A259" s="695"/>
      <c r="B259" s="974" t="s">
        <v>124</v>
      </c>
      <c r="C259" s="975"/>
      <c r="D259" s="975"/>
      <c r="E259" s="978"/>
      <c r="F259" s="978" t="s">
        <v>748</v>
      </c>
      <c r="G259" s="1582"/>
      <c r="H259" s="1580">
        <f>H254*H248*H246/'II. Inputs, Baseline Energy Mix'!$S$104</f>
        <v>0</v>
      </c>
      <c r="I259" s="1580">
        <f>I254*I248*I246/'II. Inputs, Baseline Energy Mix'!$S$104</f>
        <v>0</v>
      </c>
      <c r="J259" s="1580">
        <f>J254*J248*J246/'II. Inputs, Baseline Energy Mix'!$S$104</f>
        <v>0</v>
      </c>
      <c r="K259" s="1580">
        <f>K254*K248*K246/'II. Inputs, Baseline Energy Mix'!$S$104</f>
        <v>0</v>
      </c>
      <c r="L259" s="1580">
        <f>L254*L248*L246/'II. Inputs, Baseline Energy Mix'!$S$104</f>
        <v>0</v>
      </c>
      <c r="M259" s="1580">
        <f>M254*M248*M246/'II. Inputs, Baseline Energy Mix'!$S$104</f>
        <v>0</v>
      </c>
      <c r="N259" s="1580">
        <f>N254*N248*N246/'II. Inputs, Baseline Energy Mix'!$S$104</f>
        <v>0</v>
      </c>
      <c r="O259" s="1580">
        <f>O254*O248*O246/'II. Inputs, Baseline Energy Mix'!$S$104</f>
        <v>0</v>
      </c>
      <c r="P259" s="1580">
        <f>P254*P248*P246/'II. Inputs, Baseline Energy Mix'!$S$104</f>
        <v>0</v>
      </c>
      <c r="Q259" s="1580">
        <f>Q254*Q248*Q246/'II. Inputs, Baseline Energy Mix'!$S$104</f>
        <v>0</v>
      </c>
      <c r="R259" s="1580">
        <f>R254*R248*R246/'II. Inputs, Baseline Energy Mix'!$S$104</f>
        <v>0</v>
      </c>
      <c r="S259" s="1580">
        <f>S254*S248*S246/'II. Inputs, Baseline Energy Mix'!$S$104</f>
        <v>0</v>
      </c>
      <c r="T259" s="1580">
        <f>T254*T248*T246/'II. Inputs, Baseline Energy Mix'!$S$104</f>
        <v>0</v>
      </c>
      <c r="U259" s="1580">
        <f>U254*U248*U246/'II. Inputs, Baseline Energy Mix'!$S$104</f>
        <v>0</v>
      </c>
      <c r="V259" s="1580">
        <f>V254*V248*V246/'II. Inputs, Baseline Energy Mix'!$S$104</f>
        <v>0</v>
      </c>
      <c r="W259" s="1580">
        <f>W254*W248*W246/'II. Inputs, Baseline Energy Mix'!$S$104</f>
        <v>0</v>
      </c>
      <c r="X259" s="1580">
        <f>X254*X248*X246/'II. Inputs, Baseline Energy Mix'!$S$104</f>
        <v>0</v>
      </c>
      <c r="Y259" s="1580">
        <f>Y254*Y248*Y246/'II. Inputs, Baseline Energy Mix'!$S$104</f>
        <v>0</v>
      </c>
      <c r="Z259" s="1580">
        <f>Z254*Z248*Z246/'II. Inputs, Baseline Energy Mix'!$S$104</f>
        <v>0</v>
      </c>
      <c r="AA259" s="1580">
        <f>AA254*AA248*AA246/'II. Inputs, Baseline Energy Mix'!$S$104</f>
        <v>0</v>
      </c>
      <c r="AB259" s="1580">
        <f>AB254*AB248*AB246/'II. Inputs, Baseline Energy Mix'!$S$104</f>
        <v>0</v>
      </c>
      <c r="AC259" s="1580">
        <f>AC254*AC248*AC246/'II. Inputs, Baseline Energy Mix'!$S$104</f>
        <v>0</v>
      </c>
      <c r="AD259" s="1580">
        <f>AD254*AD248*AD246/'II. Inputs, Baseline Energy Mix'!$S$104</f>
        <v>0</v>
      </c>
      <c r="AE259" s="1580">
        <f>AE254*AE248*AE246/'II. Inputs, Baseline Energy Mix'!$S$104</f>
        <v>0</v>
      </c>
      <c r="AF259" s="1580">
        <f>AF254*AF248*AF246/'II. Inputs, Baseline Energy Mix'!$S$104</f>
        <v>0</v>
      </c>
      <c r="AG259" s="1580">
        <f>AG254*AG248*AG246/'II. Inputs, Baseline Energy Mix'!$S$104</f>
        <v>0</v>
      </c>
      <c r="AH259" s="1580">
        <f>AH254*AH248*AH246/'II. Inputs, Baseline Energy Mix'!$S$104</f>
        <v>0</v>
      </c>
      <c r="AI259" s="1580">
        <f>AI254*AI248*AI246/'II. Inputs, Baseline Energy Mix'!$S$104</f>
        <v>0</v>
      </c>
      <c r="AJ259" s="1580">
        <f>AJ254*AJ248*AJ246/'II. Inputs, Baseline Energy Mix'!$S$104</f>
        <v>0</v>
      </c>
      <c r="AK259" s="1580">
        <f>AK254*AK248*AK246/'II. Inputs, Baseline Energy Mix'!$S$104</f>
        <v>0</v>
      </c>
      <c r="AL259" s="1580">
        <f>AL254*AL248*AL246/'II. Inputs, Baseline Energy Mix'!$S$104</f>
        <v>0</v>
      </c>
      <c r="AM259" s="1580">
        <f>AM254*AM248*AM246/'II. Inputs, Baseline Energy Mix'!$S$104</f>
        <v>0</v>
      </c>
      <c r="AN259" s="1580">
        <f>AN254*AN248*AN246/'II. Inputs, Baseline Energy Mix'!$S$104</f>
        <v>0</v>
      </c>
      <c r="AO259" s="1580">
        <f>AO254*AO248*AO246/'II. Inputs, Baseline Energy Mix'!$S$104</f>
        <v>0</v>
      </c>
      <c r="AP259" s="1580">
        <f>AP254*AP248*AP246/'II. Inputs, Baseline Energy Mix'!$S$104</f>
        <v>0</v>
      </c>
      <c r="AQ259" s="1580">
        <f>AQ254*AQ248*AQ246/'II. Inputs, Baseline Energy Mix'!$S$104</f>
        <v>0</v>
      </c>
      <c r="AR259" s="1580">
        <f>AR254*AR248*AR246/'II. Inputs, Baseline Energy Mix'!$S$104</f>
        <v>0</v>
      </c>
      <c r="AS259" s="1580">
        <f>AS254*AS248*AS246/'II. Inputs, Baseline Energy Mix'!$S$104</f>
        <v>0</v>
      </c>
      <c r="AT259" s="1580">
        <f>AT254*AT248*AT246/'II. Inputs, Baseline Energy Mix'!$S$104</f>
        <v>0</v>
      </c>
      <c r="AU259" s="1580">
        <f>AU254*AU248*AU246/'II. Inputs, Baseline Energy Mix'!$S$104</f>
        <v>0</v>
      </c>
      <c r="AV259" s="1580">
        <f>AV254*AV248*AV246/'II. Inputs, Baseline Energy Mix'!$S$104</f>
        <v>0</v>
      </c>
      <c r="AW259" s="1580">
        <f>AW254*AW248*AW246/'II. Inputs, Baseline Energy Mix'!$S$104</f>
        <v>0</v>
      </c>
      <c r="AX259" s="1580">
        <f>AX254*AX248*AX246/'II. Inputs, Baseline Energy Mix'!$S$104</f>
        <v>0</v>
      </c>
      <c r="AY259" s="1580">
        <f>AY254*AY248*AY246/'II. Inputs, Baseline Energy Mix'!$S$104</f>
        <v>0</v>
      </c>
      <c r="AZ259" s="1580">
        <f>AZ254*AZ248*AZ246/'II. Inputs, Baseline Energy Mix'!$S$104</f>
        <v>0</v>
      </c>
      <c r="BA259" s="1580">
        <f>BA254*BA248*BA246/'II. Inputs, Baseline Energy Mix'!$S$104</f>
        <v>0</v>
      </c>
      <c r="BB259" s="1580">
        <f>BB254*BB248*BB246/'II. Inputs, Baseline Energy Mix'!$S$104</f>
        <v>0</v>
      </c>
      <c r="BC259" s="1580">
        <f>BC254*BC248*BC246/'II. Inputs, Baseline Energy Mix'!$S$104</f>
        <v>0</v>
      </c>
      <c r="BD259" s="1580">
        <f>BD254*BD248*BD246/'II. Inputs, Baseline Energy Mix'!$S$104</f>
        <v>0</v>
      </c>
      <c r="BE259" s="1581">
        <f>BE254*BE248*BE246/'II. Inputs, Baseline Energy Mix'!$S$104</f>
        <v>0</v>
      </c>
      <c r="BF259" s="695"/>
    </row>
    <row r="260" spans="1:58" x14ac:dyDescent="0.45">
      <c r="A260" s="695"/>
      <c r="B260" s="974"/>
      <c r="C260" s="975"/>
      <c r="D260" s="975"/>
      <c r="E260" s="978"/>
      <c r="F260" s="978"/>
      <c r="G260" s="1582"/>
      <c r="H260" s="1580"/>
      <c r="I260" s="1582"/>
      <c r="J260" s="1582"/>
      <c r="K260" s="1582"/>
      <c r="L260" s="1582"/>
      <c r="M260" s="1582"/>
      <c r="N260" s="1582"/>
      <c r="O260" s="1582"/>
      <c r="P260" s="1582"/>
      <c r="Q260" s="1582"/>
      <c r="R260" s="1582"/>
      <c r="S260" s="1582"/>
      <c r="T260" s="1582"/>
      <c r="U260" s="1582"/>
      <c r="V260" s="1582"/>
      <c r="W260" s="1582"/>
      <c r="X260" s="1582"/>
      <c r="Y260" s="1582"/>
      <c r="Z260" s="1582"/>
      <c r="AA260" s="1582"/>
      <c r="AB260" s="1582"/>
      <c r="AC260" s="1582"/>
      <c r="AD260" s="1582"/>
      <c r="AE260" s="1582"/>
      <c r="AF260" s="1582"/>
      <c r="AG260" s="1582"/>
      <c r="AH260" s="1582"/>
      <c r="AI260" s="1582"/>
      <c r="AJ260" s="1582"/>
      <c r="AK260" s="1582"/>
      <c r="AL260" s="1582"/>
      <c r="AM260" s="1582"/>
      <c r="AN260" s="1582"/>
      <c r="AO260" s="1582"/>
      <c r="AP260" s="1582"/>
      <c r="AQ260" s="1582"/>
      <c r="AR260" s="1582"/>
      <c r="AS260" s="1582"/>
      <c r="AT260" s="1582"/>
      <c r="AU260" s="1582"/>
      <c r="AV260" s="1582"/>
      <c r="AW260" s="1582"/>
      <c r="AX260" s="1582"/>
      <c r="AY260" s="1582"/>
      <c r="AZ260" s="1582"/>
      <c r="BA260" s="1582"/>
      <c r="BB260" s="1582"/>
      <c r="BC260" s="1582"/>
      <c r="BD260" s="1582"/>
      <c r="BE260" s="1583"/>
      <c r="BF260" s="695"/>
    </row>
    <row r="261" spans="1:58" x14ac:dyDescent="0.45">
      <c r="A261" s="695"/>
      <c r="B261" s="974" t="s">
        <v>89</v>
      </c>
      <c r="C261" s="975"/>
      <c r="D261" s="975"/>
      <c r="E261" s="978"/>
      <c r="F261" s="978" t="s">
        <v>748</v>
      </c>
      <c r="G261" s="1582"/>
      <c r="H261" s="1582">
        <f>H839</f>
        <v>0</v>
      </c>
      <c r="I261" s="1582">
        <f t="shared" ref="I261:BE261" si="91">I839</f>
        <v>0</v>
      </c>
      <c r="J261" s="1582">
        <f t="shared" si="91"/>
        <v>0</v>
      </c>
      <c r="K261" s="1582">
        <f t="shared" si="91"/>
        <v>0</v>
      </c>
      <c r="L261" s="1582">
        <f t="shared" si="91"/>
        <v>0</v>
      </c>
      <c r="M261" s="1582">
        <f t="shared" si="91"/>
        <v>0</v>
      </c>
      <c r="N261" s="1582">
        <f t="shared" si="91"/>
        <v>0</v>
      </c>
      <c r="O261" s="1582">
        <f t="shared" si="91"/>
        <v>0</v>
      </c>
      <c r="P261" s="1582">
        <f t="shared" si="91"/>
        <v>0</v>
      </c>
      <c r="Q261" s="1582">
        <f t="shared" si="91"/>
        <v>0</v>
      </c>
      <c r="R261" s="1582">
        <f t="shared" si="91"/>
        <v>0</v>
      </c>
      <c r="S261" s="1582">
        <f t="shared" si="91"/>
        <v>0</v>
      </c>
      <c r="T261" s="1582">
        <f t="shared" si="91"/>
        <v>0</v>
      </c>
      <c r="U261" s="1582">
        <f t="shared" si="91"/>
        <v>0</v>
      </c>
      <c r="V261" s="1582">
        <f t="shared" si="91"/>
        <v>0</v>
      </c>
      <c r="W261" s="1582">
        <f t="shared" si="91"/>
        <v>0</v>
      </c>
      <c r="X261" s="1582">
        <f t="shared" si="91"/>
        <v>0</v>
      </c>
      <c r="Y261" s="1582">
        <f t="shared" si="91"/>
        <v>0</v>
      </c>
      <c r="Z261" s="1582">
        <f t="shared" si="91"/>
        <v>0</v>
      </c>
      <c r="AA261" s="1582">
        <f t="shared" si="91"/>
        <v>0</v>
      </c>
      <c r="AB261" s="1582">
        <f t="shared" si="91"/>
        <v>0</v>
      </c>
      <c r="AC261" s="1582">
        <f t="shared" si="91"/>
        <v>0</v>
      </c>
      <c r="AD261" s="1582">
        <f t="shared" si="91"/>
        <v>0</v>
      </c>
      <c r="AE261" s="1582">
        <f t="shared" si="91"/>
        <v>0</v>
      </c>
      <c r="AF261" s="1582">
        <f t="shared" si="91"/>
        <v>0</v>
      </c>
      <c r="AG261" s="1582">
        <f t="shared" si="91"/>
        <v>0</v>
      </c>
      <c r="AH261" s="1582">
        <f t="shared" si="91"/>
        <v>0</v>
      </c>
      <c r="AI261" s="1582">
        <f t="shared" si="91"/>
        <v>0</v>
      </c>
      <c r="AJ261" s="1582">
        <f t="shared" si="91"/>
        <v>0</v>
      </c>
      <c r="AK261" s="1582">
        <f t="shared" si="91"/>
        <v>0</v>
      </c>
      <c r="AL261" s="1582">
        <f t="shared" si="91"/>
        <v>0</v>
      </c>
      <c r="AM261" s="1582">
        <f t="shared" si="91"/>
        <v>0</v>
      </c>
      <c r="AN261" s="1582">
        <f t="shared" si="91"/>
        <v>0</v>
      </c>
      <c r="AO261" s="1582">
        <f t="shared" si="91"/>
        <v>0</v>
      </c>
      <c r="AP261" s="1582">
        <f t="shared" si="91"/>
        <v>0</v>
      </c>
      <c r="AQ261" s="1582">
        <f t="shared" si="91"/>
        <v>0</v>
      </c>
      <c r="AR261" s="1582">
        <f t="shared" si="91"/>
        <v>0</v>
      </c>
      <c r="AS261" s="1582">
        <f t="shared" si="91"/>
        <v>0</v>
      </c>
      <c r="AT261" s="1582">
        <f t="shared" si="91"/>
        <v>0</v>
      </c>
      <c r="AU261" s="1582">
        <f t="shared" si="91"/>
        <v>0</v>
      </c>
      <c r="AV261" s="1582">
        <f t="shared" si="91"/>
        <v>0</v>
      </c>
      <c r="AW261" s="1582">
        <f t="shared" si="91"/>
        <v>0</v>
      </c>
      <c r="AX261" s="1582">
        <f t="shared" si="91"/>
        <v>0</v>
      </c>
      <c r="AY261" s="1582">
        <f t="shared" si="91"/>
        <v>0</v>
      </c>
      <c r="AZ261" s="1582">
        <f t="shared" si="91"/>
        <v>0</v>
      </c>
      <c r="BA261" s="1582">
        <f t="shared" si="91"/>
        <v>0</v>
      </c>
      <c r="BB261" s="1582">
        <f t="shared" si="91"/>
        <v>0</v>
      </c>
      <c r="BC261" s="1582">
        <f t="shared" si="91"/>
        <v>0</v>
      </c>
      <c r="BD261" s="1582">
        <f t="shared" si="91"/>
        <v>0</v>
      </c>
      <c r="BE261" s="1583">
        <f t="shared" si="91"/>
        <v>0</v>
      </c>
      <c r="BF261" s="695"/>
    </row>
    <row r="262" spans="1:58" x14ac:dyDescent="0.45">
      <c r="A262" s="695"/>
      <c r="B262" s="974"/>
      <c r="C262" s="975"/>
      <c r="D262" s="975"/>
      <c r="E262" s="978"/>
      <c r="F262" s="978"/>
      <c r="G262" s="1582"/>
      <c r="H262" s="1582"/>
      <c r="I262" s="1582"/>
      <c r="J262" s="1582"/>
      <c r="K262" s="1582"/>
      <c r="L262" s="1582"/>
      <c r="M262" s="1582"/>
      <c r="N262" s="1582"/>
      <c r="O262" s="1582"/>
      <c r="P262" s="1582"/>
      <c r="Q262" s="1582"/>
      <c r="R262" s="1582"/>
      <c r="S262" s="1582"/>
      <c r="T262" s="1582"/>
      <c r="U262" s="1582"/>
      <c r="V262" s="1582"/>
      <c r="W262" s="1582"/>
      <c r="X262" s="1582"/>
      <c r="Y262" s="1582"/>
      <c r="Z262" s="1582"/>
      <c r="AA262" s="1582"/>
      <c r="AB262" s="1582"/>
      <c r="AC262" s="1582"/>
      <c r="AD262" s="1582"/>
      <c r="AE262" s="1582"/>
      <c r="AF262" s="1582"/>
      <c r="AG262" s="1582"/>
      <c r="AH262" s="1582"/>
      <c r="AI262" s="1582"/>
      <c r="AJ262" s="1582"/>
      <c r="AK262" s="1582"/>
      <c r="AL262" s="1582"/>
      <c r="AM262" s="1582"/>
      <c r="AN262" s="1582"/>
      <c r="AO262" s="1582"/>
      <c r="AP262" s="1582"/>
      <c r="AQ262" s="1582"/>
      <c r="AR262" s="1582"/>
      <c r="AS262" s="1582"/>
      <c r="AT262" s="1582"/>
      <c r="AU262" s="1582"/>
      <c r="AV262" s="1582"/>
      <c r="AW262" s="1582"/>
      <c r="AX262" s="1582"/>
      <c r="AY262" s="1582"/>
      <c r="AZ262" s="1582"/>
      <c r="BA262" s="1582"/>
      <c r="BB262" s="1582"/>
      <c r="BC262" s="1582"/>
      <c r="BD262" s="1582"/>
      <c r="BE262" s="1583"/>
      <c r="BF262" s="695"/>
    </row>
    <row r="263" spans="1:58" x14ac:dyDescent="0.45">
      <c r="A263" s="695"/>
      <c r="B263" s="974" t="s">
        <v>219</v>
      </c>
      <c r="C263" s="975"/>
      <c r="D263" s="975"/>
      <c r="E263" s="978"/>
      <c r="F263" s="978" t="s">
        <v>748</v>
      </c>
      <c r="G263" s="1582"/>
      <c r="H263" s="1582">
        <f>H687</f>
        <v>0</v>
      </c>
      <c r="I263" s="1582">
        <f t="shared" ref="I263:BE263" si="92">I687</f>
        <v>0</v>
      </c>
      <c r="J263" s="1582">
        <f t="shared" si="92"/>
        <v>0</v>
      </c>
      <c r="K263" s="1582">
        <f t="shared" si="92"/>
        <v>0</v>
      </c>
      <c r="L263" s="1582">
        <f t="shared" si="92"/>
        <v>0</v>
      </c>
      <c r="M263" s="1582">
        <f t="shared" si="92"/>
        <v>0</v>
      </c>
      <c r="N263" s="1582">
        <f t="shared" si="92"/>
        <v>0</v>
      </c>
      <c r="O263" s="1582">
        <f t="shared" si="92"/>
        <v>0</v>
      </c>
      <c r="P263" s="1582">
        <f t="shared" si="92"/>
        <v>0</v>
      </c>
      <c r="Q263" s="1582">
        <f t="shared" si="92"/>
        <v>0</v>
      </c>
      <c r="R263" s="1582">
        <f t="shared" si="92"/>
        <v>0</v>
      </c>
      <c r="S263" s="1582">
        <f t="shared" si="92"/>
        <v>0</v>
      </c>
      <c r="T263" s="1582">
        <f t="shared" si="92"/>
        <v>0</v>
      </c>
      <c r="U263" s="1582">
        <f t="shared" si="92"/>
        <v>0</v>
      </c>
      <c r="V263" s="1582">
        <f t="shared" si="92"/>
        <v>0</v>
      </c>
      <c r="W263" s="1582">
        <f t="shared" si="92"/>
        <v>0</v>
      </c>
      <c r="X263" s="1582">
        <f t="shared" si="92"/>
        <v>0</v>
      </c>
      <c r="Y263" s="1582">
        <f t="shared" si="92"/>
        <v>0</v>
      </c>
      <c r="Z263" s="1582">
        <f t="shared" si="92"/>
        <v>0</v>
      </c>
      <c r="AA263" s="1582">
        <f t="shared" si="92"/>
        <v>0</v>
      </c>
      <c r="AB263" s="1582">
        <f t="shared" si="92"/>
        <v>0</v>
      </c>
      <c r="AC263" s="1582">
        <f t="shared" si="92"/>
        <v>0</v>
      </c>
      <c r="AD263" s="1582">
        <f t="shared" si="92"/>
        <v>0</v>
      </c>
      <c r="AE263" s="1582">
        <f t="shared" si="92"/>
        <v>0</v>
      </c>
      <c r="AF263" s="1582">
        <f t="shared" si="92"/>
        <v>0</v>
      </c>
      <c r="AG263" s="1582">
        <f t="shared" si="92"/>
        <v>0</v>
      </c>
      <c r="AH263" s="1582">
        <f t="shared" si="92"/>
        <v>0</v>
      </c>
      <c r="AI263" s="1582">
        <f t="shared" si="92"/>
        <v>0</v>
      </c>
      <c r="AJ263" s="1582">
        <f t="shared" si="92"/>
        <v>0</v>
      </c>
      <c r="AK263" s="1582">
        <f t="shared" si="92"/>
        <v>0</v>
      </c>
      <c r="AL263" s="1582">
        <f t="shared" si="92"/>
        <v>0</v>
      </c>
      <c r="AM263" s="1582">
        <f t="shared" si="92"/>
        <v>0</v>
      </c>
      <c r="AN263" s="1582">
        <f t="shared" si="92"/>
        <v>0</v>
      </c>
      <c r="AO263" s="1582">
        <f t="shared" si="92"/>
        <v>0</v>
      </c>
      <c r="AP263" s="1582">
        <f t="shared" si="92"/>
        <v>0</v>
      </c>
      <c r="AQ263" s="1582">
        <f t="shared" si="92"/>
        <v>0</v>
      </c>
      <c r="AR263" s="1582">
        <f t="shared" si="92"/>
        <v>0</v>
      </c>
      <c r="AS263" s="1582">
        <f t="shared" si="92"/>
        <v>0</v>
      </c>
      <c r="AT263" s="1582">
        <f t="shared" si="92"/>
        <v>0</v>
      </c>
      <c r="AU263" s="1582">
        <f t="shared" si="92"/>
        <v>0</v>
      </c>
      <c r="AV263" s="1582">
        <f t="shared" si="92"/>
        <v>0</v>
      </c>
      <c r="AW263" s="1582">
        <f t="shared" si="92"/>
        <v>0</v>
      </c>
      <c r="AX263" s="1582">
        <f t="shared" si="92"/>
        <v>0</v>
      </c>
      <c r="AY263" s="1582">
        <f t="shared" si="92"/>
        <v>0</v>
      </c>
      <c r="AZ263" s="1582">
        <f t="shared" si="92"/>
        <v>0</v>
      </c>
      <c r="BA263" s="1582">
        <f t="shared" si="92"/>
        <v>0</v>
      </c>
      <c r="BB263" s="1582">
        <f t="shared" si="92"/>
        <v>0</v>
      </c>
      <c r="BC263" s="1582">
        <f t="shared" si="92"/>
        <v>0</v>
      </c>
      <c r="BD263" s="1582">
        <f t="shared" si="92"/>
        <v>0</v>
      </c>
      <c r="BE263" s="1583">
        <f t="shared" si="92"/>
        <v>0</v>
      </c>
      <c r="BF263" s="695"/>
    </row>
    <row r="264" spans="1:58" x14ac:dyDescent="0.45">
      <c r="A264" s="695"/>
      <c r="B264" s="974" t="s">
        <v>160</v>
      </c>
      <c r="C264" s="975"/>
      <c r="D264" s="975"/>
      <c r="E264" s="978"/>
      <c r="F264" s="978" t="s">
        <v>748</v>
      </c>
      <c r="G264" s="1582"/>
      <c r="H264" s="1582">
        <f>H708</f>
        <v>0</v>
      </c>
      <c r="I264" s="1582">
        <f t="shared" ref="I264:BE264" si="93">I708</f>
        <v>0</v>
      </c>
      <c r="J264" s="1582">
        <f t="shared" si="93"/>
        <v>0</v>
      </c>
      <c r="K264" s="1582">
        <f t="shared" si="93"/>
        <v>0</v>
      </c>
      <c r="L264" s="1582">
        <f t="shared" si="93"/>
        <v>0</v>
      </c>
      <c r="M264" s="1582">
        <f t="shared" si="93"/>
        <v>0</v>
      </c>
      <c r="N264" s="1582">
        <f t="shared" si="93"/>
        <v>0</v>
      </c>
      <c r="O264" s="1582">
        <f t="shared" si="93"/>
        <v>0</v>
      </c>
      <c r="P264" s="1582">
        <f t="shared" si="93"/>
        <v>0</v>
      </c>
      <c r="Q264" s="1582">
        <f t="shared" si="93"/>
        <v>0</v>
      </c>
      <c r="R264" s="1582">
        <f t="shared" si="93"/>
        <v>0</v>
      </c>
      <c r="S264" s="1582">
        <f t="shared" si="93"/>
        <v>0</v>
      </c>
      <c r="T264" s="1582">
        <f t="shared" si="93"/>
        <v>0</v>
      </c>
      <c r="U264" s="1582">
        <f t="shared" si="93"/>
        <v>0</v>
      </c>
      <c r="V264" s="1582">
        <f t="shared" si="93"/>
        <v>0</v>
      </c>
      <c r="W264" s="1582">
        <f t="shared" si="93"/>
        <v>0</v>
      </c>
      <c r="X264" s="1582">
        <f t="shared" si="93"/>
        <v>0</v>
      </c>
      <c r="Y264" s="1582">
        <f t="shared" si="93"/>
        <v>0</v>
      </c>
      <c r="Z264" s="1582">
        <f t="shared" si="93"/>
        <v>0</v>
      </c>
      <c r="AA264" s="1582">
        <f t="shared" si="93"/>
        <v>0</v>
      </c>
      <c r="AB264" s="1582">
        <f t="shared" si="93"/>
        <v>0</v>
      </c>
      <c r="AC264" s="1582">
        <f t="shared" si="93"/>
        <v>0</v>
      </c>
      <c r="AD264" s="1582">
        <f t="shared" si="93"/>
        <v>0</v>
      </c>
      <c r="AE264" s="1582">
        <f t="shared" si="93"/>
        <v>0</v>
      </c>
      <c r="AF264" s="1582">
        <f t="shared" si="93"/>
        <v>0</v>
      </c>
      <c r="AG264" s="1582">
        <f t="shared" si="93"/>
        <v>0</v>
      </c>
      <c r="AH264" s="1582">
        <f t="shared" si="93"/>
        <v>0</v>
      </c>
      <c r="AI264" s="1582">
        <f t="shared" si="93"/>
        <v>0</v>
      </c>
      <c r="AJ264" s="1582">
        <f t="shared" si="93"/>
        <v>0</v>
      </c>
      <c r="AK264" s="1582">
        <f t="shared" si="93"/>
        <v>0</v>
      </c>
      <c r="AL264" s="1582">
        <f t="shared" si="93"/>
        <v>0</v>
      </c>
      <c r="AM264" s="1582">
        <f t="shared" si="93"/>
        <v>0</v>
      </c>
      <c r="AN264" s="1582">
        <f t="shared" si="93"/>
        <v>0</v>
      </c>
      <c r="AO264" s="1582">
        <f t="shared" si="93"/>
        <v>0</v>
      </c>
      <c r="AP264" s="1582">
        <f t="shared" si="93"/>
        <v>0</v>
      </c>
      <c r="AQ264" s="1582">
        <f t="shared" si="93"/>
        <v>0</v>
      </c>
      <c r="AR264" s="1582">
        <f t="shared" si="93"/>
        <v>0</v>
      </c>
      <c r="AS264" s="1582">
        <f t="shared" si="93"/>
        <v>0</v>
      </c>
      <c r="AT264" s="1582">
        <f t="shared" si="93"/>
        <v>0</v>
      </c>
      <c r="AU264" s="1582">
        <f t="shared" si="93"/>
        <v>0</v>
      </c>
      <c r="AV264" s="1582">
        <f t="shared" si="93"/>
        <v>0</v>
      </c>
      <c r="AW264" s="1582">
        <f t="shared" si="93"/>
        <v>0</v>
      </c>
      <c r="AX264" s="1582">
        <f t="shared" si="93"/>
        <v>0</v>
      </c>
      <c r="AY264" s="1582">
        <f t="shared" si="93"/>
        <v>0</v>
      </c>
      <c r="AZ264" s="1582">
        <f t="shared" si="93"/>
        <v>0</v>
      </c>
      <c r="BA264" s="1582">
        <f t="shared" si="93"/>
        <v>0</v>
      </c>
      <c r="BB264" s="1582">
        <f t="shared" si="93"/>
        <v>0</v>
      </c>
      <c r="BC264" s="1582">
        <f t="shared" si="93"/>
        <v>0</v>
      </c>
      <c r="BD264" s="1582">
        <f t="shared" si="93"/>
        <v>0</v>
      </c>
      <c r="BE264" s="1583">
        <f t="shared" si="93"/>
        <v>0</v>
      </c>
      <c r="BF264" s="695"/>
    </row>
    <row r="265" spans="1:58" x14ac:dyDescent="0.45">
      <c r="A265" s="695"/>
      <c r="B265" s="974" t="s">
        <v>161</v>
      </c>
      <c r="C265" s="975"/>
      <c r="D265" s="975"/>
      <c r="E265" s="978"/>
      <c r="F265" s="978" t="s">
        <v>748</v>
      </c>
      <c r="G265" s="1582"/>
      <c r="H265" s="1582">
        <f>H729</f>
        <v>0</v>
      </c>
      <c r="I265" s="1582">
        <f t="shared" ref="I265:BE265" si="94">I729</f>
        <v>0</v>
      </c>
      <c r="J265" s="1582">
        <f t="shared" si="94"/>
        <v>0</v>
      </c>
      <c r="K265" s="1582">
        <f t="shared" si="94"/>
        <v>0</v>
      </c>
      <c r="L265" s="1582">
        <f t="shared" si="94"/>
        <v>0</v>
      </c>
      <c r="M265" s="1582">
        <f t="shared" si="94"/>
        <v>0</v>
      </c>
      <c r="N265" s="1582">
        <f t="shared" si="94"/>
        <v>0</v>
      </c>
      <c r="O265" s="1582">
        <f t="shared" si="94"/>
        <v>0</v>
      </c>
      <c r="P265" s="1582">
        <f t="shared" si="94"/>
        <v>0</v>
      </c>
      <c r="Q265" s="1582">
        <f t="shared" si="94"/>
        <v>0</v>
      </c>
      <c r="R265" s="1582">
        <f t="shared" si="94"/>
        <v>0</v>
      </c>
      <c r="S265" s="1582">
        <f t="shared" si="94"/>
        <v>0</v>
      </c>
      <c r="T265" s="1582">
        <f t="shared" si="94"/>
        <v>0</v>
      </c>
      <c r="U265" s="1582">
        <f t="shared" si="94"/>
        <v>0</v>
      </c>
      <c r="V265" s="1582">
        <f t="shared" si="94"/>
        <v>0</v>
      </c>
      <c r="W265" s="1582">
        <f t="shared" si="94"/>
        <v>0</v>
      </c>
      <c r="X265" s="1582">
        <f t="shared" si="94"/>
        <v>0</v>
      </c>
      <c r="Y265" s="1582">
        <f t="shared" si="94"/>
        <v>0</v>
      </c>
      <c r="Z265" s="1582">
        <f t="shared" si="94"/>
        <v>0</v>
      </c>
      <c r="AA265" s="1582">
        <f t="shared" si="94"/>
        <v>0</v>
      </c>
      <c r="AB265" s="1582">
        <f t="shared" si="94"/>
        <v>0</v>
      </c>
      <c r="AC265" s="1582">
        <f t="shared" si="94"/>
        <v>0</v>
      </c>
      <c r="AD265" s="1582">
        <f t="shared" si="94"/>
        <v>0</v>
      </c>
      <c r="AE265" s="1582">
        <f t="shared" si="94"/>
        <v>0</v>
      </c>
      <c r="AF265" s="1582">
        <f t="shared" si="94"/>
        <v>0</v>
      </c>
      <c r="AG265" s="1582">
        <f t="shared" si="94"/>
        <v>0</v>
      </c>
      <c r="AH265" s="1582">
        <f t="shared" si="94"/>
        <v>0</v>
      </c>
      <c r="AI265" s="1582">
        <f t="shared" si="94"/>
        <v>0</v>
      </c>
      <c r="AJ265" s="1582">
        <f t="shared" si="94"/>
        <v>0</v>
      </c>
      <c r="AK265" s="1582">
        <f t="shared" si="94"/>
        <v>0</v>
      </c>
      <c r="AL265" s="1582">
        <f t="shared" si="94"/>
        <v>0</v>
      </c>
      <c r="AM265" s="1582">
        <f t="shared" si="94"/>
        <v>0</v>
      </c>
      <c r="AN265" s="1582">
        <f t="shared" si="94"/>
        <v>0</v>
      </c>
      <c r="AO265" s="1582">
        <f t="shared" si="94"/>
        <v>0</v>
      </c>
      <c r="AP265" s="1582">
        <f t="shared" si="94"/>
        <v>0</v>
      </c>
      <c r="AQ265" s="1582">
        <f t="shared" si="94"/>
        <v>0</v>
      </c>
      <c r="AR265" s="1582">
        <f t="shared" si="94"/>
        <v>0</v>
      </c>
      <c r="AS265" s="1582">
        <f t="shared" si="94"/>
        <v>0</v>
      </c>
      <c r="AT265" s="1582">
        <f t="shared" si="94"/>
        <v>0</v>
      </c>
      <c r="AU265" s="1582">
        <f t="shared" si="94"/>
        <v>0</v>
      </c>
      <c r="AV265" s="1582">
        <f t="shared" si="94"/>
        <v>0</v>
      </c>
      <c r="AW265" s="1582">
        <f t="shared" si="94"/>
        <v>0</v>
      </c>
      <c r="AX265" s="1582">
        <f t="shared" si="94"/>
        <v>0</v>
      </c>
      <c r="AY265" s="1582">
        <f t="shared" si="94"/>
        <v>0</v>
      </c>
      <c r="AZ265" s="1582">
        <f t="shared" si="94"/>
        <v>0</v>
      </c>
      <c r="BA265" s="1582">
        <f t="shared" si="94"/>
        <v>0</v>
      </c>
      <c r="BB265" s="1582">
        <f t="shared" si="94"/>
        <v>0</v>
      </c>
      <c r="BC265" s="1582">
        <f t="shared" si="94"/>
        <v>0</v>
      </c>
      <c r="BD265" s="1582">
        <f t="shared" si="94"/>
        <v>0</v>
      </c>
      <c r="BE265" s="1583">
        <f t="shared" si="94"/>
        <v>0</v>
      </c>
      <c r="BF265" s="695"/>
    </row>
    <row r="266" spans="1:58" x14ac:dyDescent="0.45">
      <c r="A266" s="695"/>
      <c r="B266" s="974" t="s">
        <v>120</v>
      </c>
      <c r="C266" s="975"/>
      <c r="D266" s="975"/>
      <c r="E266" s="978"/>
      <c r="F266" s="978" t="s">
        <v>748</v>
      </c>
      <c r="G266" s="1582"/>
      <c r="H266" s="1582">
        <f>(H698+H719+H740)</f>
        <v>0</v>
      </c>
      <c r="I266" s="1582">
        <f t="shared" ref="I266:BE266" si="95">(I698+I719+I740)</f>
        <v>0</v>
      </c>
      <c r="J266" s="1582">
        <f t="shared" si="95"/>
        <v>0</v>
      </c>
      <c r="K266" s="1582">
        <f t="shared" si="95"/>
        <v>0</v>
      </c>
      <c r="L266" s="1582">
        <f t="shared" si="95"/>
        <v>0</v>
      </c>
      <c r="M266" s="1582">
        <f t="shared" si="95"/>
        <v>0</v>
      </c>
      <c r="N266" s="1582">
        <f t="shared" si="95"/>
        <v>0</v>
      </c>
      <c r="O266" s="1582">
        <f t="shared" si="95"/>
        <v>0</v>
      </c>
      <c r="P266" s="1582">
        <f t="shared" si="95"/>
        <v>0</v>
      </c>
      <c r="Q266" s="1582">
        <f t="shared" si="95"/>
        <v>0</v>
      </c>
      <c r="R266" s="1582">
        <f t="shared" si="95"/>
        <v>0</v>
      </c>
      <c r="S266" s="1582">
        <f t="shared" si="95"/>
        <v>0</v>
      </c>
      <c r="T266" s="1582">
        <f t="shared" si="95"/>
        <v>0</v>
      </c>
      <c r="U266" s="1582">
        <f t="shared" si="95"/>
        <v>0</v>
      </c>
      <c r="V266" s="1582">
        <f t="shared" si="95"/>
        <v>0</v>
      </c>
      <c r="W266" s="1582">
        <f t="shared" si="95"/>
        <v>0</v>
      </c>
      <c r="X266" s="1582">
        <f t="shared" si="95"/>
        <v>0</v>
      </c>
      <c r="Y266" s="1582">
        <f t="shared" si="95"/>
        <v>0</v>
      </c>
      <c r="Z266" s="1582">
        <f t="shared" si="95"/>
        <v>0</v>
      </c>
      <c r="AA266" s="1582">
        <f t="shared" si="95"/>
        <v>0</v>
      </c>
      <c r="AB266" s="1582">
        <f t="shared" si="95"/>
        <v>0</v>
      </c>
      <c r="AC266" s="1582">
        <f t="shared" si="95"/>
        <v>0</v>
      </c>
      <c r="AD266" s="1582">
        <f t="shared" si="95"/>
        <v>0</v>
      </c>
      <c r="AE266" s="1582">
        <f t="shared" si="95"/>
        <v>0</v>
      </c>
      <c r="AF266" s="1582">
        <f t="shared" si="95"/>
        <v>0</v>
      </c>
      <c r="AG266" s="1582">
        <f t="shared" si="95"/>
        <v>0</v>
      </c>
      <c r="AH266" s="1582">
        <f t="shared" si="95"/>
        <v>0</v>
      </c>
      <c r="AI266" s="1582">
        <f t="shared" si="95"/>
        <v>0</v>
      </c>
      <c r="AJ266" s="1582">
        <f t="shared" si="95"/>
        <v>0</v>
      </c>
      <c r="AK266" s="1582">
        <f t="shared" si="95"/>
        <v>0</v>
      </c>
      <c r="AL266" s="1582">
        <f t="shared" si="95"/>
        <v>0</v>
      </c>
      <c r="AM266" s="1582">
        <f t="shared" si="95"/>
        <v>0</v>
      </c>
      <c r="AN266" s="1582">
        <f t="shared" si="95"/>
        <v>0</v>
      </c>
      <c r="AO266" s="1582">
        <f t="shared" si="95"/>
        <v>0</v>
      </c>
      <c r="AP266" s="1582">
        <f t="shared" si="95"/>
        <v>0</v>
      </c>
      <c r="AQ266" s="1582">
        <f t="shared" si="95"/>
        <v>0</v>
      </c>
      <c r="AR266" s="1582">
        <f t="shared" si="95"/>
        <v>0</v>
      </c>
      <c r="AS266" s="1582">
        <f t="shared" si="95"/>
        <v>0</v>
      </c>
      <c r="AT266" s="1582">
        <f t="shared" si="95"/>
        <v>0</v>
      </c>
      <c r="AU266" s="1582">
        <f t="shared" si="95"/>
        <v>0</v>
      </c>
      <c r="AV266" s="1582">
        <f t="shared" si="95"/>
        <v>0</v>
      </c>
      <c r="AW266" s="1582">
        <f t="shared" si="95"/>
        <v>0</v>
      </c>
      <c r="AX266" s="1582">
        <f t="shared" si="95"/>
        <v>0</v>
      </c>
      <c r="AY266" s="1582">
        <f t="shared" si="95"/>
        <v>0</v>
      </c>
      <c r="AZ266" s="1582">
        <f t="shared" si="95"/>
        <v>0</v>
      </c>
      <c r="BA266" s="1582">
        <f t="shared" si="95"/>
        <v>0</v>
      </c>
      <c r="BB266" s="1582">
        <f t="shared" si="95"/>
        <v>0</v>
      </c>
      <c r="BC266" s="1582">
        <f t="shared" si="95"/>
        <v>0</v>
      </c>
      <c r="BD266" s="1582">
        <f t="shared" si="95"/>
        <v>0</v>
      </c>
      <c r="BE266" s="1583">
        <f t="shared" si="95"/>
        <v>0</v>
      </c>
      <c r="BF266" s="695"/>
    </row>
    <row r="267" spans="1:58" x14ac:dyDescent="0.45">
      <c r="A267" s="695"/>
      <c r="B267" s="974" t="s">
        <v>162</v>
      </c>
      <c r="C267" s="975"/>
      <c r="D267" s="975"/>
      <c r="E267" s="978"/>
      <c r="F267" s="978" t="s">
        <v>748</v>
      </c>
      <c r="G267" s="1582"/>
      <c r="H267" s="1582">
        <f>(H720+H721)</f>
        <v>0</v>
      </c>
      <c r="I267" s="1582">
        <f t="shared" ref="I267:BE267" si="96">(I720+I721)</f>
        <v>0</v>
      </c>
      <c r="J267" s="1582">
        <f t="shared" si="96"/>
        <v>0</v>
      </c>
      <c r="K267" s="1582">
        <f t="shared" si="96"/>
        <v>0</v>
      </c>
      <c r="L267" s="1582">
        <f t="shared" si="96"/>
        <v>0</v>
      </c>
      <c r="M267" s="1582">
        <f t="shared" si="96"/>
        <v>0</v>
      </c>
      <c r="N267" s="1582">
        <f t="shared" si="96"/>
        <v>0</v>
      </c>
      <c r="O267" s="1582">
        <f t="shared" si="96"/>
        <v>0</v>
      </c>
      <c r="P267" s="1582">
        <f t="shared" si="96"/>
        <v>0</v>
      </c>
      <c r="Q267" s="1582">
        <f t="shared" si="96"/>
        <v>0</v>
      </c>
      <c r="R267" s="1582">
        <f t="shared" si="96"/>
        <v>0</v>
      </c>
      <c r="S267" s="1582">
        <f t="shared" si="96"/>
        <v>0</v>
      </c>
      <c r="T267" s="1582">
        <f t="shared" si="96"/>
        <v>0</v>
      </c>
      <c r="U267" s="1582">
        <f t="shared" si="96"/>
        <v>0</v>
      </c>
      <c r="V267" s="1582">
        <f t="shared" si="96"/>
        <v>0</v>
      </c>
      <c r="W267" s="1582">
        <f t="shared" si="96"/>
        <v>0</v>
      </c>
      <c r="X267" s="1582">
        <f t="shared" si="96"/>
        <v>0</v>
      </c>
      <c r="Y267" s="1582">
        <f t="shared" si="96"/>
        <v>0</v>
      </c>
      <c r="Z267" s="1582">
        <f t="shared" si="96"/>
        <v>0</v>
      </c>
      <c r="AA267" s="1582">
        <f t="shared" si="96"/>
        <v>0</v>
      </c>
      <c r="AB267" s="1582">
        <f t="shared" si="96"/>
        <v>0</v>
      </c>
      <c r="AC267" s="1582">
        <f t="shared" si="96"/>
        <v>0</v>
      </c>
      <c r="AD267" s="1582">
        <f t="shared" si="96"/>
        <v>0</v>
      </c>
      <c r="AE267" s="1582">
        <f t="shared" si="96"/>
        <v>0</v>
      </c>
      <c r="AF267" s="1582">
        <f t="shared" si="96"/>
        <v>0</v>
      </c>
      <c r="AG267" s="1582">
        <f t="shared" si="96"/>
        <v>0</v>
      </c>
      <c r="AH267" s="1582">
        <f t="shared" si="96"/>
        <v>0</v>
      </c>
      <c r="AI267" s="1582">
        <f t="shared" si="96"/>
        <v>0</v>
      </c>
      <c r="AJ267" s="1582">
        <f t="shared" si="96"/>
        <v>0</v>
      </c>
      <c r="AK267" s="1582">
        <f t="shared" si="96"/>
        <v>0</v>
      </c>
      <c r="AL267" s="1582">
        <f t="shared" si="96"/>
        <v>0</v>
      </c>
      <c r="AM267" s="1582">
        <f t="shared" si="96"/>
        <v>0</v>
      </c>
      <c r="AN267" s="1582">
        <f t="shared" si="96"/>
        <v>0</v>
      </c>
      <c r="AO267" s="1582">
        <f t="shared" si="96"/>
        <v>0</v>
      </c>
      <c r="AP267" s="1582">
        <f t="shared" si="96"/>
        <v>0</v>
      </c>
      <c r="AQ267" s="1582">
        <f t="shared" si="96"/>
        <v>0</v>
      </c>
      <c r="AR267" s="1582">
        <f t="shared" si="96"/>
        <v>0</v>
      </c>
      <c r="AS267" s="1582">
        <f t="shared" si="96"/>
        <v>0</v>
      </c>
      <c r="AT267" s="1582">
        <f t="shared" si="96"/>
        <v>0</v>
      </c>
      <c r="AU267" s="1582">
        <f t="shared" si="96"/>
        <v>0</v>
      </c>
      <c r="AV267" s="1582">
        <f t="shared" si="96"/>
        <v>0</v>
      </c>
      <c r="AW267" s="1582">
        <f t="shared" si="96"/>
        <v>0</v>
      </c>
      <c r="AX267" s="1582">
        <f t="shared" si="96"/>
        <v>0</v>
      </c>
      <c r="AY267" s="1582">
        <f t="shared" si="96"/>
        <v>0</v>
      </c>
      <c r="AZ267" s="1582">
        <f t="shared" si="96"/>
        <v>0</v>
      </c>
      <c r="BA267" s="1582">
        <f t="shared" si="96"/>
        <v>0</v>
      </c>
      <c r="BB267" s="1582">
        <f t="shared" si="96"/>
        <v>0</v>
      </c>
      <c r="BC267" s="1582">
        <f t="shared" si="96"/>
        <v>0</v>
      </c>
      <c r="BD267" s="1582">
        <f t="shared" si="96"/>
        <v>0</v>
      </c>
      <c r="BE267" s="1583">
        <f t="shared" si="96"/>
        <v>0</v>
      </c>
      <c r="BF267" s="695"/>
    </row>
    <row r="268" spans="1:58" x14ac:dyDescent="0.45">
      <c r="A268" s="695"/>
      <c r="B268" s="974" t="s">
        <v>121</v>
      </c>
      <c r="C268" s="975"/>
      <c r="D268" s="975"/>
      <c r="E268" s="978"/>
      <c r="F268" s="978" t="s">
        <v>748</v>
      </c>
      <c r="G268" s="1582"/>
      <c r="H268" s="1582">
        <f>(H750+H751)</f>
        <v>0</v>
      </c>
      <c r="I268" s="1582">
        <f t="shared" ref="I268:BE268" si="97">(I750+I751)</f>
        <v>0</v>
      </c>
      <c r="J268" s="1582">
        <f t="shared" si="97"/>
        <v>0</v>
      </c>
      <c r="K268" s="1582">
        <f t="shared" si="97"/>
        <v>0</v>
      </c>
      <c r="L268" s="1582">
        <f t="shared" si="97"/>
        <v>0</v>
      </c>
      <c r="M268" s="1582">
        <f t="shared" si="97"/>
        <v>0</v>
      </c>
      <c r="N268" s="1582">
        <f t="shared" si="97"/>
        <v>0</v>
      </c>
      <c r="O268" s="1582">
        <f t="shared" si="97"/>
        <v>0</v>
      </c>
      <c r="P268" s="1582">
        <f t="shared" si="97"/>
        <v>0</v>
      </c>
      <c r="Q268" s="1582">
        <f t="shared" si="97"/>
        <v>0</v>
      </c>
      <c r="R268" s="1582">
        <f t="shared" si="97"/>
        <v>0</v>
      </c>
      <c r="S268" s="1582">
        <f t="shared" si="97"/>
        <v>0</v>
      </c>
      <c r="T268" s="1582">
        <f t="shared" si="97"/>
        <v>0</v>
      </c>
      <c r="U268" s="1582">
        <f t="shared" si="97"/>
        <v>0</v>
      </c>
      <c r="V268" s="1582">
        <f t="shared" si="97"/>
        <v>0</v>
      </c>
      <c r="W268" s="1582">
        <f t="shared" si="97"/>
        <v>0</v>
      </c>
      <c r="X268" s="1582">
        <f t="shared" si="97"/>
        <v>0</v>
      </c>
      <c r="Y268" s="1582">
        <f t="shared" si="97"/>
        <v>0</v>
      </c>
      <c r="Z268" s="1582">
        <f t="shared" si="97"/>
        <v>0</v>
      </c>
      <c r="AA268" s="1582">
        <f t="shared" si="97"/>
        <v>0</v>
      </c>
      <c r="AB268" s="1582">
        <f t="shared" si="97"/>
        <v>0</v>
      </c>
      <c r="AC268" s="1582">
        <f t="shared" si="97"/>
        <v>0</v>
      </c>
      <c r="AD268" s="1582">
        <f t="shared" si="97"/>
        <v>0</v>
      </c>
      <c r="AE268" s="1582">
        <f t="shared" si="97"/>
        <v>0</v>
      </c>
      <c r="AF268" s="1582">
        <f t="shared" si="97"/>
        <v>0</v>
      </c>
      <c r="AG268" s="1582">
        <f t="shared" si="97"/>
        <v>0</v>
      </c>
      <c r="AH268" s="1582">
        <f t="shared" si="97"/>
        <v>0</v>
      </c>
      <c r="AI268" s="1582">
        <f t="shared" si="97"/>
        <v>0</v>
      </c>
      <c r="AJ268" s="1582">
        <f t="shared" si="97"/>
        <v>0</v>
      </c>
      <c r="AK268" s="1582">
        <f t="shared" si="97"/>
        <v>0</v>
      </c>
      <c r="AL268" s="1582">
        <f t="shared" si="97"/>
        <v>0</v>
      </c>
      <c r="AM268" s="1582">
        <f t="shared" si="97"/>
        <v>0</v>
      </c>
      <c r="AN268" s="1582">
        <f t="shared" si="97"/>
        <v>0</v>
      </c>
      <c r="AO268" s="1582">
        <f t="shared" si="97"/>
        <v>0</v>
      </c>
      <c r="AP268" s="1582">
        <f t="shared" si="97"/>
        <v>0</v>
      </c>
      <c r="AQ268" s="1582">
        <f t="shared" si="97"/>
        <v>0</v>
      </c>
      <c r="AR268" s="1582">
        <f t="shared" si="97"/>
        <v>0</v>
      </c>
      <c r="AS268" s="1582">
        <f t="shared" si="97"/>
        <v>0</v>
      </c>
      <c r="AT268" s="1582">
        <f t="shared" si="97"/>
        <v>0</v>
      </c>
      <c r="AU268" s="1582">
        <f t="shared" si="97"/>
        <v>0</v>
      </c>
      <c r="AV268" s="1582">
        <f t="shared" si="97"/>
        <v>0</v>
      </c>
      <c r="AW268" s="1582">
        <f t="shared" si="97"/>
        <v>0</v>
      </c>
      <c r="AX268" s="1582">
        <f t="shared" si="97"/>
        <v>0</v>
      </c>
      <c r="AY268" s="1582">
        <f t="shared" si="97"/>
        <v>0</v>
      </c>
      <c r="AZ268" s="1582">
        <f t="shared" si="97"/>
        <v>0</v>
      </c>
      <c r="BA268" s="1582">
        <f t="shared" si="97"/>
        <v>0</v>
      </c>
      <c r="BB268" s="1582">
        <f t="shared" si="97"/>
        <v>0</v>
      </c>
      <c r="BC268" s="1582">
        <f t="shared" si="97"/>
        <v>0</v>
      </c>
      <c r="BD268" s="1582">
        <f t="shared" si="97"/>
        <v>0</v>
      </c>
      <c r="BE268" s="1583">
        <f t="shared" si="97"/>
        <v>0</v>
      </c>
      <c r="BF268" s="695"/>
    </row>
    <row r="269" spans="1:58" x14ac:dyDescent="0.45">
      <c r="A269" s="695"/>
      <c r="B269" s="974"/>
      <c r="C269" s="975"/>
      <c r="D269" s="975"/>
      <c r="E269" s="978"/>
      <c r="F269" s="978"/>
      <c r="G269" s="1582"/>
      <c r="H269" s="1582"/>
      <c r="I269" s="1582"/>
      <c r="J269" s="1582"/>
      <c r="K269" s="1582"/>
      <c r="L269" s="1582"/>
      <c r="M269" s="1582"/>
      <c r="N269" s="1582"/>
      <c r="O269" s="1582"/>
      <c r="P269" s="1582"/>
      <c r="Q269" s="1582"/>
      <c r="R269" s="1582"/>
      <c r="S269" s="1582"/>
      <c r="T269" s="1582"/>
      <c r="U269" s="1582"/>
      <c r="V269" s="1582"/>
      <c r="W269" s="1582"/>
      <c r="X269" s="1582"/>
      <c r="Y269" s="1582"/>
      <c r="Z269" s="1582"/>
      <c r="AA269" s="1582"/>
      <c r="AB269" s="1582"/>
      <c r="AC269" s="1582"/>
      <c r="AD269" s="1582"/>
      <c r="AE269" s="1582"/>
      <c r="AF269" s="1582"/>
      <c r="AG269" s="1582"/>
      <c r="AH269" s="1582"/>
      <c r="AI269" s="1582"/>
      <c r="AJ269" s="1582"/>
      <c r="AK269" s="1582"/>
      <c r="AL269" s="1582"/>
      <c r="AM269" s="1582"/>
      <c r="AN269" s="1582"/>
      <c r="AO269" s="1582"/>
      <c r="AP269" s="1582"/>
      <c r="AQ269" s="1582"/>
      <c r="AR269" s="1582"/>
      <c r="AS269" s="1582"/>
      <c r="AT269" s="1582"/>
      <c r="AU269" s="1582"/>
      <c r="AV269" s="1582"/>
      <c r="AW269" s="1582"/>
      <c r="AX269" s="1582"/>
      <c r="AY269" s="1582"/>
      <c r="AZ269" s="1582"/>
      <c r="BA269" s="1582"/>
      <c r="BB269" s="1582"/>
      <c r="BC269" s="1582"/>
      <c r="BD269" s="1582"/>
      <c r="BE269" s="1583"/>
      <c r="BF269" s="695"/>
    </row>
    <row r="270" spans="1:58" x14ac:dyDescent="0.45">
      <c r="A270" s="695"/>
      <c r="B270" s="974"/>
      <c r="C270" s="975"/>
      <c r="D270" s="975"/>
      <c r="E270" s="978"/>
      <c r="F270" s="978"/>
      <c r="G270" s="1582"/>
      <c r="H270" s="1582"/>
      <c r="I270" s="1582"/>
      <c r="J270" s="1582"/>
      <c r="K270" s="1582"/>
      <c r="L270" s="1582"/>
      <c r="M270" s="1582"/>
      <c r="N270" s="1582"/>
      <c r="O270" s="1582"/>
      <c r="P270" s="1582"/>
      <c r="Q270" s="1582"/>
      <c r="R270" s="1582"/>
      <c r="S270" s="1582"/>
      <c r="T270" s="1582"/>
      <c r="U270" s="1582"/>
      <c r="V270" s="1582"/>
      <c r="W270" s="1582"/>
      <c r="X270" s="1582"/>
      <c r="Y270" s="1582"/>
      <c r="Z270" s="1582"/>
      <c r="AA270" s="1582"/>
      <c r="AB270" s="1582"/>
      <c r="AC270" s="1582"/>
      <c r="AD270" s="1582"/>
      <c r="AE270" s="1582"/>
      <c r="AF270" s="1582"/>
      <c r="AG270" s="1582"/>
      <c r="AH270" s="1582"/>
      <c r="AI270" s="1582"/>
      <c r="AJ270" s="1582"/>
      <c r="AK270" s="1582"/>
      <c r="AL270" s="1582"/>
      <c r="AM270" s="1582"/>
      <c r="AN270" s="1582"/>
      <c r="AO270" s="1582"/>
      <c r="AP270" s="1582"/>
      <c r="AQ270" s="1582"/>
      <c r="AR270" s="1582"/>
      <c r="AS270" s="1582"/>
      <c r="AT270" s="1582"/>
      <c r="AU270" s="1582"/>
      <c r="AV270" s="1582"/>
      <c r="AW270" s="1582"/>
      <c r="AX270" s="1582"/>
      <c r="AY270" s="1582"/>
      <c r="AZ270" s="1582"/>
      <c r="BA270" s="1582"/>
      <c r="BB270" s="1582"/>
      <c r="BC270" s="1582"/>
      <c r="BD270" s="1582"/>
      <c r="BE270" s="1583"/>
      <c r="BF270" s="695"/>
    </row>
    <row r="271" spans="1:58" ht="13.15" x14ac:dyDescent="0.45">
      <c r="A271" s="695"/>
      <c r="B271" s="988" t="s">
        <v>460</v>
      </c>
      <c r="C271" s="975"/>
      <c r="D271" s="975"/>
      <c r="E271" s="978"/>
      <c r="F271" s="978"/>
      <c r="G271" s="1582"/>
      <c r="H271" s="1582"/>
      <c r="I271" s="1582"/>
      <c r="J271" s="1582"/>
      <c r="K271" s="1582"/>
      <c r="L271" s="1582"/>
      <c r="M271" s="1582"/>
      <c r="N271" s="1582"/>
      <c r="O271" s="1582"/>
      <c r="P271" s="1582"/>
      <c r="Q271" s="1582"/>
      <c r="R271" s="1582"/>
      <c r="S271" s="1582"/>
      <c r="T271" s="1582"/>
      <c r="U271" s="1582"/>
      <c r="V271" s="1582"/>
      <c r="W271" s="1582"/>
      <c r="X271" s="1582"/>
      <c r="Y271" s="1582"/>
      <c r="Z271" s="1582"/>
      <c r="AA271" s="1582"/>
      <c r="AB271" s="1582"/>
      <c r="AC271" s="1582"/>
      <c r="AD271" s="1582"/>
      <c r="AE271" s="1582"/>
      <c r="AF271" s="1582"/>
      <c r="AG271" s="1582"/>
      <c r="AH271" s="1582"/>
      <c r="AI271" s="1582"/>
      <c r="AJ271" s="1582"/>
      <c r="AK271" s="1582"/>
      <c r="AL271" s="1582"/>
      <c r="AM271" s="1582"/>
      <c r="AN271" s="1582"/>
      <c r="AO271" s="1582"/>
      <c r="AP271" s="1582"/>
      <c r="AQ271" s="1582"/>
      <c r="AR271" s="1582"/>
      <c r="AS271" s="1582"/>
      <c r="AT271" s="1582"/>
      <c r="AU271" s="1582"/>
      <c r="AV271" s="1582"/>
      <c r="AW271" s="1582"/>
      <c r="AX271" s="1582"/>
      <c r="AY271" s="1582"/>
      <c r="AZ271" s="1582"/>
      <c r="BA271" s="1582"/>
      <c r="BB271" s="1582"/>
      <c r="BC271" s="1582"/>
      <c r="BD271" s="1582"/>
      <c r="BE271" s="1583"/>
      <c r="BF271" s="695"/>
    </row>
    <row r="272" spans="1:58" x14ac:dyDescent="0.45">
      <c r="A272" s="695"/>
      <c r="B272" s="974"/>
      <c r="C272" s="975"/>
      <c r="D272" s="975"/>
      <c r="E272" s="978"/>
      <c r="F272" s="978"/>
      <c r="G272" s="1582"/>
      <c r="H272" s="1582"/>
      <c r="I272" s="1582"/>
      <c r="J272" s="1582"/>
      <c r="K272" s="1582"/>
      <c r="L272" s="1582"/>
      <c r="M272" s="1582"/>
      <c r="N272" s="1582"/>
      <c r="O272" s="1582"/>
      <c r="P272" s="1582"/>
      <c r="Q272" s="1582"/>
      <c r="R272" s="1582"/>
      <c r="S272" s="1582"/>
      <c r="T272" s="1582"/>
      <c r="U272" s="1582"/>
      <c r="V272" s="1582"/>
      <c r="W272" s="1582"/>
      <c r="X272" s="1582"/>
      <c r="Y272" s="1582"/>
      <c r="Z272" s="1582"/>
      <c r="AA272" s="1582"/>
      <c r="AB272" s="1582"/>
      <c r="AC272" s="1582"/>
      <c r="AD272" s="1582"/>
      <c r="AE272" s="1582"/>
      <c r="AF272" s="1582"/>
      <c r="AG272" s="1582"/>
      <c r="AH272" s="1582"/>
      <c r="AI272" s="1582"/>
      <c r="AJ272" s="1582"/>
      <c r="AK272" s="1582"/>
      <c r="AL272" s="1582"/>
      <c r="AM272" s="1582"/>
      <c r="AN272" s="1582"/>
      <c r="AO272" s="1582"/>
      <c r="AP272" s="1582"/>
      <c r="AQ272" s="1582"/>
      <c r="AR272" s="1582"/>
      <c r="AS272" s="1582"/>
      <c r="AT272" s="1582"/>
      <c r="AU272" s="1582"/>
      <c r="AV272" s="1582"/>
      <c r="AW272" s="1582"/>
      <c r="AX272" s="1582"/>
      <c r="AY272" s="1582"/>
      <c r="AZ272" s="1582"/>
      <c r="BA272" s="1582"/>
      <c r="BB272" s="1582"/>
      <c r="BC272" s="1582"/>
      <c r="BD272" s="1582"/>
      <c r="BE272" s="1583"/>
      <c r="BF272" s="695"/>
    </row>
    <row r="273" spans="1:58" x14ac:dyDescent="0.45">
      <c r="A273" s="695"/>
      <c r="B273" s="974" t="str">
        <f>B252</f>
        <v>Operations &amp; Maintenance Expenses, excluding fuel cost</v>
      </c>
      <c r="C273" s="975"/>
      <c r="D273" s="975"/>
      <c r="E273" s="978"/>
      <c r="F273" s="978" t="s">
        <v>748</v>
      </c>
      <c r="G273" s="1582"/>
      <c r="H273" s="1582">
        <f t="shared" ref="H273:AM273" si="98">-H252</f>
        <v>0</v>
      </c>
      <c r="I273" s="1582">
        <f t="shared" si="98"/>
        <v>0</v>
      </c>
      <c r="J273" s="1582">
        <f t="shared" si="98"/>
        <v>0</v>
      </c>
      <c r="K273" s="1582">
        <f t="shared" si="98"/>
        <v>0</v>
      </c>
      <c r="L273" s="1582">
        <f t="shared" si="98"/>
        <v>0</v>
      </c>
      <c r="M273" s="1582">
        <f t="shared" si="98"/>
        <v>0</v>
      </c>
      <c r="N273" s="1582">
        <f t="shared" si="98"/>
        <v>0</v>
      </c>
      <c r="O273" s="1582">
        <f t="shared" si="98"/>
        <v>0</v>
      </c>
      <c r="P273" s="1582">
        <f t="shared" si="98"/>
        <v>0</v>
      </c>
      <c r="Q273" s="1582">
        <f t="shared" si="98"/>
        <v>0</v>
      </c>
      <c r="R273" s="1582">
        <f t="shared" si="98"/>
        <v>0</v>
      </c>
      <c r="S273" s="1582">
        <f t="shared" si="98"/>
        <v>0</v>
      </c>
      <c r="T273" s="1582">
        <f t="shared" si="98"/>
        <v>0</v>
      </c>
      <c r="U273" s="1582">
        <f t="shared" si="98"/>
        <v>0</v>
      </c>
      <c r="V273" s="1582">
        <f t="shared" si="98"/>
        <v>0</v>
      </c>
      <c r="W273" s="1582">
        <f t="shared" si="98"/>
        <v>0</v>
      </c>
      <c r="X273" s="1582">
        <f t="shared" si="98"/>
        <v>0</v>
      </c>
      <c r="Y273" s="1582">
        <f t="shared" si="98"/>
        <v>0</v>
      </c>
      <c r="Z273" s="1582">
        <f t="shared" si="98"/>
        <v>0</v>
      </c>
      <c r="AA273" s="1582">
        <f t="shared" si="98"/>
        <v>0</v>
      </c>
      <c r="AB273" s="1582">
        <f t="shared" si="98"/>
        <v>0</v>
      </c>
      <c r="AC273" s="1582">
        <f t="shared" si="98"/>
        <v>0</v>
      </c>
      <c r="AD273" s="1582">
        <f t="shared" si="98"/>
        <v>0</v>
      </c>
      <c r="AE273" s="1582">
        <f t="shared" si="98"/>
        <v>0</v>
      </c>
      <c r="AF273" s="1582">
        <f t="shared" si="98"/>
        <v>0</v>
      </c>
      <c r="AG273" s="1582">
        <f t="shared" si="98"/>
        <v>0</v>
      </c>
      <c r="AH273" s="1582">
        <f t="shared" si="98"/>
        <v>0</v>
      </c>
      <c r="AI273" s="1582">
        <f t="shared" si="98"/>
        <v>0</v>
      </c>
      <c r="AJ273" s="1582">
        <f t="shared" si="98"/>
        <v>0</v>
      </c>
      <c r="AK273" s="1582">
        <f t="shared" si="98"/>
        <v>0</v>
      </c>
      <c r="AL273" s="1582">
        <f t="shared" si="98"/>
        <v>0</v>
      </c>
      <c r="AM273" s="1582">
        <f t="shared" si="98"/>
        <v>0</v>
      </c>
      <c r="AN273" s="1582">
        <f t="shared" ref="AN273:BE273" si="99">-AN252</f>
        <v>0</v>
      </c>
      <c r="AO273" s="1582">
        <f t="shared" si="99"/>
        <v>0</v>
      </c>
      <c r="AP273" s="1582">
        <f t="shared" si="99"/>
        <v>0</v>
      </c>
      <c r="AQ273" s="1582">
        <f t="shared" si="99"/>
        <v>0</v>
      </c>
      <c r="AR273" s="1582">
        <f t="shared" si="99"/>
        <v>0</v>
      </c>
      <c r="AS273" s="1582">
        <f t="shared" si="99"/>
        <v>0</v>
      </c>
      <c r="AT273" s="1582">
        <f t="shared" si="99"/>
        <v>0</v>
      </c>
      <c r="AU273" s="1582">
        <f t="shared" si="99"/>
        <v>0</v>
      </c>
      <c r="AV273" s="1582">
        <f t="shared" si="99"/>
        <v>0</v>
      </c>
      <c r="AW273" s="1582">
        <f t="shared" si="99"/>
        <v>0</v>
      </c>
      <c r="AX273" s="1582">
        <f t="shared" si="99"/>
        <v>0</v>
      </c>
      <c r="AY273" s="1582">
        <f t="shared" si="99"/>
        <v>0</v>
      </c>
      <c r="AZ273" s="1582">
        <f t="shared" si="99"/>
        <v>0</v>
      </c>
      <c r="BA273" s="1582">
        <f t="shared" si="99"/>
        <v>0</v>
      </c>
      <c r="BB273" s="1582">
        <f t="shared" si="99"/>
        <v>0</v>
      </c>
      <c r="BC273" s="1582">
        <f t="shared" si="99"/>
        <v>0</v>
      </c>
      <c r="BD273" s="1582">
        <f t="shared" si="99"/>
        <v>0</v>
      </c>
      <c r="BE273" s="1583">
        <f t="shared" si="99"/>
        <v>0</v>
      </c>
      <c r="BF273" s="695"/>
    </row>
    <row r="274" spans="1:58" x14ac:dyDescent="0.45">
      <c r="A274" s="695"/>
      <c r="B274" s="974" t="s">
        <v>35</v>
      </c>
      <c r="C274" s="975"/>
      <c r="D274" s="975"/>
      <c r="E274" s="978"/>
      <c r="F274" s="978" t="s">
        <v>748</v>
      </c>
      <c r="G274" s="1582"/>
      <c r="H274" s="1582">
        <f>-H259</f>
        <v>0</v>
      </c>
      <c r="I274" s="1582">
        <f t="shared" ref="I274:BE274" si="100">-I259</f>
        <v>0</v>
      </c>
      <c r="J274" s="1582">
        <f t="shared" si="100"/>
        <v>0</v>
      </c>
      <c r="K274" s="1582">
        <f t="shared" si="100"/>
        <v>0</v>
      </c>
      <c r="L274" s="1582">
        <f t="shared" si="100"/>
        <v>0</v>
      </c>
      <c r="M274" s="1582">
        <f t="shared" si="100"/>
        <v>0</v>
      </c>
      <c r="N274" s="1582">
        <f t="shared" si="100"/>
        <v>0</v>
      </c>
      <c r="O274" s="1582">
        <f t="shared" si="100"/>
        <v>0</v>
      </c>
      <c r="P274" s="1582">
        <f t="shared" si="100"/>
        <v>0</v>
      </c>
      <c r="Q274" s="1582">
        <f t="shared" si="100"/>
        <v>0</v>
      </c>
      <c r="R274" s="1582">
        <f t="shared" si="100"/>
        <v>0</v>
      </c>
      <c r="S274" s="1582">
        <f t="shared" si="100"/>
        <v>0</v>
      </c>
      <c r="T274" s="1582">
        <f t="shared" si="100"/>
        <v>0</v>
      </c>
      <c r="U274" s="1582">
        <f t="shared" si="100"/>
        <v>0</v>
      </c>
      <c r="V274" s="1582">
        <f t="shared" si="100"/>
        <v>0</v>
      </c>
      <c r="W274" s="1582">
        <f t="shared" si="100"/>
        <v>0</v>
      </c>
      <c r="X274" s="1582">
        <f t="shared" si="100"/>
        <v>0</v>
      </c>
      <c r="Y274" s="1582">
        <f t="shared" si="100"/>
        <v>0</v>
      </c>
      <c r="Z274" s="1582">
        <f t="shared" si="100"/>
        <v>0</v>
      </c>
      <c r="AA274" s="1582">
        <f t="shared" si="100"/>
        <v>0</v>
      </c>
      <c r="AB274" s="1582">
        <f t="shared" si="100"/>
        <v>0</v>
      </c>
      <c r="AC274" s="1582">
        <f t="shared" si="100"/>
        <v>0</v>
      </c>
      <c r="AD274" s="1582">
        <f t="shared" si="100"/>
        <v>0</v>
      </c>
      <c r="AE274" s="1582">
        <f t="shared" si="100"/>
        <v>0</v>
      </c>
      <c r="AF274" s="1582">
        <f t="shared" si="100"/>
        <v>0</v>
      </c>
      <c r="AG274" s="1582">
        <f t="shared" si="100"/>
        <v>0</v>
      </c>
      <c r="AH274" s="1582">
        <f t="shared" si="100"/>
        <v>0</v>
      </c>
      <c r="AI274" s="1582">
        <f t="shared" si="100"/>
        <v>0</v>
      </c>
      <c r="AJ274" s="1582">
        <f t="shared" si="100"/>
        <v>0</v>
      </c>
      <c r="AK274" s="1582">
        <f t="shared" si="100"/>
        <v>0</v>
      </c>
      <c r="AL274" s="1582">
        <f t="shared" si="100"/>
        <v>0</v>
      </c>
      <c r="AM274" s="1582">
        <f t="shared" si="100"/>
        <v>0</v>
      </c>
      <c r="AN274" s="1582">
        <f t="shared" si="100"/>
        <v>0</v>
      </c>
      <c r="AO274" s="1582">
        <f t="shared" si="100"/>
        <v>0</v>
      </c>
      <c r="AP274" s="1582">
        <f t="shared" si="100"/>
        <v>0</v>
      </c>
      <c r="AQ274" s="1582">
        <f t="shared" si="100"/>
        <v>0</v>
      </c>
      <c r="AR274" s="1582">
        <f t="shared" si="100"/>
        <v>0</v>
      </c>
      <c r="AS274" s="1582">
        <f t="shared" si="100"/>
        <v>0</v>
      </c>
      <c r="AT274" s="1582">
        <f t="shared" si="100"/>
        <v>0</v>
      </c>
      <c r="AU274" s="1582">
        <f t="shared" si="100"/>
        <v>0</v>
      </c>
      <c r="AV274" s="1582">
        <f t="shared" si="100"/>
        <v>0</v>
      </c>
      <c r="AW274" s="1582">
        <f t="shared" si="100"/>
        <v>0</v>
      </c>
      <c r="AX274" s="1582">
        <f t="shared" si="100"/>
        <v>0</v>
      </c>
      <c r="AY274" s="1582">
        <f t="shared" si="100"/>
        <v>0</v>
      </c>
      <c r="AZ274" s="1582">
        <f t="shared" si="100"/>
        <v>0</v>
      </c>
      <c r="BA274" s="1582">
        <f t="shared" si="100"/>
        <v>0</v>
      </c>
      <c r="BB274" s="1582">
        <f t="shared" si="100"/>
        <v>0</v>
      </c>
      <c r="BC274" s="1582">
        <f t="shared" si="100"/>
        <v>0</v>
      </c>
      <c r="BD274" s="1582">
        <f t="shared" si="100"/>
        <v>0</v>
      </c>
      <c r="BE274" s="1583">
        <f t="shared" si="100"/>
        <v>0</v>
      </c>
      <c r="BF274" s="695"/>
    </row>
    <row r="275" spans="1:58" x14ac:dyDescent="0.45">
      <c r="A275" s="695"/>
      <c r="B275" s="974" t="str">
        <f>B266</f>
        <v xml:space="preserve">Front-end Fees </v>
      </c>
      <c r="C275" s="975"/>
      <c r="D275" s="975"/>
      <c r="E275" s="978"/>
      <c r="F275" s="978" t="s">
        <v>748</v>
      </c>
      <c r="G275" s="1582"/>
      <c r="H275" s="1582">
        <f>-H266</f>
        <v>0</v>
      </c>
      <c r="I275" s="1582">
        <f t="shared" ref="I275:BE275" si="101">-I266</f>
        <v>0</v>
      </c>
      <c r="J275" s="1582">
        <f t="shared" si="101"/>
        <v>0</v>
      </c>
      <c r="K275" s="1582">
        <f t="shared" si="101"/>
        <v>0</v>
      </c>
      <c r="L275" s="1582">
        <f t="shared" si="101"/>
        <v>0</v>
      </c>
      <c r="M275" s="1582">
        <f t="shared" si="101"/>
        <v>0</v>
      </c>
      <c r="N275" s="1582">
        <f t="shared" si="101"/>
        <v>0</v>
      </c>
      <c r="O275" s="1582">
        <f t="shared" si="101"/>
        <v>0</v>
      </c>
      <c r="P275" s="1582">
        <f t="shared" si="101"/>
        <v>0</v>
      </c>
      <c r="Q275" s="1582">
        <f t="shared" si="101"/>
        <v>0</v>
      </c>
      <c r="R275" s="1582">
        <f t="shared" si="101"/>
        <v>0</v>
      </c>
      <c r="S275" s="1582">
        <f t="shared" si="101"/>
        <v>0</v>
      </c>
      <c r="T275" s="1582">
        <f t="shared" si="101"/>
        <v>0</v>
      </c>
      <c r="U275" s="1582">
        <f t="shared" si="101"/>
        <v>0</v>
      </c>
      <c r="V275" s="1582">
        <f t="shared" si="101"/>
        <v>0</v>
      </c>
      <c r="W275" s="1582">
        <f t="shared" si="101"/>
        <v>0</v>
      </c>
      <c r="X275" s="1582">
        <f t="shared" si="101"/>
        <v>0</v>
      </c>
      <c r="Y275" s="1582">
        <f t="shared" si="101"/>
        <v>0</v>
      </c>
      <c r="Z275" s="1582">
        <f t="shared" si="101"/>
        <v>0</v>
      </c>
      <c r="AA275" s="1582">
        <f t="shared" si="101"/>
        <v>0</v>
      </c>
      <c r="AB275" s="1582">
        <f t="shared" si="101"/>
        <v>0</v>
      </c>
      <c r="AC275" s="1582">
        <f t="shared" si="101"/>
        <v>0</v>
      </c>
      <c r="AD275" s="1582">
        <f t="shared" si="101"/>
        <v>0</v>
      </c>
      <c r="AE275" s="1582">
        <f t="shared" si="101"/>
        <v>0</v>
      </c>
      <c r="AF275" s="1582">
        <f t="shared" si="101"/>
        <v>0</v>
      </c>
      <c r="AG275" s="1582">
        <f t="shared" si="101"/>
        <v>0</v>
      </c>
      <c r="AH275" s="1582">
        <f t="shared" si="101"/>
        <v>0</v>
      </c>
      <c r="AI275" s="1582">
        <f t="shared" si="101"/>
        <v>0</v>
      </c>
      <c r="AJ275" s="1582">
        <f t="shared" si="101"/>
        <v>0</v>
      </c>
      <c r="AK275" s="1582">
        <f t="shared" si="101"/>
        <v>0</v>
      </c>
      <c r="AL275" s="1582">
        <f t="shared" si="101"/>
        <v>0</v>
      </c>
      <c r="AM275" s="1582">
        <f t="shared" si="101"/>
        <v>0</v>
      </c>
      <c r="AN275" s="1582">
        <f t="shared" si="101"/>
        <v>0</v>
      </c>
      <c r="AO275" s="1582">
        <f t="shared" si="101"/>
        <v>0</v>
      </c>
      <c r="AP275" s="1582">
        <f t="shared" si="101"/>
        <v>0</v>
      </c>
      <c r="AQ275" s="1582">
        <f t="shared" si="101"/>
        <v>0</v>
      </c>
      <c r="AR275" s="1582">
        <f t="shared" si="101"/>
        <v>0</v>
      </c>
      <c r="AS275" s="1582">
        <f t="shared" si="101"/>
        <v>0</v>
      </c>
      <c r="AT275" s="1582">
        <f t="shared" si="101"/>
        <v>0</v>
      </c>
      <c r="AU275" s="1582">
        <f t="shared" si="101"/>
        <v>0</v>
      </c>
      <c r="AV275" s="1582">
        <f t="shared" si="101"/>
        <v>0</v>
      </c>
      <c r="AW275" s="1582">
        <f t="shared" si="101"/>
        <v>0</v>
      </c>
      <c r="AX275" s="1582">
        <f t="shared" si="101"/>
        <v>0</v>
      </c>
      <c r="AY275" s="1582">
        <f t="shared" si="101"/>
        <v>0</v>
      </c>
      <c r="AZ275" s="1582">
        <f t="shared" si="101"/>
        <v>0</v>
      </c>
      <c r="BA275" s="1582">
        <f t="shared" si="101"/>
        <v>0</v>
      </c>
      <c r="BB275" s="1582">
        <f t="shared" si="101"/>
        <v>0</v>
      </c>
      <c r="BC275" s="1582">
        <f t="shared" si="101"/>
        <v>0</v>
      </c>
      <c r="BD275" s="1582">
        <f t="shared" si="101"/>
        <v>0</v>
      </c>
      <c r="BE275" s="1583">
        <f t="shared" si="101"/>
        <v>0</v>
      </c>
      <c r="BF275" s="695"/>
    </row>
    <row r="276" spans="1:58" x14ac:dyDescent="0.45">
      <c r="A276" s="695"/>
      <c r="B276" s="974" t="str">
        <f>B267</f>
        <v xml:space="preserve">Public Guarantee Fees </v>
      </c>
      <c r="C276" s="975"/>
      <c r="D276" s="975"/>
      <c r="E276" s="978"/>
      <c r="F276" s="978" t="s">
        <v>748</v>
      </c>
      <c r="G276" s="1582"/>
      <c r="H276" s="1582">
        <f>-H267</f>
        <v>0</v>
      </c>
      <c r="I276" s="1582">
        <f t="shared" ref="I276:BE276" si="102">-I267</f>
        <v>0</v>
      </c>
      <c r="J276" s="1582">
        <f t="shared" si="102"/>
        <v>0</v>
      </c>
      <c r="K276" s="1582">
        <f t="shared" si="102"/>
        <v>0</v>
      </c>
      <c r="L276" s="1582">
        <f t="shared" si="102"/>
        <v>0</v>
      </c>
      <c r="M276" s="1582">
        <f t="shared" si="102"/>
        <v>0</v>
      </c>
      <c r="N276" s="1582">
        <f t="shared" si="102"/>
        <v>0</v>
      </c>
      <c r="O276" s="1582">
        <f t="shared" si="102"/>
        <v>0</v>
      </c>
      <c r="P276" s="1582">
        <f t="shared" si="102"/>
        <v>0</v>
      </c>
      <c r="Q276" s="1582">
        <f t="shared" si="102"/>
        <v>0</v>
      </c>
      <c r="R276" s="1582">
        <f t="shared" si="102"/>
        <v>0</v>
      </c>
      <c r="S276" s="1582">
        <f t="shared" si="102"/>
        <v>0</v>
      </c>
      <c r="T276" s="1582">
        <f t="shared" si="102"/>
        <v>0</v>
      </c>
      <c r="U276" s="1582">
        <f t="shared" si="102"/>
        <v>0</v>
      </c>
      <c r="V276" s="1582">
        <f t="shared" si="102"/>
        <v>0</v>
      </c>
      <c r="W276" s="1582">
        <f t="shared" si="102"/>
        <v>0</v>
      </c>
      <c r="X276" s="1582">
        <f t="shared" si="102"/>
        <v>0</v>
      </c>
      <c r="Y276" s="1582">
        <f t="shared" si="102"/>
        <v>0</v>
      </c>
      <c r="Z276" s="1582">
        <f t="shared" si="102"/>
        <v>0</v>
      </c>
      <c r="AA276" s="1582">
        <f t="shared" si="102"/>
        <v>0</v>
      </c>
      <c r="AB276" s="1582">
        <f t="shared" si="102"/>
        <v>0</v>
      </c>
      <c r="AC276" s="1582">
        <f t="shared" si="102"/>
        <v>0</v>
      </c>
      <c r="AD276" s="1582">
        <f t="shared" si="102"/>
        <v>0</v>
      </c>
      <c r="AE276" s="1582">
        <f t="shared" si="102"/>
        <v>0</v>
      </c>
      <c r="AF276" s="1582">
        <f t="shared" si="102"/>
        <v>0</v>
      </c>
      <c r="AG276" s="1582">
        <f t="shared" si="102"/>
        <v>0</v>
      </c>
      <c r="AH276" s="1582">
        <f t="shared" si="102"/>
        <v>0</v>
      </c>
      <c r="AI276" s="1582">
        <f t="shared" si="102"/>
        <v>0</v>
      </c>
      <c r="AJ276" s="1582">
        <f t="shared" si="102"/>
        <v>0</v>
      </c>
      <c r="AK276" s="1582">
        <f t="shared" si="102"/>
        <v>0</v>
      </c>
      <c r="AL276" s="1582">
        <f t="shared" si="102"/>
        <v>0</v>
      </c>
      <c r="AM276" s="1582">
        <f t="shared" si="102"/>
        <v>0</v>
      </c>
      <c r="AN276" s="1582">
        <f t="shared" si="102"/>
        <v>0</v>
      </c>
      <c r="AO276" s="1582">
        <f t="shared" si="102"/>
        <v>0</v>
      </c>
      <c r="AP276" s="1582">
        <f t="shared" si="102"/>
        <v>0</v>
      </c>
      <c r="AQ276" s="1582">
        <f t="shared" si="102"/>
        <v>0</v>
      </c>
      <c r="AR276" s="1582">
        <f t="shared" si="102"/>
        <v>0</v>
      </c>
      <c r="AS276" s="1582">
        <f t="shared" si="102"/>
        <v>0</v>
      </c>
      <c r="AT276" s="1582">
        <f t="shared" si="102"/>
        <v>0</v>
      </c>
      <c r="AU276" s="1582">
        <f t="shared" si="102"/>
        <v>0</v>
      </c>
      <c r="AV276" s="1582">
        <f t="shared" si="102"/>
        <v>0</v>
      </c>
      <c r="AW276" s="1582">
        <f t="shared" si="102"/>
        <v>0</v>
      </c>
      <c r="AX276" s="1582">
        <f t="shared" si="102"/>
        <v>0</v>
      </c>
      <c r="AY276" s="1582">
        <f t="shared" si="102"/>
        <v>0</v>
      </c>
      <c r="AZ276" s="1582">
        <f t="shared" si="102"/>
        <v>0</v>
      </c>
      <c r="BA276" s="1582">
        <f t="shared" si="102"/>
        <v>0</v>
      </c>
      <c r="BB276" s="1582">
        <f t="shared" si="102"/>
        <v>0</v>
      </c>
      <c r="BC276" s="1582">
        <f t="shared" si="102"/>
        <v>0</v>
      </c>
      <c r="BD276" s="1582">
        <f t="shared" si="102"/>
        <v>0</v>
      </c>
      <c r="BE276" s="1583">
        <f t="shared" si="102"/>
        <v>0</v>
      </c>
      <c r="BF276" s="695"/>
    </row>
    <row r="277" spans="1:58" x14ac:dyDescent="0.45">
      <c r="A277" s="695"/>
      <c r="B277" s="974" t="str">
        <f>B268</f>
        <v>Political Risk Insurance - Fees &amp; Annual Premium Payments</v>
      </c>
      <c r="C277" s="975"/>
      <c r="D277" s="975"/>
      <c r="E277" s="978"/>
      <c r="F277" s="978" t="s">
        <v>748</v>
      </c>
      <c r="G277" s="1582"/>
      <c r="H277" s="1582">
        <f>-H268</f>
        <v>0</v>
      </c>
      <c r="I277" s="1582">
        <f t="shared" ref="I277:BE277" si="103">-I268</f>
        <v>0</v>
      </c>
      <c r="J277" s="1582">
        <f t="shared" si="103"/>
        <v>0</v>
      </c>
      <c r="K277" s="1582">
        <f t="shared" si="103"/>
        <v>0</v>
      </c>
      <c r="L277" s="1582">
        <f t="shared" si="103"/>
        <v>0</v>
      </c>
      <c r="M277" s="1582">
        <f t="shared" si="103"/>
        <v>0</v>
      </c>
      <c r="N277" s="1582">
        <f t="shared" si="103"/>
        <v>0</v>
      </c>
      <c r="O277" s="1582">
        <f t="shared" si="103"/>
        <v>0</v>
      </c>
      <c r="P277" s="1582">
        <f t="shared" si="103"/>
        <v>0</v>
      </c>
      <c r="Q277" s="1582">
        <f t="shared" si="103"/>
        <v>0</v>
      </c>
      <c r="R277" s="1582">
        <f t="shared" si="103"/>
        <v>0</v>
      </c>
      <c r="S277" s="1582">
        <f t="shared" si="103"/>
        <v>0</v>
      </c>
      <c r="T277" s="1582">
        <f t="shared" si="103"/>
        <v>0</v>
      </c>
      <c r="U277" s="1582">
        <f t="shared" si="103"/>
        <v>0</v>
      </c>
      <c r="V277" s="1582">
        <f t="shared" si="103"/>
        <v>0</v>
      </c>
      <c r="W277" s="1582">
        <f t="shared" si="103"/>
        <v>0</v>
      </c>
      <c r="X277" s="1582">
        <f t="shared" si="103"/>
        <v>0</v>
      </c>
      <c r="Y277" s="1582">
        <f t="shared" si="103"/>
        <v>0</v>
      </c>
      <c r="Z277" s="1582">
        <f t="shared" si="103"/>
        <v>0</v>
      </c>
      <c r="AA277" s="1582">
        <f t="shared" si="103"/>
        <v>0</v>
      </c>
      <c r="AB277" s="1582">
        <f t="shared" si="103"/>
        <v>0</v>
      </c>
      <c r="AC277" s="1582">
        <f t="shared" si="103"/>
        <v>0</v>
      </c>
      <c r="AD277" s="1582">
        <f t="shared" si="103"/>
        <v>0</v>
      </c>
      <c r="AE277" s="1582">
        <f t="shared" si="103"/>
        <v>0</v>
      </c>
      <c r="AF277" s="1582">
        <f t="shared" si="103"/>
        <v>0</v>
      </c>
      <c r="AG277" s="1582">
        <f t="shared" si="103"/>
        <v>0</v>
      </c>
      <c r="AH277" s="1582">
        <f t="shared" si="103"/>
        <v>0</v>
      </c>
      <c r="AI277" s="1582">
        <f t="shared" si="103"/>
        <v>0</v>
      </c>
      <c r="AJ277" s="1582">
        <f t="shared" si="103"/>
        <v>0</v>
      </c>
      <c r="AK277" s="1582">
        <f t="shared" si="103"/>
        <v>0</v>
      </c>
      <c r="AL277" s="1582">
        <f t="shared" si="103"/>
        <v>0</v>
      </c>
      <c r="AM277" s="1582">
        <f t="shared" si="103"/>
        <v>0</v>
      </c>
      <c r="AN277" s="1582">
        <f t="shared" si="103"/>
        <v>0</v>
      </c>
      <c r="AO277" s="1582">
        <f t="shared" si="103"/>
        <v>0</v>
      </c>
      <c r="AP277" s="1582">
        <f t="shared" si="103"/>
        <v>0</v>
      </c>
      <c r="AQ277" s="1582">
        <f t="shared" si="103"/>
        <v>0</v>
      </c>
      <c r="AR277" s="1582">
        <f t="shared" si="103"/>
        <v>0</v>
      </c>
      <c r="AS277" s="1582">
        <f t="shared" si="103"/>
        <v>0</v>
      </c>
      <c r="AT277" s="1582">
        <f t="shared" si="103"/>
        <v>0</v>
      </c>
      <c r="AU277" s="1582">
        <f t="shared" si="103"/>
        <v>0</v>
      </c>
      <c r="AV277" s="1582">
        <f t="shared" si="103"/>
        <v>0</v>
      </c>
      <c r="AW277" s="1582">
        <f t="shared" si="103"/>
        <v>0</v>
      </c>
      <c r="AX277" s="1582">
        <f t="shared" si="103"/>
        <v>0</v>
      </c>
      <c r="AY277" s="1582">
        <f t="shared" si="103"/>
        <v>0</v>
      </c>
      <c r="AZ277" s="1582">
        <f t="shared" si="103"/>
        <v>0</v>
      </c>
      <c r="BA277" s="1582">
        <f t="shared" si="103"/>
        <v>0</v>
      </c>
      <c r="BB277" s="1582">
        <f t="shared" si="103"/>
        <v>0</v>
      </c>
      <c r="BC277" s="1582">
        <f t="shared" si="103"/>
        <v>0</v>
      </c>
      <c r="BD277" s="1582">
        <f t="shared" si="103"/>
        <v>0</v>
      </c>
      <c r="BE277" s="1583">
        <f t="shared" si="103"/>
        <v>0</v>
      </c>
      <c r="BF277" s="695"/>
    </row>
    <row r="278" spans="1:58" x14ac:dyDescent="0.45">
      <c r="A278" s="695"/>
      <c r="B278" s="974" t="s">
        <v>90</v>
      </c>
      <c r="C278" s="975"/>
      <c r="D278" s="975"/>
      <c r="E278" s="978"/>
      <c r="F278" s="978" t="s">
        <v>748</v>
      </c>
      <c r="G278" s="1582"/>
      <c r="H278" s="1582">
        <f>-(H689+H710+H731)</f>
        <v>0</v>
      </c>
      <c r="I278" s="1582">
        <f t="shared" ref="I278:BE278" si="104">-(I689+I710+I731)</f>
        <v>0</v>
      </c>
      <c r="J278" s="1582">
        <f t="shared" si="104"/>
        <v>0</v>
      </c>
      <c r="K278" s="1582">
        <f t="shared" si="104"/>
        <v>0</v>
      </c>
      <c r="L278" s="1582">
        <f t="shared" si="104"/>
        <v>0</v>
      </c>
      <c r="M278" s="1582">
        <f t="shared" si="104"/>
        <v>0</v>
      </c>
      <c r="N278" s="1582">
        <f t="shared" si="104"/>
        <v>0</v>
      </c>
      <c r="O278" s="1582">
        <f t="shared" si="104"/>
        <v>0</v>
      </c>
      <c r="P278" s="1582">
        <f t="shared" si="104"/>
        <v>0</v>
      </c>
      <c r="Q278" s="1582">
        <f t="shared" si="104"/>
        <v>0</v>
      </c>
      <c r="R278" s="1582">
        <f t="shared" si="104"/>
        <v>0</v>
      </c>
      <c r="S278" s="1582">
        <f t="shared" si="104"/>
        <v>0</v>
      </c>
      <c r="T278" s="1582">
        <f t="shared" si="104"/>
        <v>0</v>
      </c>
      <c r="U278" s="1582">
        <f t="shared" si="104"/>
        <v>0</v>
      </c>
      <c r="V278" s="1582">
        <f t="shared" si="104"/>
        <v>0</v>
      </c>
      <c r="W278" s="1582">
        <f t="shared" si="104"/>
        <v>0</v>
      </c>
      <c r="X278" s="1582">
        <f t="shared" si="104"/>
        <v>0</v>
      </c>
      <c r="Y278" s="1582">
        <f t="shared" si="104"/>
        <v>0</v>
      </c>
      <c r="Z278" s="1582">
        <f t="shared" si="104"/>
        <v>0</v>
      </c>
      <c r="AA278" s="1582">
        <f t="shared" si="104"/>
        <v>0</v>
      </c>
      <c r="AB278" s="1582">
        <f t="shared" si="104"/>
        <v>0</v>
      </c>
      <c r="AC278" s="1582">
        <f t="shared" si="104"/>
        <v>0</v>
      </c>
      <c r="AD278" s="1582">
        <f t="shared" si="104"/>
        <v>0</v>
      </c>
      <c r="AE278" s="1582">
        <f t="shared" si="104"/>
        <v>0</v>
      </c>
      <c r="AF278" s="1582">
        <f t="shared" si="104"/>
        <v>0</v>
      </c>
      <c r="AG278" s="1582">
        <f t="shared" si="104"/>
        <v>0</v>
      </c>
      <c r="AH278" s="1582">
        <f t="shared" si="104"/>
        <v>0</v>
      </c>
      <c r="AI278" s="1582">
        <f t="shared" si="104"/>
        <v>0</v>
      </c>
      <c r="AJ278" s="1582">
        <f t="shared" si="104"/>
        <v>0</v>
      </c>
      <c r="AK278" s="1582">
        <f t="shared" si="104"/>
        <v>0</v>
      </c>
      <c r="AL278" s="1582">
        <f t="shared" si="104"/>
        <v>0</v>
      </c>
      <c r="AM278" s="1582">
        <f t="shared" si="104"/>
        <v>0</v>
      </c>
      <c r="AN278" s="1582">
        <f t="shared" si="104"/>
        <v>0</v>
      </c>
      <c r="AO278" s="1582">
        <f t="shared" si="104"/>
        <v>0</v>
      </c>
      <c r="AP278" s="1582">
        <f t="shared" si="104"/>
        <v>0</v>
      </c>
      <c r="AQ278" s="1582">
        <f t="shared" si="104"/>
        <v>0</v>
      </c>
      <c r="AR278" s="1582">
        <f t="shared" si="104"/>
        <v>0</v>
      </c>
      <c r="AS278" s="1582">
        <f t="shared" si="104"/>
        <v>0</v>
      </c>
      <c r="AT278" s="1582">
        <f t="shared" si="104"/>
        <v>0</v>
      </c>
      <c r="AU278" s="1582">
        <f t="shared" si="104"/>
        <v>0</v>
      </c>
      <c r="AV278" s="1582">
        <f t="shared" si="104"/>
        <v>0</v>
      </c>
      <c r="AW278" s="1582">
        <f t="shared" si="104"/>
        <v>0</v>
      </c>
      <c r="AX278" s="1582">
        <f t="shared" si="104"/>
        <v>0</v>
      </c>
      <c r="AY278" s="1582">
        <f t="shared" si="104"/>
        <v>0</v>
      </c>
      <c r="AZ278" s="1582">
        <f t="shared" si="104"/>
        <v>0</v>
      </c>
      <c r="BA278" s="1582">
        <f t="shared" si="104"/>
        <v>0</v>
      </c>
      <c r="BB278" s="1582">
        <f t="shared" si="104"/>
        <v>0</v>
      </c>
      <c r="BC278" s="1582">
        <f t="shared" si="104"/>
        <v>0</v>
      </c>
      <c r="BD278" s="1582">
        <f t="shared" si="104"/>
        <v>0</v>
      </c>
      <c r="BE278" s="1583">
        <f t="shared" si="104"/>
        <v>0</v>
      </c>
      <c r="BF278" s="695"/>
    </row>
    <row r="279" spans="1:58" x14ac:dyDescent="0.45">
      <c r="A279" s="695"/>
      <c r="B279" s="989" t="s">
        <v>91</v>
      </c>
      <c r="C279" s="982"/>
      <c r="D279" s="982"/>
      <c r="E279" s="983"/>
      <c r="F279" s="983" t="s">
        <v>748</v>
      </c>
      <c r="G279" s="1584"/>
      <c r="H279" s="1584">
        <f>(H252+H259+H261+H266+H267+H268+H263+H264+H265)*'II. Inputs, Baseline Energy Mix'!$S$23</f>
        <v>0</v>
      </c>
      <c r="I279" s="1584">
        <f>(I252+I259+I261+I266+I267+I268+I263+I264+I265)*'II. Inputs, Baseline Energy Mix'!$S$23</f>
        <v>0</v>
      </c>
      <c r="J279" s="1584">
        <f>(J252+J259+J261+J266+J267+J268+J263+J264+J265)*'II. Inputs, Baseline Energy Mix'!$S$23</f>
        <v>0</v>
      </c>
      <c r="K279" s="1584">
        <f>(K252+K259+K261+K266+K267+K268+K263+K264+K265)*'II. Inputs, Baseline Energy Mix'!$S$23</f>
        <v>0</v>
      </c>
      <c r="L279" s="1584">
        <f>(L252+L259+L261+L266+L267+L268+L263+L264+L265)*'II. Inputs, Baseline Energy Mix'!$S$23</f>
        <v>0</v>
      </c>
      <c r="M279" s="1584">
        <f>(M252+M259+M261+M266+M267+M268+M263+M264+M265)*'II. Inputs, Baseline Energy Mix'!$S$23</f>
        <v>0</v>
      </c>
      <c r="N279" s="1584">
        <f>(N252+N259+N261+N266+N267+N268+N263+N264+N265)*'II. Inputs, Baseline Energy Mix'!$S$23</f>
        <v>0</v>
      </c>
      <c r="O279" s="1584">
        <f>(O252+O259+O261+O266+O267+O268+O263+O264+O265)*'II. Inputs, Baseline Energy Mix'!$S$23</f>
        <v>0</v>
      </c>
      <c r="P279" s="1584">
        <f>(P252+P259+P261+P266+P267+P268+P263+P264+P265)*'II. Inputs, Baseline Energy Mix'!$S$23</f>
        <v>0</v>
      </c>
      <c r="Q279" s="1584">
        <f>(Q252+Q259+Q261+Q266+Q267+Q268+Q263+Q264+Q265)*'II. Inputs, Baseline Energy Mix'!$S$23</f>
        <v>0</v>
      </c>
      <c r="R279" s="1584">
        <f>(R252+R259+R261+R266+R267+R268+R263+R264+R265)*'II. Inputs, Baseline Energy Mix'!$S$23</f>
        <v>0</v>
      </c>
      <c r="S279" s="1584">
        <f>(S252+S259+S261+S266+S267+S268+S263+S264+S265)*'II. Inputs, Baseline Energy Mix'!$S$23</f>
        <v>0</v>
      </c>
      <c r="T279" s="1584">
        <f>(T252+T259+T261+T266+T267+T268+T263+T264+T265)*'II. Inputs, Baseline Energy Mix'!$S$23</f>
        <v>0</v>
      </c>
      <c r="U279" s="1584">
        <f>(U252+U259+U261+U266+U267+U268+U263+U264+U265)*'II. Inputs, Baseline Energy Mix'!$S$23</f>
        <v>0</v>
      </c>
      <c r="V279" s="1584">
        <f>(V252+V259+V261+V266+V267+V268+V263+V264+V265)*'II. Inputs, Baseline Energy Mix'!$S$23</f>
        <v>0</v>
      </c>
      <c r="W279" s="1584">
        <f>(W252+W259+W261+W266+W267+W268+W263+W264+W265)*'II. Inputs, Baseline Energy Mix'!$S$23</f>
        <v>0</v>
      </c>
      <c r="X279" s="1584">
        <f>(X252+X259+X261+X266+X267+X268+X263+X264+X265)*'II. Inputs, Baseline Energy Mix'!$S$23</f>
        <v>0</v>
      </c>
      <c r="Y279" s="1584">
        <f>(Y252+Y259+Y261+Y266+Y267+Y268+Y263+Y264+Y265)*'II. Inputs, Baseline Energy Mix'!$S$23</f>
        <v>0</v>
      </c>
      <c r="Z279" s="1584">
        <f>(Z252+Z259+Z261+Z266+Z267+Z268+Z263+Z264+Z265)*'II. Inputs, Baseline Energy Mix'!$S$23</f>
        <v>0</v>
      </c>
      <c r="AA279" s="1584">
        <f>(AA252+AA259+AA261+AA266+AA267+AA268+AA263+AA264+AA265)*'II. Inputs, Baseline Energy Mix'!$S$23</f>
        <v>0</v>
      </c>
      <c r="AB279" s="1584">
        <f>(AB252+AB259+AB261+AB266+AB267+AB268+AB263+AB264+AB265)*'II. Inputs, Baseline Energy Mix'!$S$23</f>
        <v>0</v>
      </c>
      <c r="AC279" s="1584">
        <f>(AC252+AC259+AC261+AC266+AC267+AC268+AC263+AC264+AC265)*'II. Inputs, Baseline Energy Mix'!$S$23</f>
        <v>0</v>
      </c>
      <c r="AD279" s="1584">
        <f>(AD252+AD259+AD261+AD266+AD267+AD268+AD263+AD264+AD265)*'II. Inputs, Baseline Energy Mix'!$S$23</f>
        <v>0</v>
      </c>
      <c r="AE279" s="1584">
        <f>(AE252+AE259+AE261+AE266+AE267+AE268+AE263+AE264+AE265)*'II. Inputs, Baseline Energy Mix'!$S$23</f>
        <v>0</v>
      </c>
      <c r="AF279" s="1584">
        <f>(AF252+AF259+AF261+AF266+AF267+AF268+AF263+AF264+AF265)*'II. Inputs, Baseline Energy Mix'!$S$23</f>
        <v>0</v>
      </c>
      <c r="AG279" s="1584">
        <f>(AG252+AG259+AG261+AG266+AG267+AG268+AG263+AG264+AG265)*'II. Inputs, Baseline Energy Mix'!$S$23</f>
        <v>0</v>
      </c>
      <c r="AH279" s="1584">
        <f>(AH252+AH259+AH261+AH266+AH267+AH268+AH263+AH264+AH265)*'II. Inputs, Baseline Energy Mix'!$S$23</f>
        <v>0</v>
      </c>
      <c r="AI279" s="1584">
        <f>(AI252+AI259+AI261+AI266+AI267+AI268+AI263+AI264+AI265)*'II. Inputs, Baseline Energy Mix'!$S$23</f>
        <v>0</v>
      </c>
      <c r="AJ279" s="1584">
        <f>(AJ252+AJ259+AJ261+AJ266+AJ267+AJ268+AJ263+AJ264+AJ265)*'II. Inputs, Baseline Energy Mix'!$S$23</f>
        <v>0</v>
      </c>
      <c r="AK279" s="1584">
        <f>(AK252+AK259+AK261+AK266+AK267+AK268+AK263+AK264+AK265)*'II. Inputs, Baseline Energy Mix'!$S$23</f>
        <v>0</v>
      </c>
      <c r="AL279" s="1584">
        <f>(AL252+AL259+AL261+AL266+AL267+AL268+AL263+AL264+AL265)*'II. Inputs, Baseline Energy Mix'!$S$23</f>
        <v>0</v>
      </c>
      <c r="AM279" s="1584">
        <f>(AM252+AM259+AM261+AM266+AM267+AM268+AM263+AM264+AM265)*'II. Inputs, Baseline Energy Mix'!$S$23</f>
        <v>0</v>
      </c>
      <c r="AN279" s="1584">
        <f>(AN252+AN259+AN261+AN266+AN267+AN268+AN263+AN264+AN265)*'II. Inputs, Baseline Energy Mix'!$S$23</f>
        <v>0</v>
      </c>
      <c r="AO279" s="1584">
        <f>(AO252+AO259+AO261+AO266+AO267+AO268+AO263+AO264+AO265)*'II. Inputs, Baseline Energy Mix'!$S$23</f>
        <v>0</v>
      </c>
      <c r="AP279" s="1584">
        <f>(AP252+AP259+AP261+AP266+AP267+AP268+AP263+AP264+AP265)*'II. Inputs, Baseline Energy Mix'!$S$23</f>
        <v>0</v>
      </c>
      <c r="AQ279" s="1584">
        <f>(AQ252+AQ259+AQ261+AQ266+AQ267+AQ268+AQ263+AQ264+AQ265)*'II. Inputs, Baseline Energy Mix'!$S$23</f>
        <v>0</v>
      </c>
      <c r="AR279" s="1584">
        <f>(AR252+AR259+AR261+AR266+AR267+AR268+AR263+AR264+AR265)*'II. Inputs, Baseline Energy Mix'!$S$23</f>
        <v>0</v>
      </c>
      <c r="AS279" s="1584">
        <f>(AS252+AS259+AS261+AS266+AS267+AS268+AS263+AS264+AS265)*'II. Inputs, Baseline Energy Mix'!$S$23</f>
        <v>0</v>
      </c>
      <c r="AT279" s="1584">
        <f>(AT252+AT259+AT261+AT266+AT267+AT268+AT263+AT264+AT265)*'II. Inputs, Baseline Energy Mix'!$S$23</f>
        <v>0</v>
      </c>
      <c r="AU279" s="1584">
        <f>(AU252+AU259+AU261+AU266+AU267+AU268+AU263+AU264+AU265)*'II. Inputs, Baseline Energy Mix'!$S$23</f>
        <v>0</v>
      </c>
      <c r="AV279" s="1584">
        <f>(AV252+AV259+AV261+AV266+AV267+AV268+AV263+AV264+AV265)*'II. Inputs, Baseline Energy Mix'!$S$23</f>
        <v>0</v>
      </c>
      <c r="AW279" s="1584">
        <f>(AW252+AW259+AW261+AW266+AW267+AW268+AW263+AW264+AW265)*'II. Inputs, Baseline Energy Mix'!$S$23</f>
        <v>0</v>
      </c>
      <c r="AX279" s="1584">
        <f>(AX252+AX259+AX261+AX266+AX267+AX268+AX263+AX264+AX265)*'II. Inputs, Baseline Energy Mix'!$S$23</f>
        <v>0</v>
      </c>
      <c r="AY279" s="1584">
        <f>(AY252+AY259+AY261+AY266+AY267+AY268+AY263+AY264+AY265)*'II. Inputs, Baseline Energy Mix'!$S$23</f>
        <v>0</v>
      </c>
      <c r="AZ279" s="1584">
        <f>(AZ252+AZ259+AZ261+AZ266+AZ267+AZ268+AZ263+AZ264+AZ265)*'II. Inputs, Baseline Energy Mix'!$S$23</f>
        <v>0</v>
      </c>
      <c r="BA279" s="1584">
        <f>(BA252+BA259+BA261+BA266+BA267+BA268+BA263+BA264+BA265)*'II. Inputs, Baseline Energy Mix'!$S$23</f>
        <v>0</v>
      </c>
      <c r="BB279" s="1584">
        <f>(BB252+BB259+BB261+BB266+BB267+BB268+BB263+BB264+BB265)*'II. Inputs, Baseline Energy Mix'!$S$23</f>
        <v>0</v>
      </c>
      <c r="BC279" s="1584">
        <f>(BC252+BC259+BC261+BC266+BC267+BC268+BC263+BC264+BC265)*'II. Inputs, Baseline Energy Mix'!$S$23</f>
        <v>0</v>
      </c>
      <c r="BD279" s="1584">
        <f>(BD252+BD259+BD261+BD266+BD267+BD268+BD263+BD264+BD265)*'II. Inputs, Baseline Energy Mix'!$S$23</f>
        <v>0</v>
      </c>
      <c r="BE279" s="1585">
        <f>(BE252+BE259+BE261+BE266+BE267+BE268+BE263+BE264+BE265)*'II. Inputs, Baseline Energy Mix'!$S$23</f>
        <v>0</v>
      </c>
      <c r="BF279" s="695"/>
    </row>
    <row r="280" spans="1:58" x14ac:dyDescent="0.45">
      <c r="A280" s="695"/>
      <c r="B280" s="974" t="s">
        <v>92</v>
      </c>
      <c r="C280" s="975"/>
      <c r="D280" s="975"/>
      <c r="E280" s="978"/>
      <c r="F280" s="978" t="s">
        <v>748</v>
      </c>
      <c r="G280" s="1582">
        <f>-IF('II. Inputs, Baseline Energy Mix'!$S$19&gt;0, 'II. Inputs, Baseline Energy Mix'!$S$20*'II. Inputs, Baseline Energy Mix'!$S$21*'II. Inputs, Baseline Energy Mix'!$S$35,0)</f>
        <v>0</v>
      </c>
      <c r="H280" s="1582">
        <f t="shared" ref="H280:AM280" si="105">SUM(H273:H279)</f>
        <v>0</v>
      </c>
      <c r="I280" s="1582">
        <f t="shared" si="105"/>
        <v>0</v>
      </c>
      <c r="J280" s="1582">
        <f t="shared" si="105"/>
        <v>0</v>
      </c>
      <c r="K280" s="1582">
        <f t="shared" si="105"/>
        <v>0</v>
      </c>
      <c r="L280" s="1582">
        <f t="shared" si="105"/>
        <v>0</v>
      </c>
      <c r="M280" s="1582">
        <f t="shared" si="105"/>
        <v>0</v>
      </c>
      <c r="N280" s="1582">
        <f t="shared" si="105"/>
        <v>0</v>
      </c>
      <c r="O280" s="1582">
        <f t="shared" si="105"/>
        <v>0</v>
      </c>
      <c r="P280" s="1582">
        <f t="shared" si="105"/>
        <v>0</v>
      </c>
      <c r="Q280" s="1582">
        <f t="shared" si="105"/>
        <v>0</v>
      </c>
      <c r="R280" s="1582">
        <f t="shared" si="105"/>
        <v>0</v>
      </c>
      <c r="S280" s="1582">
        <f t="shared" si="105"/>
        <v>0</v>
      </c>
      <c r="T280" s="1582">
        <f t="shared" si="105"/>
        <v>0</v>
      </c>
      <c r="U280" s="1582">
        <f t="shared" si="105"/>
        <v>0</v>
      </c>
      <c r="V280" s="1582">
        <f t="shared" si="105"/>
        <v>0</v>
      </c>
      <c r="W280" s="1582">
        <f t="shared" si="105"/>
        <v>0</v>
      </c>
      <c r="X280" s="1582">
        <f t="shared" si="105"/>
        <v>0</v>
      </c>
      <c r="Y280" s="1582">
        <f t="shared" si="105"/>
        <v>0</v>
      </c>
      <c r="Z280" s="1582">
        <f t="shared" si="105"/>
        <v>0</v>
      </c>
      <c r="AA280" s="1582">
        <f t="shared" si="105"/>
        <v>0</v>
      </c>
      <c r="AB280" s="1582">
        <f t="shared" si="105"/>
        <v>0</v>
      </c>
      <c r="AC280" s="1582">
        <f t="shared" si="105"/>
        <v>0</v>
      </c>
      <c r="AD280" s="1582">
        <f t="shared" si="105"/>
        <v>0</v>
      </c>
      <c r="AE280" s="1582">
        <f t="shared" si="105"/>
        <v>0</v>
      </c>
      <c r="AF280" s="1582">
        <f t="shared" si="105"/>
        <v>0</v>
      </c>
      <c r="AG280" s="1582">
        <f t="shared" si="105"/>
        <v>0</v>
      </c>
      <c r="AH280" s="1582">
        <f t="shared" si="105"/>
        <v>0</v>
      </c>
      <c r="AI280" s="1582">
        <f t="shared" si="105"/>
        <v>0</v>
      </c>
      <c r="AJ280" s="1582">
        <f t="shared" si="105"/>
        <v>0</v>
      </c>
      <c r="AK280" s="1582">
        <f t="shared" si="105"/>
        <v>0</v>
      </c>
      <c r="AL280" s="1582">
        <f t="shared" si="105"/>
        <v>0</v>
      </c>
      <c r="AM280" s="1582">
        <f t="shared" si="105"/>
        <v>0</v>
      </c>
      <c r="AN280" s="1582">
        <f t="shared" ref="AN280:BE280" si="106">SUM(AN273:AN279)</f>
        <v>0</v>
      </c>
      <c r="AO280" s="1582">
        <f t="shared" si="106"/>
        <v>0</v>
      </c>
      <c r="AP280" s="1582">
        <f t="shared" si="106"/>
        <v>0</v>
      </c>
      <c r="AQ280" s="1582">
        <f t="shared" si="106"/>
        <v>0</v>
      </c>
      <c r="AR280" s="1582">
        <f t="shared" si="106"/>
        <v>0</v>
      </c>
      <c r="AS280" s="1582">
        <f t="shared" si="106"/>
        <v>0</v>
      </c>
      <c r="AT280" s="1582">
        <f t="shared" si="106"/>
        <v>0</v>
      </c>
      <c r="AU280" s="1582">
        <f t="shared" si="106"/>
        <v>0</v>
      </c>
      <c r="AV280" s="1582">
        <f t="shared" si="106"/>
        <v>0</v>
      </c>
      <c r="AW280" s="1582">
        <f t="shared" si="106"/>
        <v>0</v>
      </c>
      <c r="AX280" s="1582">
        <f t="shared" si="106"/>
        <v>0</v>
      </c>
      <c r="AY280" s="1582">
        <f t="shared" si="106"/>
        <v>0</v>
      </c>
      <c r="AZ280" s="1582">
        <f t="shared" si="106"/>
        <v>0</v>
      </c>
      <c r="BA280" s="1582">
        <f t="shared" si="106"/>
        <v>0</v>
      </c>
      <c r="BB280" s="1582">
        <f t="shared" si="106"/>
        <v>0</v>
      </c>
      <c r="BC280" s="1582">
        <f t="shared" si="106"/>
        <v>0</v>
      </c>
      <c r="BD280" s="1582">
        <f t="shared" si="106"/>
        <v>0</v>
      </c>
      <c r="BE280" s="1583">
        <f t="shared" si="106"/>
        <v>0</v>
      </c>
      <c r="BF280" s="695"/>
    </row>
    <row r="281" spans="1:58" x14ac:dyDescent="0.45">
      <c r="A281" s="695"/>
      <c r="B281" s="974"/>
      <c r="C281" s="975"/>
      <c r="D281" s="975"/>
      <c r="E281" s="978"/>
      <c r="F281" s="975"/>
      <c r="G281" s="975"/>
      <c r="H281" s="975"/>
      <c r="I281" s="1582"/>
      <c r="J281" s="975"/>
      <c r="K281" s="975"/>
      <c r="L281" s="975"/>
      <c r="M281" s="975"/>
      <c r="N281" s="975"/>
      <c r="O281" s="975"/>
      <c r="P281" s="975"/>
      <c r="Q281" s="975"/>
      <c r="R281" s="975"/>
      <c r="S281" s="975"/>
      <c r="T281" s="975"/>
      <c r="U281" s="975"/>
      <c r="V281" s="975"/>
      <c r="W281" s="975"/>
      <c r="X281" s="975"/>
      <c r="Y281" s="975"/>
      <c r="Z281" s="975"/>
      <c r="AA281" s="975"/>
      <c r="AB281" s="975"/>
      <c r="AC281" s="975"/>
      <c r="AD281" s="975"/>
      <c r="AE281" s="975"/>
      <c r="AF281" s="975"/>
      <c r="AG281" s="975"/>
      <c r="AH281" s="975"/>
      <c r="AI281" s="975"/>
      <c r="AJ281" s="975"/>
      <c r="AK281" s="975"/>
      <c r="AL281" s="975"/>
      <c r="AM281" s="975"/>
      <c r="AN281" s="975"/>
      <c r="AO281" s="975"/>
      <c r="AP281" s="975"/>
      <c r="AQ281" s="975"/>
      <c r="AR281" s="975"/>
      <c r="AS281" s="975"/>
      <c r="AT281" s="975"/>
      <c r="AU281" s="975"/>
      <c r="AV281" s="975"/>
      <c r="AW281" s="975"/>
      <c r="AX281" s="975"/>
      <c r="AY281" s="975"/>
      <c r="AZ281" s="975"/>
      <c r="BA281" s="975"/>
      <c r="BB281" s="975"/>
      <c r="BC281" s="975"/>
      <c r="BD281" s="975"/>
      <c r="BE281" s="976"/>
      <c r="BF281" s="695"/>
    </row>
    <row r="282" spans="1:58" x14ac:dyDescent="0.45">
      <c r="A282" s="695"/>
      <c r="B282" s="974" t="s">
        <v>93</v>
      </c>
      <c r="C282" s="975"/>
      <c r="D282" s="975"/>
      <c r="E282" s="978"/>
      <c r="F282" s="975"/>
      <c r="G282" s="990">
        <f>'II. Inputs, Baseline Energy Mix'!$S$43</f>
        <v>0</v>
      </c>
      <c r="H282" s="975"/>
      <c r="I282" s="1582"/>
      <c r="J282" s="975"/>
      <c r="K282" s="975"/>
      <c r="L282" s="975"/>
      <c r="M282" s="975"/>
      <c r="N282" s="975"/>
      <c r="O282" s="975"/>
      <c r="P282" s="975"/>
      <c r="Q282" s="975"/>
      <c r="R282" s="975"/>
      <c r="S282" s="975"/>
      <c r="T282" s="975"/>
      <c r="U282" s="975"/>
      <c r="V282" s="975"/>
      <c r="W282" s="975"/>
      <c r="X282" s="975"/>
      <c r="Y282" s="975"/>
      <c r="Z282" s="975"/>
      <c r="AA282" s="975"/>
      <c r="AB282" s="975"/>
      <c r="AC282" s="975"/>
      <c r="AD282" s="975"/>
      <c r="AE282" s="975"/>
      <c r="AF282" s="975"/>
      <c r="AG282" s="975"/>
      <c r="AH282" s="975"/>
      <c r="AI282" s="975"/>
      <c r="AJ282" s="975"/>
      <c r="AK282" s="975"/>
      <c r="AL282" s="975"/>
      <c r="AM282" s="975"/>
      <c r="AN282" s="975"/>
      <c r="AO282" s="975"/>
      <c r="AP282" s="975"/>
      <c r="AQ282" s="975"/>
      <c r="AR282" s="975"/>
      <c r="AS282" s="975"/>
      <c r="AT282" s="975"/>
      <c r="AU282" s="975"/>
      <c r="AV282" s="975"/>
      <c r="AW282" s="975"/>
      <c r="AX282" s="975"/>
      <c r="AY282" s="975"/>
      <c r="AZ282" s="975"/>
      <c r="BA282" s="975"/>
      <c r="BB282" s="975"/>
      <c r="BC282" s="975"/>
      <c r="BD282" s="975"/>
      <c r="BE282" s="976"/>
      <c r="BF282" s="695"/>
    </row>
    <row r="283" spans="1:58" x14ac:dyDescent="0.45">
      <c r="A283" s="695"/>
      <c r="B283" s="974" t="s">
        <v>94</v>
      </c>
      <c r="C283" s="975"/>
      <c r="D283" s="975"/>
      <c r="E283" s="978"/>
      <c r="F283" s="975"/>
      <c r="G283" s="1586">
        <f>IF(G282="NA", "NA", NPV(G282,H280:BE280)+G280)</f>
        <v>0</v>
      </c>
      <c r="H283" s="975"/>
      <c r="I283" s="1582"/>
      <c r="J283" s="975"/>
      <c r="K283" s="975"/>
      <c r="L283" s="975"/>
      <c r="M283" s="975"/>
      <c r="N283" s="975"/>
      <c r="O283" s="975"/>
      <c r="P283" s="975"/>
      <c r="Q283" s="975"/>
      <c r="R283" s="975"/>
      <c r="S283" s="975"/>
      <c r="T283" s="975"/>
      <c r="U283" s="975"/>
      <c r="V283" s="975"/>
      <c r="W283" s="975"/>
      <c r="X283" s="975"/>
      <c r="Y283" s="975"/>
      <c r="Z283" s="975"/>
      <c r="AA283" s="975"/>
      <c r="AB283" s="975"/>
      <c r="AC283" s="975"/>
      <c r="AD283" s="975"/>
      <c r="AE283" s="975"/>
      <c r="AF283" s="975"/>
      <c r="AG283" s="975"/>
      <c r="AH283" s="975"/>
      <c r="AI283" s="975"/>
      <c r="AJ283" s="975"/>
      <c r="AK283" s="975"/>
      <c r="AL283" s="975"/>
      <c r="AM283" s="975"/>
      <c r="AN283" s="975"/>
      <c r="AO283" s="975"/>
      <c r="AP283" s="975"/>
      <c r="AQ283" s="975"/>
      <c r="AR283" s="975"/>
      <c r="AS283" s="975"/>
      <c r="AT283" s="975"/>
      <c r="AU283" s="975"/>
      <c r="AV283" s="975"/>
      <c r="AW283" s="975"/>
      <c r="AX283" s="975"/>
      <c r="AY283" s="975"/>
      <c r="AZ283" s="975"/>
      <c r="BA283" s="975"/>
      <c r="BB283" s="975"/>
      <c r="BC283" s="975"/>
      <c r="BD283" s="975"/>
      <c r="BE283" s="976"/>
      <c r="BF283" s="695"/>
    </row>
    <row r="284" spans="1:58" x14ac:dyDescent="0.45">
      <c r="A284" s="695"/>
      <c r="B284" s="974" t="s">
        <v>461</v>
      </c>
      <c r="C284" s="975"/>
      <c r="D284" s="975"/>
      <c r="E284" s="978"/>
      <c r="F284" s="975"/>
      <c r="G284" s="991">
        <f>IF(G282="NA", "NA", -NPV(G282,H248:BE248))</f>
        <v>0</v>
      </c>
      <c r="H284" s="975"/>
      <c r="I284" s="1582"/>
      <c r="J284" s="975"/>
      <c r="K284" s="975"/>
      <c r="L284" s="975"/>
      <c r="M284" s="975"/>
      <c r="N284" s="975"/>
      <c r="O284" s="975"/>
      <c r="P284" s="975"/>
      <c r="Q284" s="975"/>
      <c r="R284" s="975"/>
      <c r="S284" s="975"/>
      <c r="T284" s="975"/>
      <c r="U284" s="975"/>
      <c r="V284" s="975"/>
      <c r="W284" s="975"/>
      <c r="X284" s="975"/>
      <c r="Y284" s="975"/>
      <c r="Z284" s="975"/>
      <c r="AA284" s="975"/>
      <c r="AB284" s="975"/>
      <c r="AC284" s="975"/>
      <c r="AD284" s="975"/>
      <c r="AE284" s="975"/>
      <c r="AF284" s="975"/>
      <c r="AG284" s="975"/>
      <c r="AH284" s="975"/>
      <c r="AI284" s="975"/>
      <c r="AJ284" s="975"/>
      <c r="AK284" s="975"/>
      <c r="AL284" s="975"/>
      <c r="AM284" s="975"/>
      <c r="AN284" s="975"/>
      <c r="AO284" s="975"/>
      <c r="AP284" s="975"/>
      <c r="AQ284" s="975"/>
      <c r="AR284" s="975"/>
      <c r="AS284" s="975"/>
      <c r="AT284" s="975"/>
      <c r="AU284" s="975"/>
      <c r="AV284" s="975"/>
      <c r="AW284" s="975"/>
      <c r="AX284" s="975"/>
      <c r="AY284" s="975"/>
      <c r="AZ284" s="975"/>
      <c r="BA284" s="975"/>
      <c r="BB284" s="975"/>
      <c r="BC284" s="975"/>
      <c r="BD284" s="975"/>
      <c r="BE284" s="976"/>
      <c r="BF284" s="695"/>
    </row>
    <row r="285" spans="1:58" ht="13.15" thickBot="1" x14ac:dyDescent="0.5">
      <c r="A285" s="695"/>
      <c r="B285" s="974" t="s">
        <v>96</v>
      </c>
      <c r="C285" s="975"/>
      <c r="D285" s="975"/>
      <c r="E285" s="978"/>
      <c r="F285" s="978" t="s">
        <v>749</v>
      </c>
      <c r="G285" s="1795" t="str">
        <f>IF(OR(G284=0,G282="NA"), "NA", G283/G284)</f>
        <v>NA</v>
      </c>
      <c r="H285" s="975"/>
      <c r="I285" s="1582"/>
      <c r="J285" s="975"/>
      <c r="K285" s="975"/>
      <c r="L285" s="975"/>
      <c r="M285" s="975"/>
      <c r="N285" s="975"/>
      <c r="O285" s="975"/>
      <c r="P285" s="975"/>
      <c r="Q285" s="975"/>
      <c r="R285" s="975"/>
      <c r="S285" s="975"/>
      <c r="T285" s="975"/>
      <c r="U285" s="975"/>
      <c r="V285" s="975"/>
      <c r="W285" s="975"/>
      <c r="X285" s="975"/>
      <c r="Y285" s="975"/>
      <c r="Z285" s="975"/>
      <c r="AA285" s="975"/>
      <c r="AB285" s="975"/>
      <c r="AC285" s="975"/>
      <c r="AD285" s="975"/>
      <c r="AE285" s="975"/>
      <c r="AF285" s="975"/>
      <c r="AG285" s="975"/>
      <c r="AH285" s="975"/>
      <c r="AI285" s="975"/>
      <c r="AJ285" s="975"/>
      <c r="AK285" s="975"/>
      <c r="AL285" s="975"/>
      <c r="AM285" s="975"/>
      <c r="AN285" s="975"/>
      <c r="AO285" s="975"/>
      <c r="AP285" s="975"/>
      <c r="AQ285" s="975"/>
      <c r="AR285" s="975"/>
      <c r="AS285" s="975"/>
      <c r="AT285" s="975"/>
      <c r="AU285" s="975"/>
      <c r="AV285" s="975"/>
      <c r="AW285" s="975"/>
      <c r="AX285" s="975"/>
      <c r="AY285" s="975"/>
      <c r="AZ285" s="975"/>
      <c r="BA285" s="975"/>
      <c r="BB285" s="975"/>
      <c r="BC285" s="975"/>
      <c r="BD285" s="975"/>
      <c r="BE285" s="976"/>
      <c r="BF285" s="695"/>
    </row>
    <row r="286" spans="1:58" ht="13.5" thickBot="1" x14ac:dyDescent="0.5">
      <c r="A286" s="695"/>
      <c r="B286" s="992" t="s">
        <v>97</v>
      </c>
      <c r="C286" s="993"/>
      <c r="D286" s="993"/>
      <c r="E286" s="994"/>
      <c r="F286" s="994" t="s">
        <v>749</v>
      </c>
      <c r="G286" s="1796" t="str">
        <f>IF(G285="NA", "NA", $G$285/(1-'II. Inputs, Baseline Energy Mix'!$S$23))</f>
        <v>NA</v>
      </c>
      <c r="H286" s="975"/>
      <c r="I286" s="1582"/>
      <c r="J286" s="975"/>
      <c r="K286" s="975"/>
      <c r="L286" s="975"/>
      <c r="M286" s="975"/>
      <c r="N286" s="975"/>
      <c r="O286" s="975"/>
      <c r="P286" s="975"/>
      <c r="Q286" s="975"/>
      <c r="R286" s="975"/>
      <c r="S286" s="975"/>
      <c r="T286" s="975"/>
      <c r="U286" s="975"/>
      <c r="V286" s="975"/>
      <c r="W286" s="975"/>
      <c r="X286" s="975"/>
      <c r="Y286" s="975"/>
      <c r="Z286" s="975"/>
      <c r="AA286" s="975"/>
      <c r="AB286" s="975"/>
      <c r="AC286" s="975"/>
      <c r="AD286" s="975"/>
      <c r="AE286" s="975"/>
      <c r="AF286" s="975"/>
      <c r="AG286" s="975"/>
      <c r="AH286" s="975"/>
      <c r="AI286" s="975"/>
      <c r="AJ286" s="975"/>
      <c r="AK286" s="975"/>
      <c r="AL286" s="975"/>
      <c r="AM286" s="975"/>
      <c r="AN286" s="975"/>
      <c r="AO286" s="975"/>
      <c r="AP286" s="975"/>
      <c r="AQ286" s="975"/>
      <c r="AR286" s="975"/>
      <c r="AS286" s="975"/>
      <c r="AT286" s="975"/>
      <c r="AU286" s="975"/>
      <c r="AV286" s="975"/>
      <c r="AW286" s="975"/>
      <c r="AX286" s="975"/>
      <c r="AY286" s="975"/>
      <c r="AZ286" s="975"/>
      <c r="BA286" s="975"/>
      <c r="BB286" s="975"/>
      <c r="BC286" s="975"/>
      <c r="BD286" s="975"/>
      <c r="BE286" s="976"/>
      <c r="BF286" s="695"/>
    </row>
    <row r="287" spans="1:58" ht="13.5" thickBot="1" x14ac:dyDescent="0.5">
      <c r="A287" s="695"/>
      <c r="B287" s="995"/>
      <c r="C287" s="996"/>
      <c r="D287" s="996"/>
      <c r="E287" s="997"/>
      <c r="F287" s="997"/>
      <c r="G287" s="1797"/>
      <c r="H287" s="998"/>
      <c r="I287" s="1587"/>
      <c r="J287" s="998"/>
      <c r="K287" s="998"/>
      <c r="L287" s="998"/>
      <c r="M287" s="998"/>
      <c r="N287" s="998"/>
      <c r="O287" s="998"/>
      <c r="P287" s="998"/>
      <c r="Q287" s="998"/>
      <c r="R287" s="998"/>
      <c r="S287" s="998"/>
      <c r="T287" s="998"/>
      <c r="U287" s="998"/>
      <c r="V287" s="998"/>
      <c r="W287" s="998"/>
      <c r="X287" s="998"/>
      <c r="Y287" s="998"/>
      <c r="Z287" s="998"/>
      <c r="AA287" s="998"/>
      <c r="AB287" s="998"/>
      <c r="AC287" s="998"/>
      <c r="AD287" s="998"/>
      <c r="AE287" s="998"/>
      <c r="AF287" s="998"/>
      <c r="AG287" s="998"/>
      <c r="AH287" s="998"/>
      <c r="AI287" s="998"/>
      <c r="AJ287" s="998"/>
      <c r="AK287" s="998"/>
      <c r="AL287" s="998"/>
      <c r="AM287" s="998"/>
      <c r="AN287" s="998"/>
      <c r="AO287" s="998"/>
      <c r="AP287" s="998"/>
      <c r="AQ287" s="998"/>
      <c r="AR287" s="998"/>
      <c r="AS287" s="998"/>
      <c r="AT287" s="998"/>
      <c r="AU287" s="998"/>
      <c r="AV287" s="998"/>
      <c r="AW287" s="998"/>
      <c r="AX287" s="998"/>
      <c r="AY287" s="998"/>
      <c r="AZ287" s="998"/>
      <c r="BA287" s="998"/>
      <c r="BB287" s="998"/>
      <c r="BC287" s="998"/>
      <c r="BD287" s="998"/>
      <c r="BE287" s="999"/>
      <c r="BF287" s="695"/>
    </row>
    <row r="288" spans="1:58" ht="13.15" x14ac:dyDescent="0.45">
      <c r="A288" s="695"/>
      <c r="B288" s="696"/>
      <c r="C288" s="696"/>
      <c r="D288" s="696"/>
      <c r="E288" s="697"/>
      <c r="F288" s="697"/>
      <c r="G288" s="1787"/>
      <c r="H288" s="695"/>
      <c r="I288" s="1548"/>
      <c r="J288" s="695"/>
      <c r="K288" s="695"/>
      <c r="L288" s="695"/>
      <c r="M288" s="695"/>
      <c r="N288" s="695"/>
      <c r="O288" s="695"/>
      <c r="P288" s="695"/>
      <c r="Q288" s="695"/>
      <c r="R288" s="695"/>
      <c r="S288" s="695"/>
      <c r="T288" s="695"/>
      <c r="U288" s="695"/>
      <c r="V288" s="695"/>
      <c r="W288" s="695"/>
      <c r="X288" s="695"/>
      <c r="Y288" s="695"/>
      <c r="Z288" s="695"/>
      <c r="AA288" s="695"/>
      <c r="AB288" s="695"/>
      <c r="AC288" s="695"/>
      <c r="AD288" s="695"/>
      <c r="AE288" s="695"/>
      <c r="AF288" s="695"/>
      <c r="AG288" s="695"/>
      <c r="AH288" s="695"/>
      <c r="AI288" s="695"/>
      <c r="AJ288" s="695"/>
      <c r="AK288" s="695"/>
      <c r="AL288" s="695"/>
      <c r="AM288" s="695"/>
      <c r="AN288" s="695"/>
      <c r="AO288" s="695"/>
      <c r="AP288" s="695"/>
      <c r="AQ288" s="695"/>
      <c r="AR288" s="695"/>
      <c r="AS288" s="695"/>
      <c r="AT288" s="695"/>
      <c r="AU288" s="695"/>
      <c r="AV288" s="695"/>
      <c r="AW288" s="695"/>
      <c r="AX288" s="695"/>
      <c r="AY288" s="695"/>
      <c r="AZ288" s="695"/>
      <c r="BA288" s="695"/>
      <c r="BB288" s="695"/>
      <c r="BC288" s="695"/>
      <c r="BD288" s="695"/>
      <c r="BE288" s="695"/>
      <c r="BF288" s="695"/>
    </row>
    <row r="289" spans="1:58" ht="13.15" x14ac:dyDescent="0.45">
      <c r="A289" s="695"/>
      <c r="B289" s="696"/>
      <c r="C289" s="696"/>
      <c r="D289" s="696"/>
      <c r="E289" s="697"/>
      <c r="F289" s="697"/>
      <c r="G289" s="1787"/>
      <c r="H289" s="695"/>
      <c r="I289" s="1548"/>
      <c r="J289" s="695"/>
      <c r="K289" s="695"/>
      <c r="L289" s="695"/>
      <c r="M289" s="695"/>
      <c r="N289" s="695"/>
      <c r="O289" s="695"/>
      <c r="P289" s="695"/>
      <c r="Q289" s="695"/>
      <c r="R289" s="695"/>
      <c r="S289" s="695"/>
      <c r="T289" s="695"/>
      <c r="U289" s="695"/>
      <c r="V289" s="695"/>
      <c r="W289" s="695"/>
      <c r="X289" s="695"/>
      <c r="Y289" s="695"/>
      <c r="Z289" s="695"/>
      <c r="AA289" s="695"/>
      <c r="AB289" s="695"/>
      <c r="AC289" s="695"/>
      <c r="AD289" s="695"/>
      <c r="AE289" s="695"/>
      <c r="AF289" s="695"/>
      <c r="AG289" s="695"/>
      <c r="AH289" s="695"/>
      <c r="AI289" s="695"/>
      <c r="AJ289" s="695"/>
      <c r="AK289" s="695"/>
      <c r="AL289" s="695"/>
      <c r="AM289" s="695"/>
      <c r="AN289" s="695"/>
      <c r="AO289" s="695"/>
      <c r="AP289" s="695"/>
      <c r="AQ289" s="695"/>
      <c r="AR289" s="695"/>
      <c r="AS289" s="695"/>
      <c r="AT289" s="695"/>
      <c r="AU289" s="695"/>
      <c r="AV289" s="695"/>
      <c r="AW289" s="695"/>
      <c r="AX289" s="695"/>
      <c r="AY289" s="695"/>
      <c r="AZ289" s="695"/>
      <c r="BA289" s="695"/>
      <c r="BB289" s="695"/>
      <c r="BC289" s="695"/>
      <c r="BD289" s="695"/>
      <c r="BE289" s="695"/>
      <c r="BF289" s="695"/>
    </row>
    <row r="290" spans="1:58" s="457" customFormat="1" ht="12.75" customHeight="1" x14ac:dyDescent="0.45">
      <c r="A290" s="1174" t="s">
        <v>223</v>
      </c>
      <c r="B290" s="462"/>
      <c r="C290" s="462"/>
      <c r="D290" s="462"/>
      <c r="E290" s="462"/>
      <c r="F290" s="462"/>
      <c r="G290" s="462"/>
      <c r="H290" s="462"/>
      <c r="I290" s="462"/>
      <c r="J290" s="463"/>
      <c r="K290" s="464"/>
      <c r="L290" s="464"/>
      <c r="M290" s="464"/>
      <c r="N290" s="464"/>
      <c r="O290" s="464"/>
      <c r="P290" s="464"/>
      <c r="Q290" s="464"/>
      <c r="R290" s="464"/>
      <c r="S290" s="464"/>
      <c r="T290" s="464"/>
      <c r="U290" s="464"/>
      <c r="V290" s="464"/>
      <c r="W290" s="464"/>
      <c r="X290" s="464"/>
      <c r="Y290" s="464"/>
      <c r="Z290" s="464"/>
      <c r="AA290" s="464"/>
      <c r="AB290" s="464"/>
      <c r="AC290" s="464"/>
      <c r="AD290" s="464"/>
      <c r="AE290" s="464"/>
      <c r="AF290" s="464"/>
      <c r="AG290" s="464"/>
      <c r="AH290" s="464"/>
      <c r="AI290" s="464"/>
      <c r="AJ290" s="464"/>
      <c r="AK290" s="464"/>
      <c r="AL290" s="464"/>
      <c r="AM290" s="464"/>
      <c r="AN290" s="464"/>
      <c r="AO290" s="464"/>
      <c r="AP290" s="464"/>
      <c r="AQ290" s="464"/>
      <c r="AR290" s="464"/>
      <c r="AS290" s="464"/>
      <c r="AT290" s="464"/>
      <c r="AU290" s="464"/>
      <c r="AV290" s="464"/>
      <c r="AW290" s="464"/>
      <c r="AX290" s="464"/>
      <c r="AY290" s="464"/>
      <c r="AZ290" s="464"/>
      <c r="BA290" s="464"/>
      <c r="BB290" s="464"/>
      <c r="BC290" s="464"/>
      <c r="BD290" s="464"/>
      <c r="BE290" s="464"/>
      <c r="BF290" s="461"/>
    </row>
    <row r="291" spans="1:58" ht="13.15" x14ac:dyDescent="0.45">
      <c r="A291" s="695"/>
      <c r="B291" s="704"/>
      <c r="C291" s="695"/>
      <c r="D291" s="695"/>
      <c r="E291" s="695"/>
      <c r="F291" s="695"/>
      <c r="G291" s="695"/>
      <c r="H291" s="695"/>
      <c r="I291" s="695"/>
      <c r="J291" s="695"/>
      <c r="K291" s="695"/>
      <c r="L291" s="695"/>
      <c r="M291" s="695"/>
      <c r="N291" s="695"/>
      <c r="O291" s="695"/>
      <c r="P291" s="695"/>
      <c r="Q291" s="695"/>
      <c r="R291" s="695"/>
      <c r="S291" s="695"/>
      <c r="T291" s="695"/>
      <c r="U291" s="695"/>
      <c r="V291" s="695"/>
      <c r="W291" s="695"/>
      <c r="X291" s="695"/>
      <c r="Y291" s="695"/>
      <c r="Z291" s="695"/>
      <c r="AA291" s="695"/>
      <c r="AB291" s="695"/>
      <c r="AC291" s="695"/>
      <c r="AD291" s="695"/>
      <c r="AE291" s="695"/>
      <c r="AF291" s="695"/>
      <c r="AG291" s="695"/>
      <c r="AH291" s="695"/>
      <c r="AI291" s="695"/>
      <c r="AJ291" s="695"/>
      <c r="AK291" s="695"/>
      <c r="AL291" s="695"/>
      <c r="AM291" s="695"/>
      <c r="AN291" s="695"/>
      <c r="AO291" s="695"/>
      <c r="AP291" s="695"/>
      <c r="AQ291" s="695"/>
      <c r="AR291" s="695"/>
      <c r="AS291" s="695"/>
      <c r="AT291" s="695"/>
      <c r="AU291" s="695"/>
      <c r="AV291" s="695"/>
      <c r="AW291" s="695"/>
      <c r="AX291" s="695"/>
      <c r="AY291" s="695"/>
      <c r="AZ291" s="695"/>
      <c r="BA291" s="695"/>
      <c r="BB291" s="695"/>
      <c r="BC291" s="695"/>
      <c r="BD291" s="695"/>
      <c r="BE291" s="695"/>
      <c r="BF291" s="695"/>
    </row>
    <row r="292" spans="1:58" s="479" customFormat="1" ht="13.15" x14ac:dyDescent="0.45">
      <c r="A292" s="704"/>
      <c r="B292" s="1171" t="s">
        <v>51</v>
      </c>
      <c r="C292" s="1172"/>
      <c r="D292" s="1172"/>
      <c r="E292" s="1173"/>
      <c r="F292" s="1172"/>
      <c r="G292" s="1173">
        <v>0</v>
      </c>
      <c r="H292" s="1173">
        <v>1</v>
      </c>
      <c r="I292" s="1173">
        <v>2</v>
      </c>
      <c r="J292" s="1173">
        <v>3</v>
      </c>
      <c r="K292" s="1173">
        <v>4</v>
      </c>
      <c r="L292" s="1173">
        <v>5</v>
      </c>
      <c r="M292" s="1173">
        <v>6</v>
      </c>
      <c r="N292" s="1173">
        <v>7</v>
      </c>
      <c r="O292" s="1173">
        <v>8</v>
      </c>
      <c r="P292" s="1173">
        <v>9</v>
      </c>
      <c r="Q292" s="1173">
        <v>10</v>
      </c>
      <c r="R292" s="1173">
        <v>11</v>
      </c>
      <c r="S292" s="1173">
        <v>12</v>
      </c>
      <c r="T292" s="1173">
        <v>13</v>
      </c>
      <c r="U292" s="1173">
        <v>14</v>
      </c>
      <c r="V292" s="1173">
        <v>15</v>
      </c>
      <c r="W292" s="1173">
        <v>16</v>
      </c>
      <c r="X292" s="1173">
        <v>17</v>
      </c>
      <c r="Y292" s="1173">
        <v>18</v>
      </c>
      <c r="Z292" s="1173">
        <v>19</v>
      </c>
      <c r="AA292" s="1173">
        <v>20</v>
      </c>
      <c r="AB292" s="1173">
        <v>21</v>
      </c>
      <c r="AC292" s="1173">
        <v>22</v>
      </c>
      <c r="AD292" s="1173">
        <v>23</v>
      </c>
      <c r="AE292" s="1173">
        <v>24</v>
      </c>
      <c r="AF292" s="1173">
        <v>25</v>
      </c>
      <c r="AG292" s="1173">
        <v>26</v>
      </c>
      <c r="AH292" s="1173">
        <v>27</v>
      </c>
      <c r="AI292" s="1173">
        <v>28</v>
      </c>
      <c r="AJ292" s="1173">
        <v>29</v>
      </c>
      <c r="AK292" s="1173">
        <v>30</v>
      </c>
      <c r="AL292" s="1173">
        <v>31</v>
      </c>
      <c r="AM292" s="1173">
        <v>32</v>
      </c>
      <c r="AN292" s="1173">
        <v>33</v>
      </c>
      <c r="AO292" s="1173">
        <v>34</v>
      </c>
      <c r="AP292" s="1173">
        <v>35</v>
      </c>
      <c r="AQ292" s="1173">
        <v>36</v>
      </c>
      <c r="AR292" s="1173">
        <v>37</v>
      </c>
      <c r="AS292" s="1173">
        <v>38</v>
      </c>
      <c r="AT292" s="1173">
        <v>39</v>
      </c>
      <c r="AU292" s="1173">
        <v>40</v>
      </c>
      <c r="AV292" s="1173">
        <v>41</v>
      </c>
      <c r="AW292" s="1173">
        <v>42</v>
      </c>
      <c r="AX292" s="1173">
        <v>43</v>
      </c>
      <c r="AY292" s="1173">
        <v>44</v>
      </c>
      <c r="AZ292" s="1173">
        <v>45</v>
      </c>
      <c r="BA292" s="1173">
        <v>46</v>
      </c>
      <c r="BB292" s="1173">
        <v>47</v>
      </c>
      <c r="BC292" s="1173">
        <v>48</v>
      </c>
      <c r="BD292" s="1173">
        <v>49</v>
      </c>
      <c r="BE292" s="1173">
        <v>50</v>
      </c>
      <c r="BF292" s="704"/>
    </row>
    <row r="293" spans="1:58" ht="13.15" thickBot="1" x14ac:dyDescent="0.5">
      <c r="A293" s="695"/>
      <c r="B293" s="415"/>
      <c r="C293" s="461"/>
      <c r="D293" s="461"/>
      <c r="E293" s="693"/>
      <c r="F293" s="695"/>
      <c r="G293" s="693"/>
      <c r="H293" s="693"/>
      <c r="I293" s="693"/>
      <c r="J293" s="693"/>
      <c r="K293" s="693"/>
      <c r="L293" s="693"/>
      <c r="M293" s="693"/>
      <c r="N293" s="693"/>
      <c r="O293" s="693"/>
      <c r="P293" s="693"/>
      <c r="Q293" s="693"/>
      <c r="R293" s="693"/>
      <c r="S293" s="693"/>
      <c r="T293" s="693"/>
      <c r="U293" s="693"/>
      <c r="V293" s="693"/>
      <c r="W293" s="693"/>
      <c r="X293" s="693"/>
      <c r="Y293" s="693"/>
      <c r="Z293" s="693"/>
      <c r="AA293" s="693"/>
      <c r="AB293" s="693"/>
      <c r="AC293" s="693"/>
      <c r="AD293" s="693"/>
      <c r="AE293" s="693"/>
      <c r="AF293" s="693"/>
      <c r="AG293" s="693"/>
      <c r="AH293" s="693"/>
      <c r="AI293" s="693"/>
      <c r="AJ293" s="693"/>
      <c r="AK293" s="693"/>
      <c r="AL293" s="693"/>
      <c r="AM293" s="693"/>
      <c r="AN293" s="693"/>
      <c r="AO293" s="693"/>
      <c r="AP293" s="693"/>
      <c r="AQ293" s="693"/>
      <c r="AR293" s="693"/>
      <c r="AS293" s="693"/>
      <c r="AT293" s="693"/>
      <c r="AU293" s="693"/>
      <c r="AV293" s="693"/>
      <c r="AW293" s="693"/>
      <c r="AX293" s="693"/>
      <c r="AY293" s="693"/>
      <c r="AZ293" s="693"/>
      <c r="BA293" s="693"/>
      <c r="BB293" s="693"/>
      <c r="BC293" s="693"/>
      <c r="BD293" s="693"/>
      <c r="BE293" s="693"/>
      <c r="BF293" s="695"/>
    </row>
    <row r="294" spans="1:58" ht="13.15" x14ac:dyDescent="0.45">
      <c r="A294" s="695"/>
      <c r="B294" s="833" t="str">
        <f>$B$15</f>
        <v>CCGT</v>
      </c>
      <c r="C294" s="834"/>
      <c r="D294" s="834"/>
      <c r="E294" s="834"/>
      <c r="F294" s="834"/>
      <c r="G294" s="1000"/>
      <c r="H294" s="1000"/>
      <c r="I294" s="1000"/>
      <c r="J294" s="1000"/>
      <c r="K294" s="1000"/>
      <c r="L294" s="1000"/>
      <c r="M294" s="1000"/>
      <c r="N294" s="1000"/>
      <c r="O294" s="1000"/>
      <c r="P294" s="1000"/>
      <c r="Q294" s="1000"/>
      <c r="R294" s="1000"/>
      <c r="S294" s="1000"/>
      <c r="T294" s="1000"/>
      <c r="U294" s="1000"/>
      <c r="V294" s="1000"/>
      <c r="W294" s="1000"/>
      <c r="X294" s="1000"/>
      <c r="Y294" s="1000"/>
      <c r="Z294" s="1000"/>
      <c r="AA294" s="1000"/>
      <c r="AB294" s="1000"/>
      <c r="AC294" s="1000"/>
      <c r="AD294" s="1000"/>
      <c r="AE294" s="1000"/>
      <c r="AF294" s="1000"/>
      <c r="AG294" s="1000"/>
      <c r="AH294" s="1000"/>
      <c r="AI294" s="1000"/>
      <c r="AJ294" s="1000"/>
      <c r="AK294" s="1000"/>
      <c r="AL294" s="1000"/>
      <c r="AM294" s="1000"/>
      <c r="AN294" s="1000"/>
      <c r="AO294" s="1000"/>
      <c r="AP294" s="1000"/>
      <c r="AQ294" s="1000"/>
      <c r="AR294" s="1000"/>
      <c r="AS294" s="1000"/>
      <c r="AT294" s="1000"/>
      <c r="AU294" s="1000"/>
      <c r="AV294" s="1000"/>
      <c r="AW294" s="1000"/>
      <c r="AX294" s="1000"/>
      <c r="AY294" s="1000"/>
      <c r="AZ294" s="1000"/>
      <c r="BA294" s="1000"/>
      <c r="BB294" s="1000"/>
      <c r="BC294" s="1000"/>
      <c r="BD294" s="1000"/>
      <c r="BE294" s="1001"/>
      <c r="BF294" s="695"/>
    </row>
    <row r="295" spans="1:58" x14ac:dyDescent="0.45">
      <c r="A295" s="695"/>
      <c r="B295" s="836"/>
      <c r="C295" s="837"/>
      <c r="D295" s="837"/>
      <c r="E295" s="837"/>
      <c r="F295" s="837"/>
      <c r="G295" s="1002"/>
      <c r="H295" s="1002"/>
      <c r="I295" s="1002"/>
      <c r="J295" s="1002"/>
      <c r="K295" s="1002"/>
      <c r="L295" s="1002"/>
      <c r="M295" s="1002"/>
      <c r="N295" s="1002"/>
      <c r="O295" s="1002"/>
      <c r="P295" s="1002"/>
      <c r="Q295" s="1002"/>
      <c r="R295" s="1002"/>
      <c r="S295" s="1002"/>
      <c r="T295" s="1002"/>
      <c r="U295" s="1002"/>
      <c r="V295" s="1002"/>
      <c r="W295" s="1002"/>
      <c r="X295" s="1002"/>
      <c r="Y295" s="1002"/>
      <c r="Z295" s="1002"/>
      <c r="AA295" s="1002"/>
      <c r="AB295" s="1002"/>
      <c r="AC295" s="1002"/>
      <c r="AD295" s="1002"/>
      <c r="AE295" s="1002"/>
      <c r="AF295" s="1002"/>
      <c r="AG295" s="1002"/>
      <c r="AH295" s="1002"/>
      <c r="AI295" s="1002"/>
      <c r="AJ295" s="1002"/>
      <c r="AK295" s="1002"/>
      <c r="AL295" s="1002"/>
      <c r="AM295" s="1002"/>
      <c r="AN295" s="1002"/>
      <c r="AO295" s="1002"/>
      <c r="AP295" s="1002"/>
      <c r="AQ295" s="1002"/>
      <c r="AR295" s="1002"/>
      <c r="AS295" s="1002"/>
      <c r="AT295" s="1002"/>
      <c r="AU295" s="1002"/>
      <c r="AV295" s="1002"/>
      <c r="AW295" s="1002"/>
      <c r="AX295" s="1002"/>
      <c r="AY295" s="1002"/>
      <c r="AZ295" s="1002"/>
      <c r="BA295" s="1002"/>
      <c r="BB295" s="1002"/>
      <c r="BC295" s="1002"/>
      <c r="BD295" s="1002"/>
      <c r="BE295" s="1003"/>
      <c r="BF295" s="695"/>
    </row>
    <row r="296" spans="1:58" ht="13.15" x14ac:dyDescent="0.45">
      <c r="A296" s="695"/>
      <c r="B296" s="849" t="s">
        <v>220</v>
      </c>
      <c r="C296" s="837"/>
      <c r="D296" s="837"/>
      <c r="E296" s="837"/>
      <c r="F296" s="837"/>
      <c r="G296" s="1002"/>
      <c r="H296" s="1002"/>
      <c r="I296" s="1002"/>
      <c r="J296" s="1002"/>
      <c r="K296" s="1002"/>
      <c r="L296" s="1002"/>
      <c r="M296" s="1002"/>
      <c r="N296" s="1002"/>
      <c r="O296" s="1002"/>
      <c r="P296" s="1002"/>
      <c r="Q296" s="1002"/>
      <c r="R296" s="1002"/>
      <c r="S296" s="1002"/>
      <c r="T296" s="1002"/>
      <c r="U296" s="1002"/>
      <c r="V296" s="1002"/>
      <c r="W296" s="1002"/>
      <c r="X296" s="1002"/>
      <c r="Y296" s="1002"/>
      <c r="Z296" s="1002"/>
      <c r="AA296" s="1002"/>
      <c r="AB296" s="1002"/>
      <c r="AC296" s="1002"/>
      <c r="AD296" s="1002"/>
      <c r="AE296" s="1002"/>
      <c r="AF296" s="1002"/>
      <c r="AG296" s="1002"/>
      <c r="AH296" s="1002"/>
      <c r="AI296" s="1002"/>
      <c r="AJ296" s="1002"/>
      <c r="AK296" s="1002"/>
      <c r="AL296" s="1002"/>
      <c r="AM296" s="1002"/>
      <c r="AN296" s="1002"/>
      <c r="AO296" s="1002"/>
      <c r="AP296" s="1002"/>
      <c r="AQ296" s="1002"/>
      <c r="AR296" s="1002"/>
      <c r="AS296" s="1002"/>
      <c r="AT296" s="1002"/>
      <c r="AU296" s="1002"/>
      <c r="AV296" s="1002"/>
      <c r="AW296" s="1002"/>
      <c r="AX296" s="1002"/>
      <c r="AY296" s="1002"/>
      <c r="AZ296" s="1002"/>
      <c r="BA296" s="1002"/>
      <c r="BB296" s="1002"/>
      <c r="BC296" s="1002"/>
      <c r="BD296" s="1002"/>
      <c r="BE296" s="1003"/>
      <c r="BF296" s="695"/>
    </row>
    <row r="297" spans="1:58" x14ac:dyDescent="0.45">
      <c r="A297" s="695"/>
      <c r="B297" s="836"/>
      <c r="C297" s="1004" t="s">
        <v>61</v>
      </c>
      <c r="D297" s="840" t="s">
        <v>748</v>
      </c>
      <c r="E297" s="837"/>
      <c r="F297" s="837"/>
      <c r="G297" s="1588">
        <f>IF('II. Inputs, Baseline Energy Mix'!$N$19&gt;0,('II. Inputs, Baseline Energy Mix'!$N$20*'II. Inputs, Baseline Energy Mix'!$N$21*'II. Inputs, Baseline Energy Mix'!$N$36*'II. Inputs, Baseline Energy Mix'!$N$38),0)</f>
        <v>0</v>
      </c>
      <c r="H297" s="1002"/>
      <c r="I297" s="1002"/>
      <c r="J297" s="1002"/>
      <c r="K297" s="1002"/>
      <c r="L297" s="1002"/>
      <c r="M297" s="1002"/>
      <c r="N297" s="1002"/>
      <c r="O297" s="1002"/>
      <c r="P297" s="1002"/>
      <c r="Q297" s="1002"/>
      <c r="R297" s="1002"/>
      <c r="S297" s="1002"/>
      <c r="T297" s="1002"/>
      <c r="U297" s="1002"/>
      <c r="V297" s="1002"/>
      <c r="W297" s="1002"/>
      <c r="X297" s="1002"/>
      <c r="Y297" s="1002"/>
      <c r="Z297" s="1002"/>
      <c r="AA297" s="1002"/>
      <c r="AB297" s="1002"/>
      <c r="AC297" s="1002"/>
      <c r="AD297" s="1002"/>
      <c r="AE297" s="1002"/>
      <c r="AF297" s="1002"/>
      <c r="AG297" s="1002"/>
      <c r="AH297" s="1002"/>
      <c r="AI297" s="1002"/>
      <c r="AJ297" s="1002"/>
      <c r="AK297" s="1002"/>
      <c r="AL297" s="1002"/>
      <c r="AM297" s="1002"/>
      <c r="AN297" s="1002"/>
      <c r="AO297" s="1002"/>
      <c r="AP297" s="1002"/>
      <c r="AQ297" s="1002"/>
      <c r="AR297" s="1002"/>
      <c r="AS297" s="1002"/>
      <c r="AT297" s="1002"/>
      <c r="AU297" s="1002"/>
      <c r="AV297" s="1002"/>
      <c r="AW297" s="1002"/>
      <c r="AX297" s="1002"/>
      <c r="AY297" s="1002"/>
      <c r="AZ297" s="1002"/>
      <c r="BA297" s="1002"/>
      <c r="BB297" s="1002"/>
      <c r="BC297" s="1002"/>
      <c r="BD297" s="1002"/>
      <c r="BE297" s="1003"/>
      <c r="BF297" s="695"/>
    </row>
    <row r="298" spans="1:58" x14ac:dyDescent="0.45">
      <c r="A298" s="695"/>
      <c r="B298" s="836"/>
      <c r="C298" s="1004" t="s">
        <v>62</v>
      </c>
      <c r="D298" s="840" t="s">
        <v>18</v>
      </c>
      <c r="E298" s="837"/>
      <c r="F298" s="837"/>
      <c r="G298" s="1005">
        <f>SUM('II. Inputs, Baseline Energy Mix'!$N$77)</f>
        <v>0</v>
      </c>
      <c r="H298" s="1002"/>
      <c r="I298" s="1002"/>
      <c r="J298" s="1002"/>
      <c r="K298" s="1002"/>
      <c r="L298" s="1002"/>
      <c r="M298" s="1002"/>
      <c r="N298" s="1002"/>
      <c r="O298" s="1002"/>
      <c r="P298" s="1002"/>
      <c r="Q298" s="1002"/>
      <c r="R298" s="1002"/>
      <c r="S298" s="1002"/>
      <c r="T298" s="1002"/>
      <c r="U298" s="1002"/>
      <c r="V298" s="1002"/>
      <c r="W298" s="1002"/>
      <c r="X298" s="1002"/>
      <c r="Y298" s="1002"/>
      <c r="Z298" s="1002"/>
      <c r="AA298" s="1002"/>
      <c r="AB298" s="1002"/>
      <c r="AC298" s="1002"/>
      <c r="AD298" s="1002"/>
      <c r="AE298" s="1002"/>
      <c r="AF298" s="1002"/>
      <c r="AG298" s="1002"/>
      <c r="AH298" s="1002"/>
      <c r="AI298" s="1002"/>
      <c r="AJ298" s="1002"/>
      <c r="AK298" s="1002"/>
      <c r="AL298" s="1002"/>
      <c r="AM298" s="1002"/>
      <c r="AN298" s="1002"/>
      <c r="AO298" s="1002"/>
      <c r="AP298" s="1002"/>
      <c r="AQ298" s="1002"/>
      <c r="AR298" s="1002"/>
      <c r="AS298" s="1002"/>
      <c r="AT298" s="1002"/>
      <c r="AU298" s="1002"/>
      <c r="AV298" s="1002"/>
      <c r="AW298" s="1002"/>
      <c r="AX298" s="1002"/>
      <c r="AY298" s="1002"/>
      <c r="AZ298" s="1002"/>
      <c r="BA298" s="1002"/>
      <c r="BB298" s="1002"/>
      <c r="BC298" s="1002"/>
      <c r="BD298" s="1002"/>
      <c r="BE298" s="1003"/>
      <c r="BF298" s="695"/>
    </row>
    <row r="299" spans="1:58" x14ac:dyDescent="0.45">
      <c r="A299" s="695"/>
      <c r="B299" s="836"/>
      <c r="C299" s="1004" t="s">
        <v>63</v>
      </c>
      <c r="D299" s="840" t="s">
        <v>14</v>
      </c>
      <c r="E299" s="837"/>
      <c r="F299" s="837"/>
      <c r="G299" s="1006">
        <f>SUM('II. Inputs, Baseline Energy Mix'!$N$76)</f>
        <v>0</v>
      </c>
      <c r="H299" s="1002"/>
      <c r="I299" s="1002"/>
      <c r="J299" s="1002"/>
      <c r="K299" s="1002"/>
      <c r="L299" s="1002"/>
      <c r="M299" s="1002"/>
      <c r="N299" s="1002"/>
      <c r="O299" s="1002"/>
      <c r="P299" s="1002"/>
      <c r="Q299" s="1002"/>
      <c r="R299" s="1002"/>
      <c r="S299" s="1002"/>
      <c r="T299" s="1002"/>
      <c r="U299" s="1002"/>
      <c r="V299" s="1002"/>
      <c r="W299" s="1002"/>
      <c r="X299" s="1002"/>
      <c r="Y299" s="1002"/>
      <c r="Z299" s="1002"/>
      <c r="AA299" s="1002"/>
      <c r="AB299" s="1002"/>
      <c r="AC299" s="1002"/>
      <c r="AD299" s="1002"/>
      <c r="AE299" s="1002"/>
      <c r="AF299" s="1002"/>
      <c r="AG299" s="1002"/>
      <c r="AH299" s="1002"/>
      <c r="AI299" s="1002"/>
      <c r="AJ299" s="1002"/>
      <c r="AK299" s="1002"/>
      <c r="AL299" s="1002"/>
      <c r="AM299" s="1002"/>
      <c r="AN299" s="1002"/>
      <c r="AO299" s="1002"/>
      <c r="AP299" s="1002"/>
      <c r="AQ299" s="1002"/>
      <c r="AR299" s="1002"/>
      <c r="AS299" s="1002"/>
      <c r="AT299" s="1002"/>
      <c r="AU299" s="1002"/>
      <c r="AV299" s="1002"/>
      <c r="AW299" s="1002"/>
      <c r="AX299" s="1002"/>
      <c r="AY299" s="1002"/>
      <c r="AZ299" s="1002"/>
      <c r="BA299" s="1002"/>
      <c r="BB299" s="1002"/>
      <c r="BC299" s="1002"/>
      <c r="BD299" s="1002"/>
      <c r="BE299" s="1003"/>
      <c r="BF299" s="695"/>
    </row>
    <row r="300" spans="1:58" x14ac:dyDescent="0.45">
      <c r="A300" s="695"/>
      <c r="B300" s="836"/>
      <c r="C300" s="837"/>
      <c r="D300" s="837"/>
      <c r="E300" s="837"/>
      <c r="F300" s="837"/>
      <c r="G300" s="1002"/>
      <c r="H300" s="1002"/>
      <c r="I300" s="1002"/>
      <c r="J300" s="1002"/>
      <c r="K300" s="1002"/>
      <c r="L300" s="1002"/>
      <c r="M300" s="1002"/>
      <c r="N300" s="1002"/>
      <c r="O300" s="1002"/>
      <c r="P300" s="1002"/>
      <c r="Q300" s="1002"/>
      <c r="R300" s="1002"/>
      <c r="S300" s="1002"/>
      <c r="T300" s="1002"/>
      <c r="U300" s="1002"/>
      <c r="V300" s="1002"/>
      <c r="W300" s="1002"/>
      <c r="X300" s="1002"/>
      <c r="Y300" s="1002"/>
      <c r="Z300" s="1002"/>
      <c r="AA300" s="1002"/>
      <c r="AB300" s="1002"/>
      <c r="AC300" s="1002"/>
      <c r="AD300" s="1002"/>
      <c r="AE300" s="1002"/>
      <c r="AF300" s="1002"/>
      <c r="AG300" s="1002"/>
      <c r="AH300" s="1002"/>
      <c r="AI300" s="1002"/>
      <c r="AJ300" s="1002"/>
      <c r="AK300" s="1002"/>
      <c r="AL300" s="1002"/>
      <c r="AM300" s="1002"/>
      <c r="AN300" s="1002"/>
      <c r="AO300" s="1002"/>
      <c r="AP300" s="1002"/>
      <c r="AQ300" s="1002"/>
      <c r="AR300" s="1002"/>
      <c r="AS300" s="1002"/>
      <c r="AT300" s="1002"/>
      <c r="AU300" s="1002"/>
      <c r="AV300" s="1002"/>
      <c r="AW300" s="1002"/>
      <c r="AX300" s="1002"/>
      <c r="AY300" s="1002"/>
      <c r="AZ300" s="1002"/>
      <c r="BA300" s="1002"/>
      <c r="BB300" s="1002"/>
      <c r="BC300" s="1002"/>
      <c r="BD300" s="1002"/>
      <c r="BE300" s="1003"/>
      <c r="BF300" s="695"/>
    </row>
    <row r="301" spans="1:58" x14ac:dyDescent="0.45">
      <c r="A301" s="695"/>
      <c r="B301" s="836"/>
      <c r="C301" s="1007" t="s">
        <v>60</v>
      </c>
      <c r="D301" s="837"/>
      <c r="E301" s="837"/>
      <c r="F301" s="837"/>
      <c r="G301" s="1002"/>
      <c r="H301" s="1002"/>
      <c r="I301" s="1002"/>
      <c r="J301" s="1002"/>
      <c r="K301" s="1002"/>
      <c r="L301" s="1002"/>
      <c r="M301" s="1002"/>
      <c r="N301" s="1002"/>
      <c r="O301" s="1002"/>
      <c r="P301" s="1002"/>
      <c r="Q301" s="1002"/>
      <c r="R301" s="1002"/>
      <c r="S301" s="1002"/>
      <c r="T301" s="1002"/>
      <c r="U301" s="1002"/>
      <c r="V301" s="1002"/>
      <c r="W301" s="1002"/>
      <c r="X301" s="1002"/>
      <c r="Y301" s="1002"/>
      <c r="Z301" s="1002"/>
      <c r="AA301" s="1002"/>
      <c r="AB301" s="1002"/>
      <c r="AC301" s="1002"/>
      <c r="AD301" s="1002"/>
      <c r="AE301" s="1002"/>
      <c r="AF301" s="1002"/>
      <c r="AG301" s="1002"/>
      <c r="AH301" s="1002"/>
      <c r="AI301" s="1002"/>
      <c r="AJ301" s="1002"/>
      <c r="AK301" s="1002"/>
      <c r="AL301" s="1002"/>
      <c r="AM301" s="1002"/>
      <c r="AN301" s="1002"/>
      <c r="AO301" s="1002"/>
      <c r="AP301" s="1002"/>
      <c r="AQ301" s="1002"/>
      <c r="AR301" s="1002"/>
      <c r="AS301" s="1002"/>
      <c r="AT301" s="1002"/>
      <c r="AU301" s="1002"/>
      <c r="AV301" s="1002"/>
      <c r="AW301" s="1002"/>
      <c r="AX301" s="1002"/>
      <c r="AY301" s="1002"/>
      <c r="AZ301" s="1002"/>
      <c r="BA301" s="1002"/>
      <c r="BB301" s="1002"/>
      <c r="BC301" s="1002"/>
      <c r="BD301" s="1002"/>
      <c r="BE301" s="1003"/>
      <c r="BF301" s="695"/>
    </row>
    <row r="302" spans="1:58" x14ac:dyDescent="0.45">
      <c r="A302" s="695"/>
      <c r="B302" s="836"/>
      <c r="C302" s="837" t="s">
        <v>66</v>
      </c>
      <c r="D302" s="837"/>
      <c r="E302" s="837"/>
      <c r="F302" s="837"/>
      <c r="G302" s="1588"/>
      <c r="H302" s="1588">
        <f>IF(H$292&gt;$G$298,0,IPMT($G$299,H$292,$G$298,-$G$297))</f>
        <v>0</v>
      </c>
      <c r="I302" s="1588">
        <f t="shared" ref="I302:BE302" si="107">IF(I$292&gt;$G$298,0,IPMT($G$299,I$292,$G$298,-$G$297))</f>
        <v>0</v>
      </c>
      <c r="J302" s="1588">
        <f t="shared" si="107"/>
        <v>0</v>
      </c>
      <c r="K302" s="1588">
        <f t="shared" si="107"/>
        <v>0</v>
      </c>
      <c r="L302" s="1588">
        <f t="shared" si="107"/>
        <v>0</v>
      </c>
      <c r="M302" s="1588">
        <f t="shared" si="107"/>
        <v>0</v>
      </c>
      <c r="N302" s="1588">
        <f t="shared" si="107"/>
        <v>0</v>
      </c>
      <c r="O302" s="1588">
        <f t="shared" si="107"/>
        <v>0</v>
      </c>
      <c r="P302" s="1588">
        <f t="shared" si="107"/>
        <v>0</v>
      </c>
      <c r="Q302" s="1588">
        <f t="shared" si="107"/>
        <v>0</v>
      </c>
      <c r="R302" s="1588">
        <f t="shared" si="107"/>
        <v>0</v>
      </c>
      <c r="S302" s="1588">
        <f t="shared" si="107"/>
        <v>0</v>
      </c>
      <c r="T302" s="1588">
        <f t="shared" si="107"/>
        <v>0</v>
      </c>
      <c r="U302" s="1588">
        <f t="shared" si="107"/>
        <v>0</v>
      </c>
      <c r="V302" s="1588">
        <f t="shared" si="107"/>
        <v>0</v>
      </c>
      <c r="W302" s="1588">
        <f t="shared" si="107"/>
        <v>0</v>
      </c>
      <c r="X302" s="1588">
        <f t="shared" si="107"/>
        <v>0</v>
      </c>
      <c r="Y302" s="1588">
        <f t="shared" si="107"/>
        <v>0</v>
      </c>
      <c r="Z302" s="1588">
        <f t="shared" si="107"/>
        <v>0</v>
      </c>
      <c r="AA302" s="1588">
        <f t="shared" si="107"/>
        <v>0</v>
      </c>
      <c r="AB302" s="1588">
        <f t="shared" si="107"/>
        <v>0</v>
      </c>
      <c r="AC302" s="1588">
        <f t="shared" si="107"/>
        <v>0</v>
      </c>
      <c r="AD302" s="1588">
        <f t="shared" si="107"/>
        <v>0</v>
      </c>
      <c r="AE302" s="1588">
        <f t="shared" si="107"/>
        <v>0</v>
      </c>
      <c r="AF302" s="1588">
        <f t="shared" si="107"/>
        <v>0</v>
      </c>
      <c r="AG302" s="1588">
        <f t="shared" si="107"/>
        <v>0</v>
      </c>
      <c r="AH302" s="1588">
        <f t="shared" si="107"/>
        <v>0</v>
      </c>
      <c r="AI302" s="1588">
        <f t="shared" si="107"/>
        <v>0</v>
      </c>
      <c r="AJ302" s="1588">
        <f t="shared" si="107"/>
        <v>0</v>
      </c>
      <c r="AK302" s="1588">
        <f t="shared" si="107"/>
        <v>0</v>
      </c>
      <c r="AL302" s="1588">
        <f t="shared" si="107"/>
        <v>0</v>
      </c>
      <c r="AM302" s="1588">
        <f t="shared" si="107"/>
        <v>0</v>
      </c>
      <c r="AN302" s="1588">
        <f t="shared" si="107"/>
        <v>0</v>
      </c>
      <c r="AO302" s="1588">
        <f t="shared" si="107"/>
        <v>0</v>
      </c>
      <c r="AP302" s="1588">
        <f t="shared" si="107"/>
        <v>0</v>
      </c>
      <c r="AQ302" s="1588">
        <f t="shared" si="107"/>
        <v>0</v>
      </c>
      <c r="AR302" s="1588">
        <f t="shared" si="107"/>
        <v>0</v>
      </c>
      <c r="AS302" s="1588">
        <f t="shared" si="107"/>
        <v>0</v>
      </c>
      <c r="AT302" s="1588">
        <f t="shared" si="107"/>
        <v>0</v>
      </c>
      <c r="AU302" s="1588">
        <f t="shared" si="107"/>
        <v>0</v>
      </c>
      <c r="AV302" s="1588">
        <f t="shared" si="107"/>
        <v>0</v>
      </c>
      <c r="AW302" s="1588">
        <f t="shared" si="107"/>
        <v>0</v>
      </c>
      <c r="AX302" s="1588">
        <f t="shared" si="107"/>
        <v>0</v>
      </c>
      <c r="AY302" s="1588">
        <f t="shared" si="107"/>
        <v>0</v>
      </c>
      <c r="AZ302" s="1588">
        <f t="shared" si="107"/>
        <v>0</v>
      </c>
      <c r="BA302" s="1588">
        <f t="shared" si="107"/>
        <v>0</v>
      </c>
      <c r="BB302" s="1588">
        <f t="shared" si="107"/>
        <v>0</v>
      </c>
      <c r="BC302" s="1588">
        <f t="shared" si="107"/>
        <v>0</v>
      </c>
      <c r="BD302" s="1588">
        <f t="shared" si="107"/>
        <v>0</v>
      </c>
      <c r="BE302" s="1589">
        <f t="shared" si="107"/>
        <v>0</v>
      </c>
      <c r="BF302" s="695"/>
    </row>
    <row r="303" spans="1:58" x14ac:dyDescent="0.45">
      <c r="A303" s="695"/>
      <c r="B303" s="836"/>
      <c r="C303" s="844" t="s">
        <v>65</v>
      </c>
      <c r="D303" s="844"/>
      <c r="E303" s="844"/>
      <c r="F303" s="844"/>
      <c r="G303" s="1590"/>
      <c r="H303" s="1590">
        <f>IF(H$292&gt;$G$298,0,PPMT($G$299,H$292,$G$298,-$G$297))</f>
        <v>0</v>
      </c>
      <c r="I303" s="1590">
        <f t="shared" ref="I303:BE303" si="108">IF(I$292&gt;$G$298,0,PPMT($G$299,I$292,$G$298,-$G$297))</f>
        <v>0</v>
      </c>
      <c r="J303" s="1590">
        <f t="shared" si="108"/>
        <v>0</v>
      </c>
      <c r="K303" s="1590">
        <f t="shared" si="108"/>
        <v>0</v>
      </c>
      <c r="L303" s="1590">
        <f t="shared" si="108"/>
        <v>0</v>
      </c>
      <c r="M303" s="1590">
        <f t="shared" si="108"/>
        <v>0</v>
      </c>
      <c r="N303" s="1590">
        <f t="shared" si="108"/>
        <v>0</v>
      </c>
      <c r="O303" s="1590">
        <f t="shared" si="108"/>
        <v>0</v>
      </c>
      <c r="P303" s="1590">
        <f t="shared" si="108"/>
        <v>0</v>
      </c>
      <c r="Q303" s="1590">
        <f t="shared" si="108"/>
        <v>0</v>
      </c>
      <c r="R303" s="1590">
        <f t="shared" si="108"/>
        <v>0</v>
      </c>
      <c r="S303" s="1590">
        <f t="shared" si="108"/>
        <v>0</v>
      </c>
      <c r="T303" s="1590">
        <f t="shared" si="108"/>
        <v>0</v>
      </c>
      <c r="U303" s="1590">
        <f t="shared" si="108"/>
        <v>0</v>
      </c>
      <c r="V303" s="1590">
        <f t="shared" si="108"/>
        <v>0</v>
      </c>
      <c r="W303" s="1590">
        <f t="shared" si="108"/>
        <v>0</v>
      </c>
      <c r="X303" s="1590">
        <f t="shared" si="108"/>
        <v>0</v>
      </c>
      <c r="Y303" s="1590">
        <f t="shared" si="108"/>
        <v>0</v>
      </c>
      <c r="Z303" s="1590">
        <f t="shared" si="108"/>
        <v>0</v>
      </c>
      <c r="AA303" s="1590">
        <f t="shared" si="108"/>
        <v>0</v>
      </c>
      <c r="AB303" s="1590">
        <f t="shared" si="108"/>
        <v>0</v>
      </c>
      <c r="AC303" s="1590">
        <f t="shared" si="108"/>
        <v>0</v>
      </c>
      <c r="AD303" s="1590">
        <f t="shared" si="108"/>
        <v>0</v>
      </c>
      <c r="AE303" s="1590">
        <f t="shared" si="108"/>
        <v>0</v>
      </c>
      <c r="AF303" s="1590">
        <f t="shared" si="108"/>
        <v>0</v>
      </c>
      <c r="AG303" s="1590">
        <f t="shared" si="108"/>
        <v>0</v>
      </c>
      <c r="AH303" s="1590">
        <f t="shared" si="108"/>
        <v>0</v>
      </c>
      <c r="AI303" s="1590">
        <f t="shared" si="108"/>
        <v>0</v>
      </c>
      <c r="AJ303" s="1590">
        <f t="shared" si="108"/>
        <v>0</v>
      </c>
      <c r="AK303" s="1590">
        <f t="shared" si="108"/>
        <v>0</v>
      </c>
      <c r="AL303" s="1590">
        <f t="shared" si="108"/>
        <v>0</v>
      </c>
      <c r="AM303" s="1590">
        <f t="shared" si="108"/>
        <v>0</v>
      </c>
      <c r="AN303" s="1590">
        <f t="shared" si="108"/>
        <v>0</v>
      </c>
      <c r="AO303" s="1590">
        <f t="shared" si="108"/>
        <v>0</v>
      </c>
      <c r="AP303" s="1590">
        <f t="shared" si="108"/>
        <v>0</v>
      </c>
      <c r="AQ303" s="1590">
        <f t="shared" si="108"/>
        <v>0</v>
      </c>
      <c r="AR303" s="1590">
        <f t="shared" si="108"/>
        <v>0</v>
      </c>
      <c r="AS303" s="1590">
        <f t="shared" si="108"/>
        <v>0</v>
      </c>
      <c r="AT303" s="1590">
        <f t="shared" si="108"/>
        <v>0</v>
      </c>
      <c r="AU303" s="1590">
        <f t="shared" si="108"/>
        <v>0</v>
      </c>
      <c r="AV303" s="1590">
        <f t="shared" si="108"/>
        <v>0</v>
      </c>
      <c r="AW303" s="1590">
        <f t="shared" si="108"/>
        <v>0</v>
      </c>
      <c r="AX303" s="1590">
        <f t="shared" si="108"/>
        <v>0</v>
      </c>
      <c r="AY303" s="1590">
        <f t="shared" si="108"/>
        <v>0</v>
      </c>
      <c r="AZ303" s="1590">
        <f t="shared" si="108"/>
        <v>0</v>
      </c>
      <c r="BA303" s="1590">
        <f t="shared" si="108"/>
        <v>0</v>
      </c>
      <c r="BB303" s="1590">
        <f t="shared" si="108"/>
        <v>0</v>
      </c>
      <c r="BC303" s="1590">
        <f t="shared" si="108"/>
        <v>0</v>
      </c>
      <c r="BD303" s="1590">
        <f t="shared" si="108"/>
        <v>0</v>
      </c>
      <c r="BE303" s="1591">
        <f t="shared" si="108"/>
        <v>0</v>
      </c>
      <c r="BF303" s="695"/>
    </row>
    <row r="304" spans="1:58" x14ac:dyDescent="0.45">
      <c r="A304" s="695"/>
      <c r="B304" s="836"/>
      <c r="C304" s="837" t="s">
        <v>67</v>
      </c>
      <c r="D304" s="837"/>
      <c r="E304" s="837"/>
      <c r="F304" s="837"/>
      <c r="G304" s="1588"/>
      <c r="H304" s="1588">
        <f>SUM(H302:H303)</f>
        <v>0</v>
      </c>
      <c r="I304" s="1588">
        <f t="shared" ref="I304:BE304" si="109">SUM(I302:I303)</f>
        <v>0</v>
      </c>
      <c r="J304" s="1588">
        <f t="shared" si="109"/>
        <v>0</v>
      </c>
      <c r="K304" s="1588">
        <f t="shared" si="109"/>
        <v>0</v>
      </c>
      <c r="L304" s="1588">
        <f t="shared" si="109"/>
        <v>0</v>
      </c>
      <c r="M304" s="1588">
        <f t="shared" si="109"/>
        <v>0</v>
      </c>
      <c r="N304" s="1588">
        <f t="shared" si="109"/>
        <v>0</v>
      </c>
      <c r="O304" s="1588">
        <f t="shared" si="109"/>
        <v>0</v>
      </c>
      <c r="P304" s="1588">
        <f t="shared" si="109"/>
        <v>0</v>
      </c>
      <c r="Q304" s="1588">
        <f t="shared" si="109"/>
        <v>0</v>
      </c>
      <c r="R304" s="1588">
        <f t="shared" si="109"/>
        <v>0</v>
      </c>
      <c r="S304" s="1588">
        <f t="shared" si="109"/>
        <v>0</v>
      </c>
      <c r="T304" s="1588">
        <f t="shared" si="109"/>
        <v>0</v>
      </c>
      <c r="U304" s="1588">
        <f t="shared" si="109"/>
        <v>0</v>
      </c>
      <c r="V304" s="1588">
        <f t="shared" si="109"/>
        <v>0</v>
      </c>
      <c r="W304" s="1588">
        <f t="shared" si="109"/>
        <v>0</v>
      </c>
      <c r="X304" s="1588">
        <f t="shared" si="109"/>
        <v>0</v>
      </c>
      <c r="Y304" s="1588">
        <f t="shared" si="109"/>
        <v>0</v>
      </c>
      <c r="Z304" s="1588">
        <f t="shared" si="109"/>
        <v>0</v>
      </c>
      <c r="AA304" s="1588">
        <f t="shared" si="109"/>
        <v>0</v>
      </c>
      <c r="AB304" s="1588">
        <f t="shared" si="109"/>
        <v>0</v>
      </c>
      <c r="AC304" s="1588">
        <f t="shared" si="109"/>
        <v>0</v>
      </c>
      <c r="AD304" s="1588">
        <f t="shared" si="109"/>
        <v>0</v>
      </c>
      <c r="AE304" s="1588">
        <f t="shared" si="109"/>
        <v>0</v>
      </c>
      <c r="AF304" s="1588">
        <f t="shared" si="109"/>
        <v>0</v>
      </c>
      <c r="AG304" s="1588">
        <f t="shared" si="109"/>
        <v>0</v>
      </c>
      <c r="AH304" s="1588">
        <f t="shared" si="109"/>
        <v>0</v>
      </c>
      <c r="AI304" s="1588">
        <f t="shared" si="109"/>
        <v>0</v>
      </c>
      <c r="AJ304" s="1588">
        <f t="shared" si="109"/>
        <v>0</v>
      </c>
      <c r="AK304" s="1588">
        <f t="shared" si="109"/>
        <v>0</v>
      </c>
      <c r="AL304" s="1588">
        <f t="shared" si="109"/>
        <v>0</v>
      </c>
      <c r="AM304" s="1588">
        <f t="shared" si="109"/>
        <v>0</v>
      </c>
      <c r="AN304" s="1588">
        <f t="shared" si="109"/>
        <v>0</v>
      </c>
      <c r="AO304" s="1588">
        <f t="shared" si="109"/>
        <v>0</v>
      </c>
      <c r="AP304" s="1588">
        <f t="shared" si="109"/>
        <v>0</v>
      </c>
      <c r="AQ304" s="1588">
        <f t="shared" si="109"/>
        <v>0</v>
      </c>
      <c r="AR304" s="1588">
        <f t="shared" si="109"/>
        <v>0</v>
      </c>
      <c r="AS304" s="1588">
        <f t="shared" si="109"/>
        <v>0</v>
      </c>
      <c r="AT304" s="1588">
        <f t="shared" si="109"/>
        <v>0</v>
      </c>
      <c r="AU304" s="1588">
        <f t="shared" si="109"/>
        <v>0</v>
      </c>
      <c r="AV304" s="1588">
        <f t="shared" si="109"/>
        <v>0</v>
      </c>
      <c r="AW304" s="1588">
        <f t="shared" si="109"/>
        <v>0</v>
      </c>
      <c r="AX304" s="1588">
        <f t="shared" si="109"/>
        <v>0</v>
      </c>
      <c r="AY304" s="1588">
        <f t="shared" si="109"/>
        <v>0</v>
      </c>
      <c r="AZ304" s="1588">
        <f t="shared" si="109"/>
        <v>0</v>
      </c>
      <c r="BA304" s="1588">
        <f t="shared" si="109"/>
        <v>0</v>
      </c>
      <c r="BB304" s="1588">
        <f t="shared" si="109"/>
        <v>0</v>
      </c>
      <c r="BC304" s="1588">
        <f t="shared" si="109"/>
        <v>0</v>
      </c>
      <c r="BD304" s="1588">
        <f t="shared" si="109"/>
        <v>0</v>
      </c>
      <c r="BE304" s="1589">
        <f t="shared" si="109"/>
        <v>0</v>
      </c>
      <c r="BF304" s="695"/>
    </row>
    <row r="305" spans="1:58" x14ac:dyDescent="0.45">
      <c r="A305" s="695"/>
      <c r="B305" s="836"/>
      <c r="C305" s="837"/>
      <c r="D305" s="837"/>
      <c r="E305" s="837"/>
      <c r="F305" s="837"/>
      <c r="G305" s="1588"/>
      <c r="H305" s="1588"/>
      <c r="I305" s="1588"/>
      <c r="J305" s="1588"/>
      <c r="K305" s="1588"/>
      <c r="L305" s="1588"/>
      <c r="M305" s="1588"/>
      <c r="N305" s="1588"/>
      <c r="O305" s="1588"/>
      <c r="P305" s="1588"/>
      <c r="Q305" s="1588"/>
      <c r="R305" s="1588"/>
      <c r="S305" s="1588"/>
      <c r="T305" s="1588"/>
      <c r="U305" s="1588"/>
      <c r="V305" s="1588"/>
      <c r="W305" s="1588"/>
      <c r="X305" s="1588"/>
      <c r="Y305" s="1588"/>
      <c r="Z305" s="1588"/>
      <c r="AA305" s="1588"/>
      <c r="AB305" s="1588"/>
      <c r="AC305" s="1588"/>
      <c r="AD305" s="1588"/>
      <c r="AE305" s="1588"/>
      <c r="AF305" s="1588"/>
      <c r="AG305" s="1588"/>
      <c r="AH305" s="1588"/>
      <c r="AI305" s="1588"/>
      <c r="AJ305" s="1588"/>
      <c r="AK305" s="1588"/>
      <c r="AL305" s="1588"/>
      <c r="AM305" s="1588"/>
      <c r="AN305" s="1588"/>
      <c r="AO305" s="1588"/>
      <c r="AP305" s="1588"/>
      <c r="AQ305" s="1588"/>
      <c r="AR305" s="1588"/>
      <c r="AS305" s="1588"/>
      <c r="AT305" s="1588"/>
      <c r="AU305" s="1588"/>
      <c r="AV305" s="1588"/>
      <c r="AW305" s="1588"/>
      <c r="AX305" s="1588"/>
      <c r="AY305" s="1588"/>
      <c r="AZ305" s="1588"/>
      <c r="BA305" s="1588"/>
      <c r="BB305" s="1588"/>
      <c r="BC305" s="1588"/>
      <c r="BD305" s="1588"/>
      <c r="BE305" s="1589"/>
      <c r="BF305" s="695"/>
    </row>
    <row r="306" spans="1:58" x14ac:dyDescent="0.45">
      <c r="A306" s="695"/>
      <c r="B306" s="836"/>
      <c r="C306" s="1008" t="s">
        <v>58</v>
      </c>
      <c r="D306" s="837"/>
      <c r="E306" s="837"/>
      <c r="F306" s="837"/>
      <c r="G306" s="1588"/>
      <c r="H306" s="1588"/>
      <c r="I306" s="1588"/>
      <c r="J306" s="1588"/>
      <c r="K306" s="1588"/>
      <c r="L306" s="1588"/>
      <c r="M306" s="1588"/>
      <c r="N306" s="1588"/>
      <c r="O306" s="1588"/>
      <c r="P306" s="1588"/>
      <c r="Q306" s="1588"/>
      <c r="R306" s="1588"/>
      <c r="S306" s="1588"/>
      <c r="T306" s="1588"/>
      <c r="U306" s="1588"/>
      <c r="V306" s="1588"/>
      <c r="W306" s="1588"/>
      <c r="X306" s="1588"/>
      <c r="Y306" s="1588"/>
      <c r="Z306" s="1588"/>
      <c r="AA306" s="1588"/>
      <c r="AB306" s="1588"/>
      <c r="AC306" s="1588"/>
      <c r="AD306" s="1588"/>
      <c r="AE306" s="1588"/>
      <c r="AF306" s="1588"/>
      <c r="AG306" s="1588"/>
      <c r="AH306" s="1588"/>
      <c r="AI306" s="1588"/>
      <c r="AJ306" s="1588"/>
      <c r="AK306" s="1588"/>
      <c r="AL306" s="1588"/>
      <c r="AM306" s="1588"/>
      <c r="AN306" s="1588"/>
      <c r="AO306" s="1588"/>
      <c r="AP306" s="1588"/>
      <c r="AQ306" s="1588"/>
      <c r="AR306" s="1588"/>
      <c r="AS306" s="1588"/>
      <c r="AT306" s="1588"/>
      <c r="AU306" s="1588"/>
      <c r="AV306" s="1588"/>
      <c r="AW306" s="1588"/>
      <c r="AX306" s="1588"/>
      <c r="AY306" s="1588"/>
      <c r="AZ306" s="1588"/>
      <c r="BA306" s="1588"/>
      <c r="BB306" s="1588"/>
      <c r="BC306" s="1588"/>
      <c r="BD306" s="1588"/>
      <c r="BE306" s="1589"/>
      <c r="BF306" s="695"/>
    </row>
    <row r="307" spans="1:58" x14ac:dyDescent="0.45">
      <c r="A307" s="695"/>
      <c r="B307" s="836"/>
      <c r="C307" s="837" t="s">
        <v>68</v>
      </c>
      <c r="D307" s="837"/>
      <c r="E307" s="837"/>
      <c r="F307" s="837"/>
      <c r="G307" s="1588">
        <v>0</v>
      </c>
      <c r="H307" s="1588">
        <f t="shared" ref="H307:AL307" si="110">G310</f>
        <v>0</v>
      </c>
      <c r="I307" s="1588">
        <f t="shared" si="110"/>
        <v>0</v>
      </c>
      <c r="J307" s="1588">
        <f t="shared" si="110"/>
        <v>0</v>
      </c>
      <c r="K307" s="1588">
        <f t="shared" si="110"/>
        <v>0</v>
      </c>
      <c r="L307" s="1588">
        <f t="shared" si="110"/>
        <v>0</v>
      </c>
      <c r="M307" s="1588">
        <f t="shared" si="110"/>
        <v>0</v>
      </c>
      <c r="N307" s="1588">
        <f t="shared" si="110"/>
        <v>0</v>
      </c>
      <c r="O307" s="1588">
        <f t="shared" si="110"/>
        <v>0</v>
      </c>
      <c r="P307" s="1588">
        <f t="shared" si="110"/>
        <v>0</v>
      </c>
      <c r="Q307" s="1588">
        <f t="shared" si="110"/>
        <v>0</v>
      </c>
      <c r="R307" s="1588">
        <f t="shared" si="110"/>
        <v>0</v>
      </c>
      <c r="S307" s="1588">
        <f t="shared" si="110"/>
        <v>0</v>
      </c>
      <c r="T307" s="1588">
        <f t="shared" si="110"/>
        <v>0</v>
      </c>
      <c r="U307" s="1588">
        <f t="shared" si="110"/>
        <v>0</v>
      </c>
      <c r="V307" s="1588">
        <f t="shared" si="110"/>
        <v>0</v>
      </c>
      <c r="W307" s="1588">
        <f t="shared" si="110"/>
        <v>0</v>
      </c>
      <c r="X307" s="1588">
        <f t="shared" si="110"/>
        <v>0</v>
      </c>
      <c r="Y307" s="1588">
        <f t="shared" si="110"/>
        <v>0</v>
      </c>
      <c r="Z307" s="1588">
        <f t="shared" si="110"/>
        <v>0</v>
      </c>
      <c r="AA307" s="1588">
        <f t="shared" si="110"/>
        <v>0</v>
      </c>
      <c r="AB307" s="1588">
        <f t="shared" si="110"/>
        <v>0</v>
      </c>
      <c r="AC307" s="1588">
        <f t="shared" si="110"/>
        <v>0</v>
      </c>
      <c r="AD307" s="1588">
        <f t="shared" si="110"/>
        <v>0</v>
      </c>
      <c r="AE307" s="1588">
        <f t="shared" si="110"/>
        <v>0</v>
      </c>
      <c r="AF307" s="1588">
        <f t="shared" si="110"/>
        <v>0</v>
      </c>
      <c r="AG307" s="1588">
        <f t="shared" si="110"/>
        <v>0</v>
      </c>
      <c r="AH307" s="1588">
        <f t="shared" si="110"/>
        <v>0</v>
      </c>
      <c r="AI307" s="1588">
        <f t="shared" si="110"/>
        <v>0</v>
      </c>
      <c r="AJ307" s="1588">
        <f t="shared" si="110"/>
        <v>0</v>
      </c>
      <c r="AK307" s="1588">
        <f t="shared" si="110"/>
        <v>0</v>
      </c>
      <c r="AL307" s="1588">
        <f t="shared" si="110"/>
        <v>0</v>
      </c>
      <c r="AM307" s="1588">
        <f t="shared" ref="AM307:BE307" si="111">AL310</f>
        <v>0</v>
      </c>
      <c r="AN307" s="1588">
        <f t="shared" si="111"/>
        <v>0</v>
      </c>
      <c r="AO307" s="1588">
        <f t="shared" si="111"/>
        <v>0</v>
      </c>
      <c r="AP307" s="1588">
        <f t="shared" si="111"/>
        <v>0</v>
      </c>
      <c r="AQ307" s="1588">
        <f t="shared" si="111"/>
        <v>0</v>
      </c>
      <c r="AR307" s="1588">
        <f t="shared" si="111"/>
        <v>0</v>
      </c>
      <c r="AS307" s="1588">
        <f t="shared" si="111"/>
        <v>0</v>
      </c>
      <c r="AT307" s="1588">
        <f t="shared" si="111"/>
        <v>0</v>
      </c>
      <c r="AU307" s="1588">
        <f t="shared" si="111"/>
        <v>0</v>
      </c>
      <c r="AV307" s="1588">
        <f t="shared" si="111"/>
        <v>0</v>
      </c>
      <c r="AW307" s="1588">
        <f t="shared" si="111"/>
        <v>0</v>
      </c>
      <c r="AX307" s="1588">
        <f t="shared" si="111"/>
        <v>0</v>
      </c>
      <c r="AY307" s="1588">
        <f t="shared" si="111"/>
        <v>0</v>
      </c>
      <c r="AZ307" s="1588">
        <f t="shared" si="111"/>
        <v>0</v>
      </c>
      <c r="BA307" s="1588">
        <f t="shared" si="111"/>
        <v>0</v>
      </c>
      <c r="BB307" s="1588">
        <f t="shared" si="111"/>
        <v>0</v>
      </c>
      <c r="BC307" s="1588">
        <f t="shared" si="111"/>
        <v>0</v>
      </c>
      <c r="BD307" s="1588">
        <f t="shared" si="111"/>
        <v>0</v>
      </c>
      <c r="BE307" s="1589">
        <f t="shared" si="111"/>
        <v>0</v>
      </c>
      <c r="BF307" s="695"/>
    </row>
    <row r="308" spans="1:58" x14ac:dyDescent="0.45">
      <c r="A308" s="695"/>
      <c r="B308" s="836"/>
      <c r="C308" s="837" t="s">
        <v>69</v>
      </c>
      <c r="D308" s="837"/>
      <c r="E308" s="837"/>
      <c r="F308" s="837"/>
      <c r="G308" s="1588">
        <f>G297</f>
        <v>0</v>
      </c>
      <c r="H308" s="1588">
        <v>0</v>
      </c>
      <c r="I308" s="1588">
        <v>0</v>
      </c>
      <c r="J308" s="1588">
        <v>0</v>
      </c>
      <c r="K308" s="1588">
        <v>0</v>
      </c>
      <c r="L308" s="1588">
        <v>0</v>
      </c>
      <c r="M308" s="1588">
        <v>0</v>
      </c>
      <c r="N308" s="1588">
        <v>0</v>
      </c>
      <c r="O308" s="1588">
        <v>0</v>
      </c>
      <c r="P308" s="1588">
        <v>0</v>
      </c>
      <c r="Q308" s="1588">
        <v>0</v>
      </c>
      <c r="R308" s="1588">
        <v>0</v>
      </c>
      <c r="S308" s="1588">
        <v>0</v>
      </c>
      <c r="T308" s="1588">
        <v>0</v>
      </c>
      <c r="U308" s="1588">
        <v>0</v>
      </c>
      <c r="V308" s="1588">
        <v>0</v>
      </c>
      <c r="W308" s="1588">
        <v>0</v>
      </c>
      <c r="X308" s="1588">
        <v>0</v>
      </c>
      <c r="Y308" s="1588">
        <v>0</v>
      </c>
      <c r="Z308" s="1588">
        <v>0</v>
      </c>
      <c r="AA308" s="1588">
        <v>0</v>
      </c>
      <c r="AB308" s="1588">
        <v>0</v>
      </c>
      <c r="AC308" s="1588">
        <v>0</v>
      </c>
      <c r="AD308" s="1588">
        <v>0</v>
      </c>
      <c r="AE308" s="1588">
        <v>0</v>
      </c>
      <c r="AF308" s="1588">
        <v>0</v>
      </c>
      <c r="AG308" s="1588">
        <v>0</v>
      </c>
      <c r="AH308" s="1588">
        <v>0</v>
      </c>
      <c r="AI308" s="1588">
        <v>0</v>
      </c>
      <c r="AJ308" s="1588">
        <v>0</v>
      </c>
      <c r="AK308" s="1588">
        <v>0</v>
      </c>
      <c r="AL308" s="1588">
        <v>0</v>
      </c>
      <c r="AM308" s="1588">
        <v>0</v>
      </c>
      <c r="AN308" s="1588">
        <v>0</v>
      </c>
      <c r="AO308" s="1588">
        <v>0</v>
      </c>
      <c r="AP308" s="1588">
        <v>0</v>
      </c>
      <c r="AQ308" s="1588">
        <v>0</v>
      </c>
      <c r="AR308" s="1588">
        <v>0</v>
      </c>
      <c r="AS308" s="1588">
        <v>0</v>
      </c>
      <c r="AT308" s="1588">
        <v>0</v>
      </c>
      <c r="AU308" s="1588">
        <v>0</v>
      </c>
      <c r="AV308" s="1588">
        <v>0</v>
      </c>
      <c r="AW308" s="1588">
        <v>0</v>
      </c>
      <c r="AX308" s="1588">
        <v>0</v>
      </c>
      <c r="AY308" s="1588">
        <v>0</v>
      </c>
      <c r="AZ308" s="1588">
        <v>0</v>
      </c>
      <c r="BA308" s="1588">
        <v>0</v>
      </c>
      <c r="BB308" s="1588">
        <v>0</v>
      </c>
      <c r="BC308" s="1588">
        <v>0</v>
      </c>
      <c r="BD308" s="1588">
        <v>0</v>
      </c>
      <c r="BE308" s="1589">
        <v>0</v>
      </c>
      <c r="BF308" s="695"/>
    </row>
    <row r="309" spans="1:58" x14ac:dyDescent="0.45">
      <c r="A309" s="695"/>
      <c r="B309" s="836"/>
      <c r="C309" s="844" t="s">
        <v>70</v>
      </c>
      <c r="D309" s="844"/>
      <c r="E309" s="844"/>
      <c r="F309" s="844"/>
      <c r="G309" s="1590">
        <v>0</v>
      </c>
      <c r="H309" s="1590">
        <f t="shared" ref="H309:AL309" si="112">-H303</f>
        <v>0</v>
      </c>
      <c r="I309" s="1590">
        <f t="shared" si="112"/>
        <v>0</v>
      </c>
      <c r="J309" s="1590">
        <f t="shared" si="112"/>
        <v>0</v>
      </c>
      <c r="K309" s="1590">
        <f t="shared" si="112"/>
        <v>0</v>
      </c>
      <c r="L309" s="1590">
        <f t="shared" si="112"/>
        <v>0</v>
      </c>
      <c r="M309" s="1590">
        <f t="shared" si="112"/>
        <v>0</v>
      </c>
      <c r="N309" s="1590">
        <f t="shared" si="112"/>
        <v>0</v>
      </c>
      <c r="O309" s="1590">
        <f t="shared" si="112"/>
        <v>0</v>
      </c>
      <c r="P309" s="1590">
        <f t="shared" si="112"/>
        <v>0</v>
      </c>
      <c r="Q309" s="1590">
        <f t="shared" si="112"/>
        <v>0</v>
      </c>
      <c r="R309" s="1590">
        <f t="shared" si="112"/>
        <v>0</v>
      </c>
      <c r="S309" s="1590">
        <f t="shared" si="112"/>
        <v>0</v>
      </c>
      <c r="T309" s="1590">
        <f t="shared" si="112"/>
        <v>0</v>
      </c>
      <c r="U309" s="1590">
        <f t="shared" si="112"/>
        <v>0</v>
      </c>
      <c r="V309" s="1590">
        <f t="shared" si="112"/>
        <v>0</v>
      </c>
      <c r="W309" s="1590">
        <f t="shared" si="112"/>
        <v>0</v>
      </c>
      <c r="X309" s="1590">
        <f t="shared" si="112"/>
        <v>0</v>
      </c>
      <c r="Y309" s="1590">
        <f t="shared" si="112"/>
        <v>0</v>
      </c>
      <c r="Z309" s="1590">
        <f t="shared" si="112"/>
        <v>0</v>
      </c>
      <c r="AA309" s="1590">
        <f t="shared" si="112"/>
        <v>0</v>
      </c>
      <c r="AB309" s="1590">
        <f t="shared" si="112"/>
        <v>0</v>
      </c>
      <c r="AC309" s="1590">
        <f t="shared" si="112"/>
        <v>0</v>
      </c>
      <c r="AD309" s="1590">
        <f t="shared" si="112"/>
        <v>0</v>
      </c>
      <c r="AE309" s="1590">
        <f t="shared" si="112"/>
        <v>0</v>
      </c>
      <c r="AF309" s="1590">
        <f t="shared" si="112"/>
        <v>0</v>
      </c>
      <c r="AG309" s="1590">
        <f t="shared" si="112"/>
        <v>0</v>
      </c>
      <c r="AH309" s="1590">
        <f t="shared" si="112"/>
        <v>0</v>
      </c>
      <c r="AI309" s="1590">
        <f t="shared" si="112"/>
        <v>0</v>
      </c>
      <c r="AJ309" s="1590">
        <f t="shared" si="112"/>
        <v>0</v>
      </c>
      <c r="AK309" s="1590">
        <f t="shared" si="112"/>
        <v>0</v>
      </c>
      <c r="AL309" s="1590">
        <f t="shared" si="112"/>
        <v>0</v>
      </c>
      <c r="AM309" s="1590">
        <f t="shared" ref="AM309:BE309" si="113">-AM303</f>
        <v>0</v>
      </c>
      <c r="AN309" s="1590">
        <f t="shared" si="113"/>
        <v>0</v>
      </c>
      <c r="AO309" s="1590">
        <f t="shared" si="113"/>
        <v>0</v>
      </c>
      <c r="AP309" s="1590">
        <f t="shared" si="113"/>
        <v>0</v>
      </c>
      <c r="AQ309" s="1590">
        <f t="shared" si="113"/>
        <v>0</v>
      </c>
      <c r="AR309" s="1590">
        <f t="shared" si="113"/>
        <v>0</v>
      </c>
      <c r="AS309" s="1590">
        <f t="shared" si="113"/>
        <v>0</v>
      </c>
      <c r="AT309" s="1590">
        <f t="shared" si="113"/>
        <v>0</v>
      </c>
      <c r="AU309" s="1590">
        <f t="shared" si="113"/>
        <v>0</v>
      </c>
      <c r="AV309" s="1590">
        <f t="shared" si="113"/>
        <v>0</v>
      </c>
      <c r="AW309" s="1590">
        <f t="shared" si="113"/>
        <v>0</v>
      </c>
      <c r="AX309" s="1590">
        <f t="shared" si="113"/>
        <v>0</v>
      </c>
      <c r="AY309" s="1590">
        <f t="shared" si="113"/>
        <v>0</v>
      </c>
      <c r="AZ309" s="1590">
        <f t="shared" si="113"/>
        <v>0</v>
      </c>
      <c r="BA309" s="1590">
        <f t="shared" si="113"/>
        <v>0</v>
      </c>
      <c r="BB309" s="1590">
        <f t="shared" si="113"/>
        <v>0</v>
      </c>
      <c r="BC309" s="1590">
        <f t="shared" si="113"/>
        <v>0</v>
      </c>
      <c r="BD309" s="1590">
        <f t="shared" si="113"/>
        <v>0</v>
      </c>
      <c r="BE309" s="1591">
        <f t="shared" si="113"/>
        <v>0</v>
      </c>
      <c r="BF309" s="695"/>
    </row>
    <row r="310" spans="1:58" x14ac:dyDescent="0.45">
      <c r="A310" s="695"/>
      <c r="B310" s="836"/>
      <c r="C310" s="837" t="s">
        <v>59</v>
      </c>
      <c r="D310" s="837"/>
      <c r="E310" s="837"/>
      <c r="F310" s="837"/>
      <c r="G310" s="1588">
        <f t="shared" ref="G310:AL310" si="114">SUM(G307:G309)</f>
        <v>0</v>
      </c>
      <c r="H310" s="1588">
        <f t="shared" si="114"/>
        <v>0</v>
      </c>
      <c r="I310" s="1588">
        <f t="shared" si="114"/>
        <v>0</v>
      </c>
      <c r="J310" s="1588">
        <f t="shared" si="114"/>
        <v>0</v>
      </c>
      <c r="K310" s="1588">
        <f t="shared" si="114"/>
        <v>0</v>
      </c>
      <c r="L310" s="1588">
        <f t="shared" si="114"/>
        <v>0</v>
      </c>
      <c r="M310" s="1588">
        <f t="shared" si="114"/>
        <v>0</v>
      </c>
      <c r="N310" s="1588">
        <f t="shared" si="114"/>
        <v>0</v>
      </c>
      <c r="O310" s="1588">
        <f t="shared" si="114"/>
        <v>0</v>
      </c>
      <c r="P310" s="1588">
        <f t="shared" si="114"/>
        <v>0</v>
      </c>
      <c r="Q310" s="1588">
        <f t="shared" si="114"/>
        <v>0</v>
      </c>
      <c r="R310" s="1588">
        <f t="shared" si="114"/>
        <v>0</v>
      </c>
      <c r="S310" s="1588">
        <f t="shared" si="114"/>
        <v>0</v>
      </c>
      <c r="T310" s="1588">
        <f t="shared" si="114"/>
        <v>0</v>
      </c>
      <c r="U310" s="1588">
        <f t="shared" si="114"/>
        <v>0</v>
      </c>
      <c r="V310" s="1588">
        <f t="shared" si="114"/>
        <v>0</v>
      </c>
      <c r="W310" s="1588">
        <f t="shared" si="114"/>
        <v>0</v>
      </c>
      <c r="X310" s="1588">
        <f t="shared" si="114"/>
        <v>0</v>
      </c>
      <c r="Y310" s="1588">
        <f t="shared" si="114"/>
        <v>0</v>
      </c>
      <c r="Z310" s="1588">
        <f t="shared" si="114"/>
        <v>0</v>
      </c>
      <c r="AA310" s="1588">
        <f t="shared" si="114"/>
        <v>0</v>
      </c>
      <c r="AB310" s="1588">
        <f t="shared" si="114"/>
        <v>0</v>
      </c>
      <c r="AC310" s="1588">
        <f t="shared" si="114"/>
        <v>0</v>
      </c>
      <c r="AD310" s="1588">
        <f t="shared" si="114"/>
        <v>0</v>
      </c>
      <c r="AE310" s="1588">
        <f t="shared" si="114"/>
        <v>0</v>
      </c>
      <c r="AF310" s="1588">
        <f t="shared" si="114"/>
        <v>0</v>
      </c>
      <c r="AG310" s="1588">
        <f t="shared" si="114"/>
        <v>0</v>
      </c>
      <c r="AH310" s="1588">
        <f t="shared" si="114"/>
        <v>0</v>
      </c>
      <c r="AI310" s="1588">
        <f t="shared" si="114"/>
        <v>0</v>
      </c>
      <c r="AJ310" s="1588">
        <f t="shared" si="114"/>
        <v>0</v>
      </c>
      <c r="AK310" s="1588">
        <f t="shared" si="114"/>
        <v>0</v>
      </c>
      <c r="AL310" s="1588">
        <f t="shared" si="114"/>
        <v>0</v>
      </c>
      <c r="AM310" s="1588">
        <f t="shared" ref="AM310:BE310" si="115">SUM(AM307:AM309)</f>
        <v>0</v>
      </c>
      <c r="AN310" s="1588">
        <f t="shared" si="115"/>
        <v>0</v>
      </c>
      <c r="AO310" s="1588">
        <f t="shared" si="115"/>
        <v>0</v>
      </c>
      <c r="AP310" s="1588">
        <f t="shared" si="115"/>
        <v>0</v>
      </c>
      <c r="AQ310" s="1588">
        <f t="shared" si="115"/>
        <v>0</v>
      </c>
      <c r="AR310" s="1588">
        <f t="shared" si="115"/>
        <v>0</v>
      </c>
      <c r="AS310" s="1588">
        <f t="shared" si="115"/>
        <v>0</v>
      </c>
      <c r="AT310" s="1588">
        <f t="shared" si="115"/>
        <v>0</v>
      </c>
      <c r="AU310" s="1588">
        <f t="shared" si="115"/>
        <v>0</v>
      </c>
      <c r="AV310" s="1588">
        <f t="shared" si="115"/>
        <v>0</v>
      </c>
      <c r="AW310" s="1588">
        <f t="shared" si="115"/>
        <v>0</v>
      </c>
      <c r="AX310" s="1588">
        <f t="shared" si="115"/>
        <v>0</v>
      </c>
      <c r="AY310" s="1588">
        <f t="shared" si="115"/>
        <v>0</v>
      </c>
      <c r="AZ310" s="1588">
        <f t="shared" si="115"/>
        <v>0</v>
      </c>
      <c r="BA310" s="1588">
        <f t="shared" si="115"/>
        <v>0</v>
      </c>
      <c r="BB310" s="1588">
        <f t="shared" si="115"/>
        <v>0</v>
      </c>
      <c r="BC310" s="1588">
        <f t="shared" si="115"/>
        <v>0</v>
      </c>
      <c r="BD310" s="1588">
        <f t="shared" si="115"/>
        <v>0</v>
      </c>
      <c r="BE310" s="1589">
        <f t="shared" si="115"/>
        <v>0</v>
      </c>
      <c r="BF310" s="695"/>
    </row>
    <row r="311" spans="1:58" x14ac:dyDescent="0.45">
      <c r="A311" s="695"/>
      <c r="B311" s="836"/>
      <c r="C311" s="837"/>
      <c r="D311" s="837"/>
      <c r="E311" s="837"/>
      <c r="F311" s="837"/>
      <c r="G311" s="1588"/>
      <c r="H311" s="1588"/>
      <c r="I311" s="1588"/>
      <c r="J311" s="1588"/>
      <c r="K311" s="1588"/>
      <c r="L311" s="1588"/>
      <c r="M311" s="1588"/>
      <c r="N311" s="1588"/>
      <c r="O311" s="1588"/>
      <c r="P311" s="1588"/>
      <c r="Q311" s="1588"/>
      <c r="R311" s="1588"/>
      <c r="S311" s="1588"/>
      <c r="T311" s="1588"/>
      <c r="U311" s="1588"/>
      <c r="V311" s="1588"/>
      <c r="W311" s="1588"/>
      <c r="X311" s="1588"/>
      <c r="Y311" s="1588"/>
      <c r="Z311" s="1588"/>
      <c r="AA311" s="1588"/>
      <c r="AB311" s="1588"/>
      <c r="AC311" s="1588"/>
      <c r="AD311" s="1588"/>
      <c r="AE311" s="1588"/>
      <c r="AF311" s="1588"/>
      <c r="AG311" s="1588"/>
      <c r="AH311" s="1588"/>
      <c r="AI311" s="1588"/>
      <c r="AJ311" s="1588"/>
      <c r="AK311" s="1588"/>
      <c r="AL311" s="1588"/>
      <c r="AM311" s="1588"/>
      <c r="AN311" s="1588"/>
      <c r="AO311" s="1588"/>
      <c r="AP311" s="1588"/>
      <c r="AQ311" s="1588"/>
      <c r="AR311" s="1588"/>
      <c r="AS311" s="1588"/>
      <c r="AT311" s="1588"/>
      <c r="AU311" s="1588"/>
      <c r="AV311" s="1588"/>
      <c r="AW311" s="1588"/>
      <c r="AX311" s="1588"/>
      <c r="AY311" s="1588"/>
      <c r="AZ311" s="1588"/>
      <c r="BA311" s="1588"/>
      <c r="BB311" s="1588"/>
      <c r="BC311" s="1588"/>
      <c r="BD311" s="1588"/>
      <c r="BE311" s="1589"/>
      <c r="BF311" s="695"/>
    </row>
    <row r="312" spans="1:58" x14ac:dyDescent="0.45">
      <c r="A312" s="695"/>
      <c r="B312" s="836"/>
      <c r="C312" s="1008" t="s">
        <v>64</v>
      </c>
      <c r="D312" s="837"/>
      <c r="E312" s="837"/>
      <c r="F312" s="837"/>
      <c r="G312" s="1588"/>
      <c r="H312" s="1588"/>
      <c r="I312" s="1588"/>
      <c r="J312" s="1588"/>
      <c r="K312" s="1588"/>
      <c r="L312" s="1588"/>
      <c r="M312" s="1588"/>
      <c r="N312" s="1588"/>
      <c r="O312" s="1588"/>
      <c r="P312" s="1588"/>
      <c r="Q312" s="1588"/>
      <c r="R312" s="1588"/>
      <c r="S312" s="1588"/>
      <c r="T312" s="1588"/>
      <c r="U312" s="1588"/>
      <c r="V312" s="1588"/>
      <c r="W312" s="1588"/>
      <c r="X312" s="1588"/>
      <c r="Y312" s="1588"/>
      <c r="Z312" s="1588"/>
      <c r="AA312" s="1588"/>
      <c r="AB312" s="1588"/>
      <c r="AC312" s="1588"/>
      <c r="AD312" s="1588"/>
      <c r="AE312" s="1588"/>
      <c r="AF312" s="1588"/>
      <c r="AG312" s="1588"/>
      <c r="AH312" s="1588"/>
      <c r="AI312" s="1588"/>
      <c r="AJ312" s="1588"/>
      <c r="AK312" s="1588"/>
      <c r="AL312" s="1588"/>
      <c r="AM312" s="1588"/>
      <c r="AN312" s="1588"/>
      <c r="AO312" s="1588"/>
      <c r="AP312" s="1588"/>
      <c r="AQ312" s="1588"/>
      <c r="AR312" s="1588"/>
      <c r="AS312" s="1588"/>
      <c r="AT312" s="1588"/>
      <c r="AU312" s="1588"/>
      <c r="AV312" s="1588"/>
      <c r="AW312" s="1588"/>
      <c r="AX312" s="1588"/>
      <c r="AY312" s="1588"/>
      <c r="AZ312" s="1588"/>
      <c r="BA312" s="1588"/>
      <c r="BB312" s="1588"/>
      <c r="BC312" s="1588"/>
      <c r="BD312" s="1588"/>
      <c r="BE312" s="1589"/>
      <c r="BF312" s="695"/>
    </row>
    <row r="313" spans="1:58" x14ac:dyDescent="0.45">
      <c r="A313" s="695"/>
      <c r="B313" s="836"/>
      <c r="C313" s="837" t="str">
        <f>'II. Inputs, Baseline Energy Mix'!$E$78</f>
        <v>Front-end Fee</v>
      </c>
      <c r="D313" s="837"/>
      <c r="E313" s="837"/>
      <c r="F313" s="837"/>
      <c r="G313" s="1588"/>
      <c r="H313" s="1588">
        <f>IF($G$297&gt;0, $G$297*'II. Inputs, Baseline Energy Mix'!$N$78/10000,0)</f>
        <v>0</v>
      </c>
      <c r="I313" s="1588">
        <v>0</v>
      </c>
      <c r="J313" s="1588">
        <v>0</v>
      </c>
      <c r="K313" s="1588">
        <v>0</v>
      </c>
      <c r="L313" s="1588">
        <v>0</v>
      </c>
      <c r="M313" s="1588">
        <v>0</v>
      </c>
      <c r="N313" s="1588">
        <v>0</v>
      </c>
      <c r="O313" s="1588">
        <v>0</v>
      </c>
      <c r="P313" s="1588">
        <v>0</v>
      </c>
      <c r="Q313" s="1588">
        <v>0</v>
      </c>
      <c r="R313" s="1588">
        <v>0</v>
      </c>
      <c r="S313" s="1588">
        <v>0</v>
      </c>
      <c r="T313" s="1588">
        <v>0</v>
      </c>
      <c r="U313" s="1588">
        <v>0</v>
      </c>
      <c r="V313" s="1588">
        <v>0</v>
      </c>
      <c r="W313" s="1588">
        <v>0</v>
      </c>
      <c r="X313" s="1588">
        <v>0</v>
      </c>
      <c r="Y313" s="1588">
        <v>0</v>
      </c>
      <c r="Z313" s="1588">
        <v>0</v>
      </c>
      <c r="AA313" s="1588">
        <v>0</v>
      </c>
      <c r="AB313" s="1588">
        <v>0</v>
      </c>
      <c r="AC313" s="1588">
        <v>0</v>
      </c>
      <c r="AD313" s="1588">
        <v>0</v>
      </c>
      <c r="AE313" s="1588">
        <v>0</v>
      </c>
      <c r="AF313" s="1588">
        <v>0</v>
      </c>
      <c r="AG313" s="1588">
        <v>0</v>
      </c>
      <c r="AH313" s="1588">
        <v>0</v>
      </c>
      <c r="AI313" s="1588">
        <v>0</v>
      </c>
      <c r="AJ313" s="1588">
        <v>0</v>
      </c>
      <c r="AK313" s="1588">
        <v>0</v>
      </c>
      <c r="AL313" s="1588">
        <v>0</v>
      </c>
      <c r="AM313" s="1588">
        <v>0</v>
      </c>
      <c r="AN313" s="1588">
        <v>0</v>
      </c>
      <c r="AO313" s="1588">
        <v>0</v>
      </c>
      <c r="AP313" s="1588">
        <v>0</v>
      </c>
      <c r="AQ313" s="1588">
        <v>0</v>
      </c>
      <c r="AR313" s="1588">
        <v>0</v>
      </c>
      <c r="AS313" s="1588">
        <v>0</v>
      </c>
      <c r="AT313" s="1588">
        <v>0</v>
      </c>
      <c r="AU313" s="1588">
        <v>0</v>
      </c>
      <c r="AV313" s="1588">
        <v>0</v>
      </c>
      <c r="AW313" s="1588">
        <v>0</v>
      </c>
      <c r="AX313" s="1588">
        <v>0</v>
      </c>
      <c r="AY313" s="1588">
        <v>0</v>
      </c>
      <c r="AZ313" s="1588">
        <v>0</v>
      </c>
      <c r="BA313" s="1588">
        <v>0</v>
      </c>
      <c r="BB313" s="1588">
        <v>0</v>
      </c>
      <c r="BC313" s="1588">
        <v>0</v>
      </c>
      <c r="BD313" s="1588">
        <v>0</v>
      </c>
      <c r="BE313" s="1589">
        <v>0</v>
      </c>
      <c r="BF313" s="695"/>
    </row>
    <row r="314" spans="1:58" x14ac:dyDescent="0.45">
      <c r="A314" s="695"/>
      <c r="B314" s="836"/>
      <c r="C314" s="837"/>
      <c r="D314" s="837"/>
      <c r="E314" s="837"/>
      <c r="F314" s="837"/>
      <c r="G314" s="1002"/>
      <c r="H314" s="1002"/>
      <c r="I314" s="1002"/>
      <c r="J314" s="1002"/>
      <c r="K314" s="1002"/>
      <c r="L314" s="1002"/>
      <c r="M314" s="1002"/>
      <c r="N314" s="1002"/>
      <c r="O314" s="1002"/>
      <c r="P314" s="1002"/>
      <c r="Q314" s="1002"/>
      <c r="R314" s="1002"/>
      <c r="S314" s="1002"/>
      <c r="T314" s="1002"/>
      <c r="U314" s="1002"/>
      <c r="V314" s="1002"/>
      <c r="W314" s="1002"/>
      <c r="X314" s="1002"/>
      <c r="Y314" s="1002"/>
      <c r="Z314" s="1002"/>
      <c r="AA314" s="1002"/>
      <c r="AB314" s="1002"/>
      <c r="AC314" s="1002"/>
      <c r="AD314" s="1002"/>
      <c r="AE314" s="1002"/>
      <c r="AF314" s="1002"/>
      <c r="AG314" s="1002"/>
      <c r="AH314" s="1002"/>
      <c r="AI314" s="1002"/>
      <c r="AJ314" s="1002"/>
      <c r="AK314" s="1002"/>
      <c r="AL314" s="1002"/>
      <c r="AM314" s="1002"/>
      <c r="AN314" s="1002"/>
      <c r="AO314" s="1002"/>
      <c r="AP314" s="1002"/>
      <c r="AQ314" s="1002"/>
      <c r="AR314" s="1002"/>
      <c r="AS314" s="1002"/>
      <c r="AT314" s="1002"/>
      <c r="AU314" s="1002"/>
      <c r="AV314" s="1002"/>
      <c r="AW314" s="1002"/>
      <c r="AX314" s="1002"/>
      <c r="AY314" s="1002"/>
      <c r="AZ314" s="1002"/>
      <c r="BA314" s="1002"/>
      <c r="BB314" s="1002"/>
      <c r="BC314" s="1002"/>
      <c r="BD314" s="1002"/>
      <c r="BE314" s="1003"/>
      <c r="BF314" s="695"/>
    </row>
    <row r="315" spans="1:58" ht="13.15" x14ac:dyDescent="0.45">
      <c r="A315" s="695"/>
      <c r="B315" s="849" t="s">
        <v>151</v>
      </c>
      <c r="C315" s="837"/>
      <c r="D315" s="837"/>
      <c r="E315" s="837"/>
      <c r="F315" s="837"/>
      <c r="G315" s="1002"/>
      <c r="H315" s="1002"/>
      <c r="I315" s="1002"/>
      <c r="J315" s="1002"/>
      <c r="K315" s="1002"/>
      <c r="L315" s="1002"/>
      <c r="M315" s="1002"/>
      <c r="N315" s="1002"/>
      <c r="O315" s="1002"/>
      <c r="P315" s="1002"/>
      <c r="Q315" s="1002"/>
      <c r="R315" s="1002"/>
      <c r="S315" s="1002"/>
      <c r="T315" s="1002"/>
      <c r="U315" s="1002"/>
      <c r="V315" s="1002"/>
      <c r="W315" s="1002"/>
      <c r="X315" s="1002"/>
      <c r="Y315" s="1002"/>
      <c r="Z315" s="1002"/>
      <c r="AA315" s="1002"/>
      <c r="AB315" s="1002"/>
      <c r="AC315" s="1002"/>
      <c r="AD315" s="1002"/>
      <c r="AE315" s="1002"/>
      <c r="AF315" s="1002"/>
      <c r="AG315" s="1002"/>
      <c r="AH315" s="1002"/>
      <c r="AI315" s="1002"/>
      <c r="AJ315" s="1002"/>
      <c r="AK315" s="1002"/>
      <c r="AL315" s="1002"/>
      <c r="AM315" s="1002"/>
      <c r="AN315" s="1002"/>
      <c r="AO315" s="1002"/>
      <c r="AP315" s="1002"/>
      <c r="AQ315" s="1002"/>
      <c r="AR315" s="1002"/>
      <c r="AS315" s="1002"/>
      <c r="AT315" s="1002"/>
      <c r="AU315" s="1002"/>
      <c r="AV315" s="1002"/>
      <c r="AW315" s="1002"/>
      <c r="AX315" s="1002"/>
      <c r="AY315" s="1002"/>
      <c r="AZ315" s="1002"/>
      <c r="BA315" s="1002"/>
      <c r="BB315" s="1002"/>
      <c r="BC315" s="1002"/>
      <c r="BD315" s="1002"/>
      <c r="BE315" s="1003"/>
      <c r="BF315" s="695"/>
    </row>
    <row r="316" spans="1:58" x14ac:dyDescent="0.45">
      <c r="A316" s="695"/>
      <c r="B316" s="836"/>
      <c r="C316" s="1004" t="s">
        <v>61</v>
      </c>
      <c r="D316" s="840" t="s">
        <v>748</v>
      </c>
      <c r="E316" s="837"/>
      <c r="F316" s="837"/>
      <c r="G316" s="1588">
        <f>IF('II. Inputs, Baseline Energy Mix'!$N$19&gt;0,('II. Inputs, Baseline Energy Mix'!$N$20*'II. Inputs, Baseline Energy Mix'!$N$21*'II. Inputs, Baseline Energy Mix'!$N$36*'II. Inputs, Baseline Energy Mix'!$N$39),0)</f>
        <v>0</v>
      </c>
      <c r="H316" s="1002"/>
      <c r="I316" s="1002"/>
      <c r="J316" s="1002"/>
      <c r="K316" s="1002"/>
      <c r="L316" s="1002"/>
      <c r="M316" s="1002"/>
      <c r="N316" s="1002"/>
      <c r="O316" s="1002"/>
      <c r="P316" s="1002"/>
      <c r="Q316" s="1002"/>
      <c r="R316" s="1002"/>
      <c r="S316" s="1002"/>
      <c r="T316" s="1002"/>
      <c r="U316" s="1002"/>
      <c r="V316" s="1002"/>
      <c r="W316" s="1002"/>
      <c r="X316" s="1002"/>
      <c r="Y316" s="1002"/>
      <c r="Z316" s="1002"/>
      <c r="AA316" s="1002"/>
      <c r="AB316" s="1002"/>
      <c r="AC316" s="1002"/>
      <c r="AD316" s="1002"/>
      <c r="AE316" s="1002"/>
      <c r="AF316" s="1002"/>
      <c r="AG316" s="1002"/>
      <c r="AH316" s="1002"/>
      <c r="AI316" s="1002"/>
      <c r="AJ316" s="1002"/>
      <c r="AK316" s="1002"/>
      <c r="AL316" s="1002"/>
      <c r="AM316" s="1002"/>
      <c r="AN316" s="1002"/>
      <c r="AO316" s="1002"/>
      <c r="AP316" s="1002"/>
      <c r="AQ316" s="1002"/>
      <c r="AR316" s="1002"/>
      <c r="AS316" s="1002"/>
      <c r="AT316" s="1002"/>
      <c r="AU316" s="1002"/>
      <c r="AV316" s="1002"/>
      <c r="AW316" s="1002"/>
      <c r="AX316" s="1002"/>
      <c r="AY316" s="1002"/>
      <c r="AZ316" s="1002"/>
      <c r="BA316" s="1002"/>
      <c r="BB316" s="1002"/>
      <c r="BC316" s="1002"/>
      <c r="BD316" s="1002"/>
      <c r="BE316" s="1003"/>
      <c r="BF316" s="695"/>
    </row>
    <row r="317" spans="1:58" x14ac:dyDescent="0.45">
      <c r="A317" s="695"/>
      <c r="B317" s="836"/>
      <c r="C317" s="1004" t="s">
        <v>62</v>
      </c>
      <c r="D317" s="840" t="s">
        <v>18</v>
      </c>
      <c r="E317" s="837"/>
      <c r="F317" s="837"/>
      <c r="G317" s="1005">
        <f>SUM('II. Inputs, Baseline Energy Mix'!$N$81)</f>
        <v>0</v>
      </c>
      <c r="H317" s="1002"/>
      <c r="I317" s="1002"/>
      <c r="J317" s="1002"/>
      <c r="K317" s="1002"/>
      <c r="L317" s="1002"/>
      <c r="M317" s="1002"/>
      <c r="N317" s="1002"/>
      <c r="O317" s="1002"/>
      <c r="P317" s="1002"/>
      <c r="Q317" s="1002"/>
      <c r="R317" s="1002"/>
      <c r="S317" s="1002"/>
      <c r="T317" s="1002"/>
      <c r="U317" s="1002"/>
      <c r="V317" s="1002"/>
      <c r="W317" s="1002"/>
      <c r="X317" s="1002"/>
      <c r="Y317" s="1002"/>
      <c r="Z317" s="1002"/>
      <c r="AA317" s="1002"/>
      <c r="AB317" s="1002"/>
      <c r="AC317" s="1002"/>
      <c r="AD317" s="1002"/>
      <c r="AE317" s="1002"/>
      <c r="AF317" s="1002"/>
      <c r="AG317" s="1002"/>
      <c r="AH317" s="1002"/>
      <c r="AI317" s="1002"/>
      <c r="AJ317" s="1002"/>
      <c r="AK317" s="1002"/>
      <c r="AL317" s="1002"/>
      <c r="AM317" s="1002"/>
      <c r="AN317" s="1002"/>
      <c r="AO317" s="1002"/>
      <c r="AP317" s="1002"/>
      <c r="AQ317" s="1002"/>
      <c r="AR317" s="1002"/>
      <c r="AS317" s="1002"/>
      <c r="AT317" s="1002"/>
      <c r="AU317" s="1002"/>
      <c r="AV317" s="1002"/>
      <c r="AW317" s="1002"/>
      <c r="AX317" s="1002"/>
      <c r="AY317" s="1002"/>
      <c r="AZ317" s="1002"/>
      <c r="BA317" s="1002"/>
      <c r="BB317" s="1002"/>
      <c r="BC317" s="1002"/>
      <c r="BD317" s="1002"/>
      <c r="BE317" s="1003"/>
      <c r="BF317" s="695"/>
    </row>
    <row r="318" spans="1:58" x14ac:dyDescent="0.45">
      <c r="A318" s="695"/>
      <c r="B318" s="836"/>
      <c r="C318" s="1004" t="s">
        <v>63</v>
      </c>
      <c r="D318" s="840" t="s">
        <v>14</v>
      </c>
      <c r="E318" s="837"/>
      <c r="F318" s="837"/>
      <c r="G318" s="1006">
        <f>SUM('II. Inputs, Baseline Energy Mix'!$N$80)</f>
        <v>0</v>
      </c>
      <c r="H318" s="1002"/>
      <c r="I318" s="1002"/>
      <c r="J318" s="1002"/>
      <c r="K318" s="1002"/>
      <c r="L318" s="1002"/>
      <c r="M318" s="1002"/>
      <c r="N318" s="1002"/>
      <c r="O318" s="1002"/>
      <c r="P318" s="1002"/>
      <c r="Q318" s="1002"/>
      <c r="R318" s="1002"/>
      <c r="S318" s="1002"/>
      <c r="T318" s="1002"/>
      <c r="U318" s="1002"/>
      <c r="V318" s="1002"/>
      <c r="W318" s="1002"/>
      <c r="X318" s="1002"/>
      <c r="Y318" s="1002"/>
      <c r="Z318" s="1002"/>
      <c r="AA318" s="1002"/>
      <c r="AB318" s="1002"/>
      <c r="AC318" s="1002"/>
      <c r="AD318" s="1002"/>
      <c r="AE318" s="1002"/>
      <c r="AF318" s="1002"/>
      <c r="AG318" s="1002"/>
      <c r="AH318" s="1002"/>
      <c r="AI318" s="1002"/>
      <c r="AJ318" s="1002"/>
      <c r="AK318" s="1002"/>
      <c r="AL318" s="1002"/>
      <c r="AM318" s="1002"/>
      <c r="AN318" s="1002"/>
      <c r="AO318" s="1002"/>
      <c r="AP318" s="1002"/>
      <c r="AQ318" s="1002"/>
      <c r="AR318" s="1002"/>
      <c r="AS318" s="1002"/>
      <c r="AT318" s="1002"/>
      <c r="AU318" s="1002"/>
      <c r="AV318" s="1002"/>
      <c r="AW318" s="1002"/>
      <c r="AX318" s="1002"/>
      <c r="AY318" s="1002"/>
      <c r="AZ318" s="1002"/>
      <c r="BA318" s="1002"/>
      <c r="BB318" s="1002"/>
      <c r="BC318" s="1002"/>
      <c r="BD318" s="1002"/>
      <c r="BE318" s="1003"/>
      <c r="BF318" s="695"/>
    </row>
    <row r="319" spans="1:58" x14ac:dyDescent="0.45">
      <c r="A319" s="695"/>
      <c r="B319" s="836"/>
      <c r="C319" s="1004" t="str">
        <f>'II. Inputs, Baseline Energy Mix'!$E$83</f>
        <v>Guarantee Coverage, as a % of Commercial Loan Value</v>
      </c>
      <c r="D319" s="840" t="s">
        <v>14</v>
      </c>
      <c r="E319" s="837"/>
      <c r="F319" s="837"/>
      <c r="G319" s="1009">
        <f>SUM('II. Inputs, Baseline Energy Mix'!$N$83)</f>
        <v>0</v>
      </c>
      <c r="H319" s="1002"/>
      <c r="I319" s="1002"/>
      <c r="J319" s="1002"/>
      <c r="K319" s="1002"/>
      <c r="L319" s="1002"/>
      <c r="M319" s="1002"/>
      <c r="N319" s="1002"/>
      <c r="O319" s="1002"/>
      <c r="P319" s="1002"/>
      <c r="Q319" s="1002"/>
      <c r="R319" s="1002"/>
      <c r="S319" s="1002"/>
      <c r="T319" s="1002"/>
      <c r="U319" s="1002"/>
      <c r="V319" s="1002"/>
      <c r="W319" s="1002"/>
      <c r="X319" s="1002"/>
      <c r="Y319" s="1002"/>
      <c r="Z319" s="1002"/>
      <c r="AA319" s="1002"/>
      <c r="AB319" s="1002"/>
      <c r="AC319" s="1002"/>
      <c r="AD319" s="1002"/>
      <c r="AE319" s="1002"/>
      <c r="AF319" s="1002"/>
      <c r="AG319" s="1002"/>
      <c r="AH319" s="1002"/>
      <c r="AI319" s="1002"/>
      <c r="AJ319" s="1002"/>
      <c r="AK319" s="1002"/>
      <c r="AL319" s="1002"/>
      <c r="AM319" s="1002"/>
      <c r="AN319" s="1002"/>
      <c r="AO319" s="1002"/>
      <c r="AP319" s="1002"/>
      <c r="AQ319" s="1002"/>
      <c r="AR319" s="1002"/>
      <c r="AS319" s="1002"/>
      <c r="AT319" s="1002"/>
      <c r="AU319" s="1002"/>
      <c r="AV319" s="1002"/>
      <c r="AW319" s="1002"/>
      <c r="AX319" s="1002"/>
      <c r="AY319" s="1002"/>
      <c r="AZ319" s="1002"/>
      <c r="BA319" s="1002"/>
      <c r="BB319" s="1002"/>
      <c r="BC319" s="1002"/>
      <c r="BD319" s="1002"/>
      <c r="BE319" s="1003"/>
      <c r="BF319" s="695"/>
    </row>
    <row r="320" spans="1:58" x14ac:dyDescent="0.45">
      <c r="A320" s="695"/>
      <c r="B320" s="836"/>
      <c r="C320" s="1004" t="str">
        <f>'II. Inputs, Baseline Energy Mix'!$E$84</f>
        <v xml:space="preserve">Term of Public Guarantee Coverage </v>
      </c>
      <c r="D320" s="840" t="s">
        <v>18</v>
      </c>
      <c r="E320" s="837"/>
      <c r="F320" s="837"/>
      <c r="G320" s="1005">
        <f>SUM('II. Inputs, Baseline Energy Mix'!$N$84)</f>
        <v>0</v>
      </c>
      <c r="H320" s="1002"/>
      <c r="I320" s="1002"/>
      <c r="J320" s="1002"/>
      <c r="K320" s="1002"/>
      <c r="L320" s="1002"/>
      <c r="M320" s="1002"/>
      <c r="N320" s="1002"/>
      <c r="O320" s="1002"/>
      <c r="P320" s="1002"/>
      <c r="Q320" s="1002"/>
      <c r="R320" s="1002"/>
      <c r="S320" s="1002"/>
      <c r="T320" s="1002"/>
      <c r="U320" s="1002"/>
      <c r="V320" s="1002"/>
      <c r="W320" s="1002"/>
      <c r="X320" s="1002"/>
      <c r="Y320" s="1002"/>
      <c r="Z320" s="1002"/>
      <c r="AA320" s="1002"/>
      <c r="AB320" s="1002"/>
      <c r="AC320" s="1002"/>
      <c r="AD320" s="1002"/>
      <c r="AE320" s="1002"/>
      <c r="AF320" s="1002"/>
      <c r="AG320" s="1002"/>
      <c r="AH320" s="1002"/>
      <c r="AI320" s="1002"/>
      <c r="AJ320" s="1002"/>
      <c r="AK320" s="1002"/>
      <c r="AL320" s="1002"/>
      <c r="AM320" s="1002"/>
      <c r="AN320" s="1002"/>
      <c r="AO320" s="1002"/>
      <c r="AP320" s="1002"/>
      <c r="AQ320" s="1002"/>
      <c r="AR320" s="1002"/>
      <c r="AS320" s="1002"/>
      <c r="AT320" s="1002"/>
      <c r="AU320" s="1002"/>
      <c r="AV320" s="1002"/>
      <c r="AW320" s="1002"/>
      <c r="AX320" s="1002"/>
      <c r="AY320" s="1002"/>
      <c r="AZ320" s="1002"/>
      <c r="BA320" s="1002"/>
      <c r="BB320" s="1002"/>
      <c r="BC320" s="1002"/>
      <c r="BD320" s="1002"/>
      <c r="BE320" s="1003"/>
      <c r="BF320" s="695"/>
    </row>
    <row r="321" spans="1:58" x14ac:dyDescent="0.45">
      <c r="A321" s="695"/>
      <c r="B321" s="836"/>
      <c r="C321" s="837"/>
      <c r="D321" s="837"/>
      <c r="E321" s="837"/>
      <c r="F321" s="837"/>
      <c r="G321" s="1002"/>
      <c r="H321" s="1002"/>
      <c r="I321" s="1002"/>
      <c r="J321" s="1002"/>
      <c r="K321" s="1002"/>
      <c r="L321" s="1002"/>
      <c r="M321" s="1002"/>
      <c r="N321" s="1002"/>
      <c r="O321" s="1002"/>
      <c r="P321" s="1002"/>
      <c r="Q321" s="1002"/>
      <c r="R321" s="1002"/>
      <c r="S321" s="1002"/>
      <c r="T321" s="1002"/>
      <c r="U321" s="1002"/>
      <c r="V321" s="1002"/>
      <c r="W321" s="1002"/>
      <c r="X321" s="1002"/>
      <c r="Y321" s="1002"/>
      <c r="Z321" s="1002"/>
      <c r="AA321" s="1002"/>
      <c r="AB321" s="1002"/>
      <c r="AC321" s="1002"/>
      <c r="AD321" s="1002"/>
      <c r="AE321" s="1002"/>
      <c r="AF321" s="1002"/>
      <c r="AG321" s="1002"/>
      <c r="AH321" s="1002"/>
      <c r="AI321" s="1002"/>
      <c r="AJ321" s="1002"/>
      <c r="AK321" s="1002"/>
      <c r="AL321" s="1002"/>
      <c r="AM321" s="1002"/>
      <c r="AN321" s="1002"/>
      <c r="AO321" s="1002"/>
      <c r="AP321" s="1002"/>
      <c r="AQ321" s="1002"/>
      <c r="AR321" s="1002"/>
      <c r="AS321" s="1002"/>
      <c r="AT321" s="1002"/>
      <c r="AU321" s="1002"/>
      <c r="AV321" s="1002"/>
      <c r="AW321" s="1002"/>
      <c r="AX321" s="1002"/>
      <c r="AY321" s="1002"/>
      <c r="AZ321" s="1002"/>
      <c r="BA321" s="1002"/>
      <c r="BB321" s="1002"/>
      <c r="BC321" s="1002"/>
      <c r="BD321" s="1002"/>
      <c r="BE321" s="1003"/>
      <c r="BF321" s="695"/>
    </row>
    <row r="322" spans="1:58" x14ac:dyDescent="0.45">
      <c r="A322" s="695"/>
      <c r="B322" s="836"/>
      <c r="C322" s="1007" t="s">
        <v>60</v>
      </c>
      <c r="D322" s="837"/>
      <c r="E322" s="837"/>
      <c r="F322" s="837"/>
      <c r="G322" s="1588"/>
      <c r="H322" s="1588"/>
      <c r="I322" s="1588"/>
      <c r="J322" s="1588"/>
      <c r="K322" s="1588"/>
      <c r="L322" s="1588"/>
      <c r="M322" s="1588"/>
      <c r="N322" s="1588"/>
      <c r="O322" s="1588"/>
      <c r="P322" s="1588"/>
      <c r="Q322" s="1588"/>
      <c r="R322" s="1588"/>
      <c r="S322" s="1588"/>
      <c r="T322" s="1588"/>
      <c r="U322" s="1588"/>
      <c r="V322" s="1588"/>
      <c r="W322" s="1588"/>
      <c r="X322" s="1588"/>
      <c r="Y322" s="1588"/>
      <c r="Z322" s="1588"/>
      <c r="AA322" s="1588"/>
      <c r="AB322" s="1588"/>
      <c r="AC322" s="1588"/>
      <c r="AD322" s="1588"/>
      <c r="AE322" s="1588"/>
      <c r="AF322" s="1588"/>
      <c r="AG322" s="1588"/>
      <c r="AH322" s="1588"/>
      <c r="AI322" s="1588"/>
      <c r="AJ322" s="1588"/>
      <c r="AK322" s="1588"/>
      <c r="AL322" s="1588"/>
      <c r="AM322" s="1588"/>
      <c r="AN322" s="1588"/>
      <c r="AO322" s="1588"/>
      <c r="AP322" s="1588"/>
      <c r="AQ322" s="1588"/>
      <c r="AR322" s="1588"/>
      <c r="AS322" s="1588"/>
      <c r="AT322" s="1588"/>
      <c r="AU322" s="1588"/>
      <c r="AV322" s="1588"/>
      <c r="AW322" s="1588"/>
      <c r="AX322" s="1588"/>
      <c r="AY322" s="1588"/>
      <c r="AZ322" s="1588"/>
      <c r="BA322" s="1588"/>
      <c r="BB322" s="1588"/>
      <c r="BC322" s="1588"/>
      <c r="BD322" s="1588"/>
      <c r="BE322" s="1589"/>
      <c r="BF322" s="1548"/>
    </row>
    <row r="323" spans="1:58" x14ac:dyDescent="0.45">
      <c r="A323" s="695"/>
      <c r="B323" s="836"/>
      <c r="C323" s="837" t="s">
        <v>66</v>
      </c>
      <c r="D323" s="837"/>
      <c r="E323" s="837"/>
      <c r="F323" s="837"/>
      <c r="G323" s="1588"/>
      <c r="H323" s="1588">
        <f>IF(H$292&gt;$G$317,0,IPMT($G$318,H$292,$G$317,-$G$316))</f>
        <v>0</v>
      </c>
      <c r="I323" s="1588">
        <f t="shared" ref="I323:BE323" si="116">IF(I$292&gt;$G$317,0,IPMT($G$318,I$292,$G$317,-$G$316))</f>
        <v>0</v>
      </c>
      <c r="J323" s="1588">
        <f t="shared" si="116"/>
        <v>0</v>
      </c>
      <c r="K323" s="1588">
        <f t="shared" si="116"/>
        <v>0</v>
      </c>
      <c r="L323" s="1588">
        <f t="shared" si="116"/>
        <v>0</v>
      </c>
      <c r="M323" s="1588">
        <f t="shared" si="116"/>
        <v>0</v>
      </c>
      <c r="N323" s="1588">
        <f t="shared" si="116"/>
        <v>0</v>
      </c>
      <c r="O323" s="1588">
        <f t="shared" si="116"/>
        <v>0</v>
      </c>
      <c r="P323" s="1588">
        <f t="shared" si="116"/>
        <v>0</v>
      </c>
      <c r="Q323" s="1588">
        <f t="shared" si="116"/>
        <v>0</v>
      </c>
      <c r="R323" s="1588">
        <f t="shared" si="116"/>
        <v>0</v>
      </c>
      <c r="S323" s="1588">
        <f t="shared" si="116"/>
        <v>0</v>
      </c>
      <c r="T323" s="1588">
        <f t="shared" si="116"/>
        <v>0</v>
      </c>
      <c r="U323" s="1588">
        <f t="shared" si="116"/>
        <v>0</v>
      </c>
      <c r="V323" s="1588">
        <f t="shared" si="116"/>
        <v>0</v>
      </c>
      <c r="W323" s="1588">
        <f t="shared" si="116"/>
        <v>0</v>
      </c>
      <c r="X323" s="1588">
        <f t="shared" si="116"/>
        <v>0</v>
      </c>
      <c r="Y323" s="1588">
        <f t="shared" si="116"/>
        <v>0</v>
      </c>
      <c r="Z323" s="1588">
        <f t="shared" si="116"/>
        <v>0</v>
      </c>
      <c r="AA323" s="1588">
        <f t="shared" si="116"/>
        <v>0</v>
      </c>
      <c r="AB323" s="1588">
        <f t="shared" si="116"/>
        <v>0</v>
      </c>
      <c r="AC323" s="1588">
        <f t="shared" si="116"/>
        <v>0</v>
      </c>
      <c r="AD323" s="1588">
        <f t="shared" si="116"/>
        <v>0</v>
      </c>
      <c r="AE323" s="1588">
        <f t="shared" si="116"/>
        <v>0</v>
      </c>
      <c r="AF323" s="1588">
        <f t="shared" si="116"/>
        <v>0</v>
      </c>
      <c r="AG323" s="1588">
        <f t="shared" si="116"/>
        <v>0</v>
      </c>
      <c r="AH323" s="1588">
        <f t="shared" si="116"/>
        <v>0</v>
      </c>
      <c r="AI323" s="1588">
        <f t="shared" si="116"/>
        <v>0</v>
      </c>
      <c r="AJ323" s="1588">
        <f t="shared" si="116"/>
        <v>0</v>
      </c>
      <c r="AK323" s="1588">
        <f t="shared" si="116"/>
        <v>0</v>
      </c>
      <c r="AL323" s="1588">
        <f t="shared" si="116"/>
        <v>0</v>
      </c>
      <c r="AM323" s="1588">
        <f t="shared" si="116"/>
        <v>0</v>
      </c>
      <c r="AN323" s="1588">
        <f t="shared" si="116"/>
        <v>0</v>
      </c>
      <c r="AO323" s="1588">
        <f t="shared" si="116"/>
        <v>0</v>
      </c>
      <c r="AP323" s="1588">
        <f t="shared" si="116"/>
        <v>0</v>
      </c>
      <c r="AQ323" s="1588">
        <f t="shared" si="116"/>
        <v>0</v>
      </c>
      <c r="AR323" s="1588">
        <f t="shared" si="116"/>
        <v>0</v>
      </c>
      <c r="AS323" s="1588">
        <f t="shared" si="116"/>
        <v>0</v>
      </c>
      <c r="AT323" s="1588">
        <f t="shared" si="116"/>
        <v>0</v>
      </c>
      <c r="AU323" s="1588">
        <f t="shared" si="116"/>
        <v>0</v>
      </c>
      <c r="AV323" s="1588">
        <f t="shared" si="116"/>
        <v>0</v>
      </c>
      <c r="AW323" s="1588">
        <f t="shared" si="116"/>
        <v>0</v>
      </c>
      <c r="AX323" s="1588">
        <f t="shared" si="116"/>
        <v>0</v>
      </c>
      <c r="AY323" s="1588">
        <f t="shared" si="116"/>
        <v>0</v>
      </c>
      <c r="AZ323" s="1588">
        <f t="shared" si="116"/>
        <v>0</v>
      </c>
      <c r="BA323" s="1588">
        <f t="shared" si="116"/>
        <v>0</v>
      </c>
      <c r="BB323" s="1588">
        <f t="shared" si="116"/>
        <v>0</v>
      </c>
      <c r="BC323" s="1588">
        <f t="shared" si="116"/>
        <v>0</v>
      </c>
      <c r="BD323" s="1588">
        <f t="shared" si="116"/>
        <v>0</v>
      </c>
      <c r="BE323" s="1589">
        <f t="shared" si="116"/>
        <v>0</v>
      </c>
      <c r="BF323" s="1548"/>
    </row>
    <row r="324" spans="1:58" x14ac:dyDescent="0.45">
      <c r="A324" s="695"/>
      <c r="B324" s="836"/>
      <c r="C324" s="844" t="s">
        <v>65</v>
      </c>
      <c r="D324" s="844"/>
      <c r="E324" s="844"/>
      <c r="F324" s="844"/>
      <c r="G324" s="1590"/>
      <c r="H324" s="1590">
        <f>IF(H$292&gt;$G$317,0,PPMT($G$318,H$292,$G$317,-$G$316))</f>
        <v>0</v>
      </c>
      <c r="I324" s="1590">
        <f t="shared" ref="I324:BE324" si="117">IF(I$292&gt;$G$317,0,PPMT($G$318,I$292,$G$317,-$G$316))</f>
        <v>0</v>
      </c>
      <c r="J324" s="1590">
        <f t="shared" si="117"/>
        <v>0</v>
      </c>
      <c r="K324" s="1590">
        <f t="shared" si="117"/>
        <v>0</v>
      </c>
      <c r="L324" s="1590">
        <f t="shared" si="117"/>
        <v>0</v>
      </c>
      <c r="M324" s="1590">
        <f t="shared" si="117"/>
        <v>0</v>
      </c>
      <c r="N324" s="1590">
        <f t="shared" si="117"/>
        <v>0</v>
      </c>
      <c r="O324" s="1590">
        <f t="shared" si="117"/>
        <v>0</v>
      </c>
      <c r="P324" s="1590">
        <f t="shared" si="117"/>
        <v>0</v>
      </c>
      <c r="Q324" s="1590">
        <f t="shared" si="117"/>
        <v>0</v>
      </c>
      <c r="R324" s="1590">
        <f t="shared" si="117"/>
        <v>0</v>
      </c>
      <c r="S324" s="1590">
        <f t="shared" si="117"/>
        <v>0</v>
      </c>
      <c r="T324" s="1590">
        <f t="shared" si="117"/>
        <v>0</v>
      </c>
      <c r="U324" s="1590">
        <f t="shared" si="117"/>
        <v>0</v>
      </c>
      <c r="V324" s="1590">
        <f t="shared" si="117"/>
        <v>0</v>
      </c>
      <c r="W324" s="1590">
        <f t="shared" si="117"/>
        <v>0</v>
      </c>
      <c r="X324" s="1590">
        <f t="shared" si="117"/>
        <v>0</v>
      </c>
      <c r="Y324" s="1590">
        <f t="shared" si="117"/>
        <v>0</v>
      </c>
      <c r="Z324" s="1590">
        <f t="shared" si="117"/>
        <v>0</v>
      </c>
      <c r="AA324" s="1590">
        <f t="shared" si="117"/>
        <v>0</v>
      </c>
      <c r="AB324" s="1590">
        <f t="shared" si="117"/>
        <v>0</v>
      </c>
      <c r="AC324" s="1590">
        <f t="shared" si="117"/>
        <v>0</v>
      </c>
      <c r="AD324" s="1590">
        <f t="shared" si="117"/>
        <v>0</v>
      </c>
      <c r="AE324" s="1590">
        <f t="shared" si="117"/>
        <v>0</v>
      </c>
      <c r="AF324" s="1590">
        <f t="shared" si="117"/>
        <v>0</v>
      </c>
      <c r="AG324" s="1590">
        <f t="shared" si="117"/>
        <v>0</v>
      </c>
      <c r="AH324" s="1590">
        <f t="shared" si="117"/>
        <v>0</v>
      </c>
      <c r="AI324" s="1590">
        <f t="shared" si="117"/>
        <v>0</v>
      </c>
      <c r="AJ324" s="1590">
        <f t="shared" si="117"/>
        <v>0</v>
      </c>
      <c r="AK324" s="1590">
        <f t="shared" si="117"/>
        <v>0</v>
      </c>
      <c r="AL324" s="1590">
        <f t="shared" si="117"/>
        <v>0</v>
      </c>
      <c r="AM324" s="1590">
        <f t="shared" si="117"/>
        <v>0</v>
      </c>
      <c r="AN324" s="1590">
        <f t="shared" si="117"/>
        <v>0</v>
      </c>
      <c r="AO324" s="1590">
        <f t="shared" si="117"/>
        <v>0</v>
      </c>
      <c r="AP324" s="1590">
        <f t="shared" si="117"/>
        <v>0</v>
      </c>
      <c r="AQ324" s="1590">
        <f t="shared" si="117"/>
        <v>0</v>
      </c>
      <c r="AR324" s="1590">
        <f t="shared" si="117"/>
        <v>0</v>
      </c>
      <c r="AS324" s="1590">
        <f t="shared" si="117"/>
        <v>0</v>
      </c>
      <c r="AT324" s="1590">
        <f t="shared" si="117"/>
        <v>0</v>
      </c>
      <c r="AU324" s="1590">
        <f t="shared" si="117"/>
        <v>0</v>
      </c>
      <c r="AV324" s="1590">
        <f t="shared" si="117"/>
        <v>0</v>
      </c>
      <c r="AW324" s="1590">
        <f t="shared" si="117"/>
        <v>0</v>
      </c>
      <c r="AX324" s="1590">
        <f t="shared" si="117"/>
        <v>0</v>
      </c>
      <c r="AY324" s="1590">
        <f t="shared" si="117"/>
        <v>0</v>
      </c>
      <c r="AZ324" s="1590">
        <f t="shared" si="117"/>
        <v>0</v>
      </c>
      <c r="BA324" s="1590">
        <f t="shared" si="117"/>
        <v>0</v>
      </c>
      <c r="BB324" s="1590">
        <f t="shared" si="117"/>
        <v>0</v>
      </c>
      <c r="BC324" s="1590">
        <f t="shared" si="117"/>
        <v>0</v>
      </c>
      <c r="BD324" s="1590">
        <f t="shared" si="117"/>
        <v>0</v>
      </c>
      <c r="BE324" s="1591">
        <f t="shared" si="117"/>
        <v>0</v>
      </c>
      <c r="BF324" s="1548"/>
    </row>
    <row r="325" spans="1:58" x14ac:dyDescent="0.45">
      <c r="A325" s="695"/>
      <c r="B325" s="836"/>
      <c r="C325" s="837" t="s">
        <v>67</v>
      </c>
      <c r="D325" s="837"/>
      <c r="E325" s="837"/>
      <c r="F325" s="837"/>
      <c r="G325" s="1588"/>
      <c r="H325" s="1588">
        <f>SUM(H323:H324)</f>
        <v>0</v>
      </c>
      <c r="I325" s="1588">
        <f t="shared" ref="I325:W325" si="118">SUM(I323:I324)</f>
        <v>0</v>
      </c>
      <c r="J325" s="1588">
        <f t="shared" si="118"/>
        <v>0</v>
      </c>
      <c r="K325" s="1588">
        <f t="shared" si="118"/>
        <v>0</v>
      </c>
      <c r="L325" s="1588">
        <f t="shared" si="118"/>
        <v>0</v>
      </c>
      <c r="M325" s="1588">
        <f t="shared" si="118"/>
        <v>0</v>
      </c>
      <c r="N325" s="1588">
        <f t="shared" si="118"/>
        <v>0</v>
      </c>
      <c r="O325" s="1588">
        <f t="shared" si="118"/>
        <v>0</v>
      </c>
      <c r="P325" s="1588">
        <f t="shared" si="118"/>
        <v>0</v>
      </c>
      <c r="Q325" s="1588">
        <f t="shared" si="118"/>
        <v>0</v>
      </c>
      <c r="R325" s="1588">
        <f t="shared" si="118"/>
        <v>0</v>
      </c>
      <c r="S325" s="1588">
        <f t="shared" si="118"/>
        <v>0</v>
      </c>
      <c r="T325" s="1588">
        <f t="shared" si="118"/>
        <v>0</v>
      </c>
      <c r="U325" s="1588">
        <f t="shared" si="118"/>
        <v>0</v>
      </c>
      <c r="V325" s="1588">
        <f t="shared" si="118"/>
        <v>0</v>
      </c>
      <c r="W325" s="1588">
        <f t="shared" si="118"/>
        <v>0</v>
      </c>
      <c r="X325" s="1588">
        <f t="shared" ref="X325:BE325" si="119">SUM(X323:X324)</f>
        <v>0</v>
      </c>
      <c r="Y325" s="1588">
        <f t="shared" si="119"/>
        <v>0</v>
      </c>
      <c r="Z325" s="1588">
        <f t="shared" si="119"/>
        <v>0</v>
      </c>
      <c r="AA325" s="1588">
        <f t="shared" si="119"/>
        <v>0</v>
      </c>
      <c r="AB325" s="1588">
        <f t="shared" si="119"/>
        <v>0</v>
      </c>
      <c r="AC325" s="1588">
        <f t="shared" si="119"/>
        <v>0</v>
      </c>
      <c r="AD325" s="1588">
        <f t="shared" si="119"/>
        <v>0</v>
      </c>
      <c r="AE325" s="1588">
        <f t="shared" si="119"/>
        <v>0</v>
      </c>
      <c r="AF325" s="1588">
        <f t="shared" si="119"/>
        <v>0</v>
      </c>
      <c r="AG325" s="1588">
        <f t="shared" si="119"/>
        <v>0</v>
      </c>
      <c r="AH325" s="1588">
        <f t="shared" si="119"/>
        <v>0</v>
      </c>
      <c r="AI325" s="1588">
        <f t="shared" si="119"/>
        <v>0</v>
      </c>
      <c r="AJ325" s="1588">
        <f t="shared" si="119"/>
        <v>0</v>
      </c>
      <c r="AK325" s="1588">
        <f t="shared" si="119"/>
        <v>0</v>
      </c>
      <c r="AL325" s="1588">
        <f t="shared" si="119"/>
        <v>0</v>
      </c>
      <c r="AM325" s="1588">
        <f t="shared" si="119"/>
        <v>0</v>
      </c>
      <c r="AN325" s="1588">
        <f t="shared" si="119"/>
        <v>0</v>
      </c>
      <c r="AO325" s="1588">
        <f t="shared" si="119"/>
        <v>0</v>
      </c>
      <c r="AP325" s="1588">
        <f t="shared" si="119"/>
        <v>0</v>
      </c>
      <c r="AQ325" s="1588">
        <f t="shared" si="119"/>
        <v>0</v>
      </c>
      <c r="AR325" s="1588">
        <f t="shared" si="119"/>
        <v>0</v>
      </c>
      <c r="AS325" s="1588">
        <f t="shared" si="119"/>
        <v>0</v>
      </c>
      <c r="AT325" s="1588">
        <f t="shared" si="119"/>
        <v>0</v>
      </c>
      <c r="AU325" s="1588">
        <f t="shared" si="119"/>
        <v>0</v>
      </c>
      <c r="AV325" s="1588">
        <f t="shared" si="119"/>
        <v>0</v>
      </c>
      <c r="AW325" s="1588">
        <f t="shared" si="119"/>
        <v>0</v>
      </c>
      <c r="AX325" s="1588">
        <f t="shared" si="119"/>
        <v>0</v>
      </c>
      <c r="AY325" s="1588">
        <f t="shared" si="119"/>
        <v>0</v>
      </c>
      <c r="AZ325" s="1588">
        <f t="shared" si="119"/>
        <v>0</v>
      </c>
      <c r="BA325" s="1588">
        <f t="shared" si="119"/>
        <v>0</v>
      </c>
      <c r="BB325" s="1588">
        <f t="shared" si="119"/>
        <v>0</v>
      </c>
      <c r="BC325" s="1588">
        <f t="shared" si="119"/>
        <v>0</v>
      </c>
      <c r="BD325" s="1588">
        <f t="shared" si="119"/>
        <v>0</v>
      </c>
      <c r="BE325" s="1589">
        <f t="shared" si="119"/>
        <v>0</v>
      </c>
      <c r="BF325" s="1548"/>
    </row>
    <row r="326" spans="1:58" x14ac:dyDescent="0.45">
      <c r="A326" s="695"/>
      <c r="B326" s="836"/>
      <c r="C326" s="837"/>
      <c r="D326" s="837"/>
      <c r="E326" s="837"/>
      <c r="F326" s="837"/>
      <c r="G326" s="1588"/>
      <c r="H326" s="1588"/>
      <c r="I326" s="1588"/>
      <c r="J326" s="1588"/>
      <c r="K326" s="1588"/>
      <c r="L326" s="1588"/>
      <c r="M326" s="1588"/>
      <c r="N326" s="1588"/>
      <c r="O326" s="1588"/>
      <c r="P326" s="1588"/>
      <c r="Q326" s="1588"/>
      <c r="R326" s="1588"/>
      <c r="S326" s="1588"/>
      <c r="T326" s="1588"/>
      <c r="U326" s="1588"/>
      <c r="V326" s="1588"/>
      <c r="W326" s="1588"/>
      <c r="X326" s="1588"/>
      <c r="Y326" s="1588"/>
      <c r="Z326" s="1588"/>
      <c r="AA326" s="1588"/>
      <c r="AB326" s="1588"/>
      <c r="AC326" s="1588"/>
      <c r="AD326" s="1588"/>
      <c r="AE326" s="1588"/>
      <c r="AF326" s="1588"/>
      <c r="AG326" s="1588"/>
      <c r="AH326" s="1588"/>
      <c r="AI326" s="1588"/>
      <c r="AJ326" s="1588"/>
      <c r="AK326" s="1588"/>
      <c r="AL326" s="1588"/>
      <c r="AM326" s="1588"/>
      <c r="AN326" s="1588"/>
      <c r="AO326" s="1588"/>
      <c r="AP326" s="1588"/>
      <c r="AQ326" s="1588"/>
      <c r="AR326" s="1588"/>
      <c r="AS326" s="1588"/>
      <c r="AT326" s="1588"/>
      <c r="AU326" s="1588"/>
      <c r="AV326" s="1588"/>
      <c r="AW326" s="1588"/>
      <c r="AX326" s="1588"/>
      <c r="AY326" s="1588"/>
      <c r="AZ326" s="1588"/>
      <c r="BA326" s="1588"/>
      <c r="BB326" s="1588"/>
      <c r="BC326" s="1588"/>
      <c r="BD326" s="1588"/>
      <c r="BE326" s="1589"/>
      <c r="BF326" s="1548"/>
    </row>
    <row r="327" spans="1:58" x14ac:dyDescent="0.45">
      <c r="A327" s="695"/>
      <c r="B327" s="836"/>
      <c r="C327" s="1008" t="s">
        <v>58</v>
      </c>
      <c r="D327" s="837"/>
      <c r="E327" s="837"/>
      <c r="F327" s="837"/>
      <c r="G327" s="1588"/>
      <c r="H327" s="1588"/>
      <c r="I327" s="1588"/>
      <c r="J327" s="1588"/>
      <c r="K327" s="1588"/>
      <c r="L327" s="1588"/>
      <c r="M327" s="1588"/>
      <c r="N327" s="1588"/>
      <c r="O327" s="1588"/>
      <c r="P327" s="1588"/>
      <c r="Q327" s="1588"/>
      <c r="R327" s="1588"/>
      <c r="S327" s="1588"/>
      <c r="T327" s="1588"/>
      <c r="U327" s="1588"/>
      <c r="V327" s="1588"/>
      <c r="W327" s="1588"/>
      <c r="X327" s="1588"/>
      <c r="Y327" s="1588"/>
      <c r="Z327" s="1588"/>
      <c r="AA327" s="1588"/>
      <c r="AB327" s="1588"/>
      <c r="AC327" s="1588"/>
      <c r="AD327" s="1588"/>
      <c r="AE327" s="1588"/>
      <c r="AF327" s="1588"/>
      <c r="AG327" s="1588"/>
      <c r="AH327" s="1588"/>
      <c r="AI327" s="1588"/>
      <c r="AJ327" s="1588"/>
      <c r="AK327" s="1588"/>
      <c r="AL327" s="1588"/>
      <c r="AM327" s="1588"/>
      <c r="AN327" s="1588"/>
      <c r="AO327" s="1588"/>
      <c r="AP327" s="1588"/>
      <c r="AQ327" s="1588"/>
      <c r="AR327" s="1588"/>
      <c r="AS327" s="1588"/>
      <c r="AT327" s="1588"/>
      <c r="AU327" s="1588"/>
      <c r="AV327" s="1588"/>
      <c r="AW327" s="1588"/>
      <c r="AX327" s="1588"/>
      <c r="AY327" s="1588"/>
      <c r="AZ327" s="1588"/>
      <c r="BA327" s="1588"/>
      <c r="BB327" s="1588"/>
      <c r="BC327" s="1588"/>
      <c r="BD327" s="1588"/>
      <c r="BE327" s="1589"/>
      <c r="BF327" s="1548"/>
    </row>
    <row r="328" spans="1:58" x14ac:dyDescent="0.45">
      <c r="A328" s="695"/>
      <c r="B328" s="836"/>
      <c r="C328" s="837" t="s">
        <v>68</v>
      </c>
      <c r="D328" s="837"/>
      <c r="E328" s="837"/>
      <c r="F328" s="837"/>
      <c r="G328" s="1588">
        <v>0</v>
      </c>
      <c r="H328" s="1588">
        <f>G331</f>
        <v>0</v>
      </c>
      <c r="I328" s="1588">
        <f t="shared" ref="I328:W328" si="120">H331</f>
        <v>0</v>
      </c>
      <c r="J328" s="1588">
        <f t="shared" si="120"/>
        <v>0</v>
      </c>
      <c r="K328" s="1588">
        <f t="shared" si="120"/>
        <v>0</v>
      </c>
      <c r="L328" s="1588">
        <f t="shared" si="120"/>
        <v>0</v>
      </c>
      <c r="M328" s="1588">
        <f t="shared" si="120"/>
        <v>0</v>
      </c>
      <c r="N328" s="1588">
        <f t="shared" si="120"/>
        <v>0</v>
      </c>
      <c r="O328" s="1588">
        <f t="shared" si="120"/>
        <v>0</v>
      </c>
      <c r="P328" s="1588">
        <f t="shared" si="120"/>
        <v>0</v>
      </c>
      <c r="Q328" s="1588">
        <f t="shared" si="120"/>
        <v>0</v>
      </c>
      <c r="R328" s="1588">
        <f t="shared" si="120"/>
        <v>0</v>
      </c>
      <c r="S328" s="1588">
        <f t="shared" si="120"/>
        <v>0</v>
      </c>
      <c r="T328" s="1588">
        <f t="shared" si="120"/>
        <v>0</v>
      </c>
      <c r="U328" s="1588">
        <f t="shared" si="120"/>
        <v>0</v>
      </c>
      <c r="V328" s="1588">
        <f t="shared" si="120"/>
        <v>0</v>
      </c>
      <c r="W328" s="1588">
        <f t="shared" si="120"/>
        <v>0</v>
      </c>
      <c r="X328" s="1588">
        <f t="shared" ref="X328:BE328" si="121">W331</f>
        <v>0</v>
      </c>
      <c r="Y328" s="1588">
        <f t="shared" si="121"/>
        <v>0</v>
      </c>
      <c r="Z328" s="1588">
        <f t="shared" si="121"/>
        <v>0</v>
      </c>
      <c r="AA328" s="1588">
        <f t="shared" si="121"/>
        <v>0</v>
      </c>
      <c r="AB328" s="1588">
        <f t="shared" si="121"/>
        <v>0</v>
      </c>
      <c r="AC328" s="1588">
        <f t="shared" si="121"/>
        <v>0</v>
      </c>
      <c r="AD328" s="1588">
        <f t="shared" si="121"/>
        <v>0</v>
      </c>
      <c r="AE328" s="1588">
        <f t="shared" si="121"/>
        <v>0</v>
      </c>
      <c r="AF328" s="1588">
        <f t="shared" si="121"/>
        <v>0</v>
      </c>
      <c r="AG328" s="1588">
        <f t="shared" si="121"/>
        <v>0</v>
      </c>
      <c r="AH328" s="1588">
        <f t="shared" si="121"/>
        <v>0</v>
      </c>
      <c r="AI328" s="1588">
        <f t="shared" si="121"/>
        <v>0</v>
      </c>
      <c r="AJ328" s="1588">
        <f t="shared" si="121"/>
        <v>0</v>
      </c>
      <c r="AK328" s="1588">
        <f t="shared" si="121"/>
        <v>0</v>
      </c>
      <c r="AL328" s="1588">
        <f t="shared" si="121"/>
        <v>0</v>
      </c>
      <c r="AM328" s="1588">
        <f t="shared" si="121"/>
        <v>0</v>
      </c>
      <c r="AN328" s="1588">
        <f t="shared" si="121"/>
        <v>0</v>
      </c>
      <c r="AO328" s="1588">
        <f t="shared" si="121"/>
        <v>0</v>
      </c>
      <c r="AP328" s="1588">
        <f t="shared" si="121"/>
        <v>0</v>
      </c>
      <c r="AQ328" s="1588">
        <f t="shared" si="121"/>
        <v>0</v>
      </c>
      <c r="AR328" s="1588">
        <f t="shared" si="121"/>
        <v>0</v>
      </c>
      <c r="AS328" s="1588">
        <f t="shared" si="121"/>
        <v>0</v>
      </c>
      <c r="AT328" s="1588">
        <f t="shared" si="121"/>
        <v>0</v>
      </c>
      <c r="AU328" s="1588">
        <f t="shared" si="121"/>
        <v>0</v>
      </c>
      <c r="AV328" s="1588">
        <f t="shared" si="121"/>
        <v>0</v>
      </c>
      <c r="AW328" s="1588">
        <f t="shared" si="121"/>
        <v>0</v>
      </c>
      <c r="AX328" s="1588">
        <f t="shared" si="121"/>
        <v>0</v>
      </c>
      <c r="AY328" s="1588">
        <f t="shared" si="121"/>
        <v>0</v>
      </c>
      <c r="AZ328" s="1588">
        <f t="shared" si="121"/>
        <v>0</v>
      </c>
      <c r="BA328" s="1588">
        <f t="shared" si="121"/>
        <v>0</v>
      </c>
      <c r="BB328" s="1588">
        <f t="shared" si="121"/>
        <v>0</v>
      </c>
      <c r="BC328" s="1588">
        <f t="shared" si="121"/>
        <v>0</v>
      </c>
      <c r="BD328" s="1588">
        <f t="shared" si="121"/>
        <v>0</v>
      </c>
      <c r="BE328" s="1589">
        <f t="shared" si="121"/>
        <v>0</v>
      </c>
      <c r="BF328" s="1548"/>
    </row>
    <row r="329" spans="1:58" x14ac:dyDescent="0.45">
      <c r="A329" s="695"/>
      <c r="B329" s="836"/>
      <c r="C329" s="837" t="s">
        <v>69</v>
      </c>
      <c r="D329" s="837"/>
      <c r="E329" s="837"/>
      <c r="F329" s="837"/>
      <c r="G329" s="1588">
        <f>G316</f>
        <v>0</v>
      </c>
      <c r="H329" s="1588">
        <v>0</v>
      </c>
      <c r="I329" s="1588">
        <v>0</v>
      </c>
      <c r="J329" s="1588">
        <v>0</v>
      </c>
      <c r="K329" s="1588">
        <v>0</v>
      </c>
      <c r="L329" s="1588">
        <v>0</v>
      </c>
      <c r="M329" s="1588">
        <v>0</v>
      </c>
      <c r="N329" s="1588">
        <v>0</v>
      </c>
      <c r="O329" s="1588">
        <v>0</v>
      </c>
      <c r="P329" s="1588">
        <v>0</v>
      </c>
      <c r="Q329" s="1588">
        <v>0</v>
      </c>
      <c r="R329" s="1588">
        <v>0</v>
      </c>
      <c r="S329" s="1588">
        <v>0</v>
      </c>
      <c r="T329" s="1588">
        <v>0</v>
      </c>
      <c r="U329" s="1588">
        <v>0</v>
      </c>
      <c r="V329" s="1588">
        <v>0</v>
      </c>
      <c r="W329" s="1588">
        <v>0</v>
      </c>
      <c r="X329" s="1588">
        <v>0</v>
      </c>
      <c r="Y329" s="1588">
        <v>0</v>
      </c>
      <c r="Z329" s="1588">
        <v>0</v>
      </c>
      <c r="AA329" s="1588">
        <v>0</v>
      </c>
      <c r="AB329" s="1588">
        <v>0</v>
      </c>
      <c r="AC329" s="1588">
        <v>0</v>
      </c>
      <c r="AD329" s="1588">
        <v>0</v>
      </c>
      <c r="AE329" s="1588">
        <v>0</v>
      </c>
      <c r="AF329" s="1588">
        <v>0</v>
      </c>
      <c r="AG329" s="1588">
        <v>0</v>
      </c>
      <c r="AH329" s="1588">
        <v>0</v>
      </c>
      <c r="AI329" s="1588">
        <v>0</v>
      </c>
      <c r="AJ329" s="1588">
        <v>0</v>
      </c>
      <c r="AK329" s="1588">
        <v>0</v>
      </c>
      <c r="AL329" s="1588">
        <v>0</v>
      </c>
      <c r="AM329" s="1588">
        <v>0</v>
      </c>
      <c r="AN329" s="1588">
        <v>0</v>
      </c>
      <c r="AO329" s="1588">
        <v>0</v>
      </c>
      <c r="AP329" s="1588">
        <v>0</v>
      </c>
      <c r="AQ329" s="1588">
        <v>0</v>
      </c>
      <c r="AR329" s="1588">
        <v>0</v>
      </c>
      <c r="AS329" s="1588">
        <v>0</v>
      </c>
      <c r="AT329" s="1588">
        <v>0</v>
      </c>
      <c r="AU329" s="1588">
        <v>0</v>
      </c>
      <c r="AV329" s="1588">
        <v>0</v>
      </c>
      <c r="AW329" s="1588">
        <v>0</v>
      </c>
      <c r="AX329" s="1588">
        <v>0</v>
      </c>
      <c r="AY329" s="1588">
        <v>0</v>
      </c>
      <c r="AZ329" s="1588">
        <v>0</v>
      </c>
      <c r="BA329" s="1588">
        <v>0</v>
      </c>
      <c r="BB329" s="1588">
        <v>0</v>
      </c>
      <c r="BC329" s="1588">
        <v>0</v>
      </c>
      <c r="BD329" s="1588">
        <v>0</v>
      </c>
      <c r="BE329" s="1589">
        <v>0</v>
      </c>
      <c r="BF329" s="1548"/>
    </row>
    <row r="330" spans="1:58" x14ac:dyDescent="0.45">
      <c r="A330" s="695"/>
      <c r="B330" s="836"/>
      <c r="C330" s="844" t="s">
        <v>70</v>
      </c>
      <c r="D330" s="844"/>
      <c r="E330" s="844"/>
      <c r="F330" s="844"/>
      <c r="G330" s="1590">
        <v>0</v>
      </c>
      <c r="H330" s="1590">
        <f>-H324</f>
        <v>0</v>
      </c>
      <c r="I330" s="1590">
        <f t="shared" ref="I330:W330" si="122">-I324</f>
        <v>0</v>
      </c>
      <c r="J330" s="1590">
        <f t="shared" si="122"/>
        <v>0</v>
      </c>
      <c r="K330" s="1590">
        <f t="shared" si="122"/>
        <v>0</v>
      </c>
      <c r="L330" s="1590">
        <f t="shared" si="122"/>
        <v>0</v>
      </c>
      <c r="M330" s="1590">
        <f t="shared" si="122"/>
        <v>0</v>
      </c>
      <c r="N330" s="1590">
        <f t="shared" si="122"/>
        <v>0</v>
      </c>
      <c r="O330" s="1590">
        <f t="shared" si="122"/>
        <v>0</v>
      </c>
      <c r="P330" s="1590">
        <f t="shared" si="122"/>
        <v>0</v>
      </c>
      <c r="Q330" s="1590">
        <f t="shared" si="122"/>
        <v>0</v>
      </c>
      <c r="R330" s="1590">
        <f t="shared" si="122"/>
        <v>0</v>
      </c>
      <c r="S330" s="1590">
        <f t="shared" si="122"/>
        <v>0</v>
      </c>
      <c r="T330" s="1590">
        <f t="shared" si="122"/>
        <v>0</v>
      </c>
      <c r="U330" s="1590">
        <f t="shared" si="122"/>
        <v>0</v>
      </c>
      <c r="V330" s="1590">
        <f t="shared" si="122"/>
        <v>0</v>
      </c>
      <c r="W330" s="1590">
        <f t="shared" si="122"/>
        <v>0</v>
      </c>
      <c r="X330" s="1590">
        <f t="shared" ref="X330:BE330" si="123">-X324</f>
        <v>0</v>
      </c>
      <c r="Y330" s="1590">
        <f t="shared" si="123"/>
        <v>0</v>
      </c>
      <c r="Z330" s="1590">
        <f t="shared" si="123"/>
        <v>0</v>
      </c>
      <c r="AA330" s="1590">
        <f t="shared" si="123"/>
        <v>0</v>
      </c>
      <c r="AB330" s="1590">
        <f t="shared" si="123"/>
        <v>0</v>
      </c>
      <c r="AC330" s="1590">
        <f t="shared" si="123"/>
        <v>0</v>
      </c>
      <c r="AD330" s="1590">
        <f t="shared" si="123"/>
        <v>0</v>
      </c>
      <c r="AE330" s="1590">
        <f t="shared" si="123"/>
        <v>0</v>
      </c>
      <c r="AF330" s="1590">
        <f t="shared" si="123"/>
        <v>0</v>
      </c>
      <c r="AG330" s="1590">
        <f t="shared" si="123"/>
        <v>0</v>
      </c>
      <c r="AH330" s="1590">
        <f t="shared" si="123"/>
        <v>0</v>
      </c>
      <c r="AI330" s="1590">
        <f t="shared" si="123"/>
        <v>0</v>
      </c>
      <c r="AJ330" s="1590">
        <f t="shared" si="123"/>
        <v>0</v>
      </c>
      <c r="AK330" s="1590">
        <f t="shared" si="123"/>
        <v>0</v>
      </c>
      <c r="AL330" s="1590">
        <f t="shared" si="123"/>
        <v>0</v>
      </c>
      <c r="AM330" s="1590">
        <f t="shared" si="123"/>
        <v>0</v>
      </c>
      <c r="AN330" s="1590">
        <f t="shared" si="123"/>
        <v>0</v>
      </c>
      <c r="AO330" s="1590">
        <f t="shared" si="123"/>
        <v>0</v>
      </c>
      <c r="AP330" s="1590">
        <f t="shared" si="123"/>
        <v>0</v>
      </c>
      <c r="AQ330" s="1590">
        <f t="shared" si="123"/>
        <v>0</v>
      </c>
      <c r="AR330" s="1590">
        <f t="shared" si="123"/>
        <v>0</v>
      </c>
      <c r="AS330" s="1590">
        <f t="shared" si="123"/>
        <v>0</v>
      </c>
      <c r="AT330" s="1590">
        <f t="shared" si="123"/>
        <v>0</v>
      </c>
      <c r="AU330" s="1590">
        <f t="shared" si="123"/>
        <v>0</v>
      </c>
      <c r="AV330" s="1590">
        <f t="shared" si="123"/>
        <v>0</v>
      </c>
      <c r="AW330" s="1590">
        <f t="shared" si="123"/>
        <v>0</v>
      </c>
      <c r="AX330" s="1590">
        <f t="shared" si="123"/>
        <v>0</v>
      </c>
      <c r="AY330" s="1590">
        <f t="shared" si="123"/>
        <v>0</v>
      </c>
      <c r="AZ330" s="1590">
        <f t="shared" si="123"/>
        <v>0</v>
      </c>
      <c r="BA330" s="1590">
        <f t="shared" si="123"/>
        <v>0</v>
      </c>
      <c r="BB330" s="1590">
        <f t="shared" si="123"/>
        <v>0</v>
      </c>
      <c r="BC330" s="1590">
        <f t="shared" si="123"/>
        <v>0</v>
      </c>
      <c r="BD330" s="1590">
        <f t="shared" si="123"/>
        <v>0</v>
      </c>
      <c r="BE330" s="1591">
        <f t="shared" si="123"/>
        <v>0</v>
      </c>
      <c r="BF330" s="1548"/>
    </row>
    <row r="331" spans="1:58" x14ac:dyDescent="0.45">
      <c r="A331" s="695"/>
      <c r="B331" s="836"/>
      <c r="C331" s="837" t="s">
        <v>59</v>
      </c>
      <c r="D331" s="837"/>
      <c r="E331" s="837"/>
      <c r="F331" s="837"/>
      <c r="G331" s="1588">
        <f>SUM(G328:G330)</f>
        <v>0</v>
      </c>
      <c r="H331" s="1588">
        <f>SUM(H328:H330)</f>
        <v>0</v>
      </c>
      <c r="I331" s="1588">
        <f t="shared" ref="I331:W331" si="124">SUM(I328:I330)</f>
        <v>0</v>
      </c>
      <c r="J331" s="1588">
        <f t="shared" si="124"/>
        <v>0</v>
      </c>
      <c r="K331" s="1588">
        <f t="shared" si="124"/>
        <v>0</v>
      </c>
      <c r="L331" s="1588">
        <f t="shared" si="124"/>
        <v>0</v>
      </c>
      <c r="M331" s="1588">
        <f t="shared" si="124"/>
        <v>0</v>
      </c>
      <c r="N331" s="1588">
        <f t="shared" si="124"/>
        <v>0</v>
      </c>
      <c r="O331" s="1588">
        <f t="shared" si="124"/>
        <v>0</v>
      </c>
      <c r="P331" s="1588">
        <f t="shared" si="124"/>
        <v>0</v>
      </c>
      <c r="Q331" s="1588">
        <f t="shared" si="124"/>
        <v>0</v>
      </c>
      <c r="R331" s="1588">
        <f t="shared" si="124"/>
        <v>0</v>
      </c>
      <c r="S331" s="1588">
        <f t="shared" si="124"/>
        <v>0</v>
      </c>
      <c r="T331" s="1588">
        <f t="shared" si="124"/>
        <v>0</v>
      </c>
      <c r="U331" s="1588">
        <f t="shared" si="124"/>
        <v>0</v>
      </c>
      <c r="V331" s="1588">
        <f t="shared" si="124"/>
        <v>0</v>
      </c>
      <c r="W331" s="1588">
        <f t="shared" si="124"/>
        <v>0</v>
      </c>
      <c r="X331" s="1588">
        <f t="shared" ref="X331:BE331" si="125">SUM(X328:X330)</f>
        <v>0</v>
      </c>
      <c r="Y331" s="1588">
        <f t="shared" si="125"/>
        <v>0</v>
      </c>
      <c r="Z331" s="1588">
        <f t="shared" si="125"/>
        <v>0</v>
      </c>
      <c r="AA331" s="1588">
        <f t="shared" si="125"/>
        <v>0</v>
      </c>
      <c r="AB331" s="1588">
        <f t="shared" si="125"/>
        <v>0</v>
      </c>
      <c r="AC331" s="1588">
        <f t="shared" si="125"/>
        <v>0</v>
      </c>
      <c r="AD331" s="1588">
        <f t="shared" si="125"/>
        <v>0</v>
      </c>
      <c r="AE331" s="1588">
        <f t="shared" si="125"/>
        <v>0</v>
      </c>
      <c r="AF331" s="1588">
        <f t="shared" si="125"/>
        <v>0</v>
      </c>
      <c r="AG331" s="1588">
        <f t="shared" si="125"/>
        <v>0</v>
      </c>
      <c r="AH331" s="1588">
        <f t="shared" si="125"/>
        <v>0</v>
      </c>
      <c r="AI331" s="1588">
        <f t="shared" si="125"/>
        <v>0</v>
      </c>
      <c r="AJ331" s="1588">
        <f t="shared" si="125"/>
        <v>0</v>
      </c>
      <c r="AK331" s="1588">
        <f t="shared" si="125"/>
        <v>0</v>
      </c>
      <c r="AL331" s="1588">
        <f t="shared" si="125"/>
        <v>0</v>
      </c>
      <c r="AM331" s="1588">
        <f t="shared" si="125"/>
        <v>0</v>
      </c>
      <c r="AN331" s="1588">
        <f t="shared" si="125"/>
        <v>0</v>
      </c>
      <c r="AO331" s="1588">
        <f t="shared" si="125"/>
        <v>0</v>
      </c>
      <c r="AP331" s="1588">
        <f t="shared" si="125"/>
        <v>0</v>
      </c>
      <c r="AQ331" s="1588">
        <f t="shared" si="125"/>
        <v>0</v>
      </c>
      <c r="AR331" s="1588">
        <f t="shared" si="125"/>
        <v>0</v>
      </c>
      <c r="AS331" s="1588">
        <f t="shared" si="125"/>
        <v>0</v>
      </c>
      <c r="AT331" s="1588">
        <f t="shared" si="125"/>
        <v>0</v>
      </c>
      <c r="AU331" s="1588">
        <f t="shared" si="125"/>
        <v>0</v>
      </c>
      <c r="AV331" s="1588">
        <f t="shared" si="125"/>
        <v>0</v>
      </c>
      <c r="AW331" s="1588">
        <f t="shared" si="125"/>
        <v>0</v>
      </c>
      <c r="AX331" s="1588">
        <f t="shared" si="125"/>
        <v>0</v>
      </c>
      <c r="AY331" s="1588">
        <f t="shared" si="125"/>
        <v>0</v>
      </c>
      <c r="AZ331" s="1588">
        <f t="shared" si="125"/>
        <v>0</v>
      </c>
      <c r="BA331" s="1588">
        <f t="shared" si="125"/>
        <v>0</v>
      </c>
      <c r="BB331" s="1588">
        <f t="shared" si="125"/>
        <v>0</v>
      </c>
      <c r="BC331" s="1588">
        <f t="shared" si="125"/>
        <v>0</v>
      </c>
      <c r="BD331" s="1588">
        <f t="shared" si="125"/>
        <v>0</v>
      </c>
      <c r="BE331" s="1589">
        <f t="shared" si="125"/>
        <v>0</v>
      </c>
      <c r="BF331" s="1548"/>
    </row>
    <row r="332" spans="1:58" x14ac:dyDescent="0.45">
      <c r="A332" s="695"/>
      <c r="B332" s="836"/>
      <c r="C332" s="837"/>
      <c r="D332" s="837"/>
      <c r="E332" s="837"/>
      <c r="F332" s="837"/>
      <c r="G332" s="1588"/>
      <c r="H332" s="1588"/>
      <c r="I332" s="1588"/>
      <c r="J332" s="1588"/>
      <c r="K332" s="1588"/>
      <c r="L332" s="1588"/>
      <c r="M332" s="1588"/>
      <c r="N332" s="1588"/>
      <c r="O332" s="1588"/>
      <c r="P332" s="1588"/>
      <c r="Q332" s="1588"/>
      <c r="R332" s="1588"/>
      <c r="S332" s="1588"/>
      <c r="T332" s="1588"/>
      <c r="U332" s="1588"/>
      <c r="V332" s="1588"/>
      <c r="W332" s="1588"/>
      <c r="X332" s="1588"/>
      <c r="Y332" s="1588"/>
      <c r="Z332" s="1588"/>
      <c r="AA332" s="1588"/>
      <c r="AB332" s="1588"/>
      <c r="AC332" s="1588"/>
      <c r="AD332" s="1588"/>
      <c r="AE332" s="1588"/>
      <c r="AF332" s="1588"/>
      <c r="AG332" s="1588"/>
      <c r="AH332" s="1588"/>
      <c r="AI332" s="1588"/>
      <c r="AJ332" s="1588"/>
      <c r="AK332" s="1588"/>
      <c r="AL332" s="1588"/>
      <c r="AM332" s="1588"/>
      <c r="AN332" s="1588"/>
      <c r="AO332" s="1588"/>
      <c r="AP332" s="1588"/>
      <c r="AQ332" s="1588"/>
      <c r="AR332" s="1588"/>
      <c r="AS332" s="1588"/>
      <c r="AT332" s="1588"/>
      <c r="AU332" s="1588"/>
      <c r="AV332" s="1588"/>
      <c r="AW332" s="1588"/>
      <c r="AX332" s="1588"/>
      <c r="AY332" s="1588"/>
      <c r="AZ332" s="1588"/>
      <c r="BA332" s="1588"/>
      <c r="BB332" s="1588"/>
      <c r="BC332" s="1588"/>
      <c r="BD332" s="1588"/>
      <c r="BE332" s="1589"/>
      <c r="BF332" s="1548"/>
    </row>
    <row r="333" spans="1:58" x14ac:dyDescent="0.45">
      <c r="A333" s="695"/>
      <c r="B333" s="836"/>
      <c r="C333" s="1008" t="s">
        <v>64</v>
      </c>
      <c r="D333" s="837"/>
      <c r="E333" s="837"/>
      <c r="F333" s="837"/>
      <c r="G333" s="1588"/>
      <c r="H333" s="1588"/>
      <c r="I333" s="1588"/>
      <c r="J333" s="1588"/>
      <c r="K333" s="1588"/>
      <c r="L333" s="1588"/>
      <c r="M333" s="1588"/>
      <c r="N333" s="1588"/>
      <c r="O333" s="1588"/>
      <c r="P333" s="1588"/>
      <c r="Q333" s="1588"/>
      <c r="R333" s="1588"/>
      <c r="S333" s="1588"/>
      <c r="T333" s="1588"/>
      <c r="U333" s="1588"/>
      <c r="V333" s="1588"/>
      <c r="W333" s="1588"/>
      <c r="X333" s="1588"/>
      <c r="Y333" s="1588"/>
      <c r="Z333" s="1588"/>
      <c r="AA333" s="1588"/>
      <c r="AB333" s="1588"/>
      <c r="AC333" s="1588"/>
      <c r="AD333" s="1588"/>
      <c r="AE333" s="1588"/>
      <c r="AF333" s="1588"/>
      <c r="AG333" s="1588"/>
      <c r="AH333" s="1588"/>
      <c r="AI333" s="1588"/>
      <c r="AJ333" s="1588"/>
      <c r="AK333" s="1588"/>
      <c r="AL333" s="1588"/>
      <c r="AM333" s="1588"/>
      <c r="AN333" s="1588"/>
      <c r="AO333" s="1588"/>
      <c r="AP333" s="1588"/>
      <c r="AQ333" s="1588"/>
      <c r="AR333" s="1588"/>
      <c r="AS333" s="1588"/>
      <c r="AT333" s="1588"/>
      <c r="AU333" s="1588"/>
      <c r="AV333" s="1588"/>
      <c r="AW333" s="1588"/>
      <c r="AX333" s="1588"/>
      <c r="AY333" s="1588"/>
      <c r="AZ333" s="1588"/>
      <c r="BA333" s="1588"/>
      <c r="BB333" s="1588"/>
      <c r="BC333" s="1588"/>
      <c r="BD333" s="1588"/>
      <c r="BE333" s="1589"/>
      <c r="BF333" s="1548"/>
    </row>
    <row r="334" spans="1:58" x14ac:dyDescent="0.45">
      <c r="A334" s="695"/>
      <c r="B334" s="836"/>
      <c r="C334" s="837" t="s">
        <v>202</v>
      </c>
      <c r="D334" s="837"/>
      <c r="E334" s="837"/>
      <c r="F334" s="837"/>
      <c r="G334" s="1588"/>
      <c r="H334" s="1588">
        <f>IF($G$316&gt;0, $G$316*'II. Inputs, Baseline Energy Mix'!$N$82/10000,0)</f>
        <v>0</v>
      </c>
      <c r="I334" s="1588">
        <v>0</v>
      </c>
      <c r="J334" s="1588">
        <v>0</v>
      </c>
      <c r="K334" s="1588">
        <v>0</v>
      </c>
      <c r="L334" s="1588">
        <v>0</v>
      </c>
      <c r="M334" s="1588">
        <v>0</v>
      </c>
      <c r="N334" s="1588">
        <v>0</v>
      </c>
      <c r="O334" s="1588">
        <v>0</v>
      </c>
      <c r="P334" s="1588">
        <v>0</v>
      </c>
      <c r="Q334" s="1588">
        <v>0</v>
      </c>
      <c r="R334" s="1588">
        <v>0</v>
      </c>
      <c r="S334" s="1588">
        <v>0</v>
      </c>
      <c r="T334" s="1588">
        <v>0</v>
      </c>
      <c r="U334" s="1588">
        <v>0</v>
      </c>
      <c r="V334" s="1588">
        <v>0</v>
      </c>
      <c r="W334" s="1588">
        <v>0</v>
      </c>
      <c r="X334" s="1588">
        <v>0</v>
      </c>
      <c r="Y334" s="1588">
        <v>0</v>
      </c>
      <c r="Z334" s="1588">
        <v>0</v>
      </c>
      <c r="AA334" s="1588">
        <v>0</v>
      </c>
      <c r="AB334" s="1588">
        <v>0</v>
      </c>
      <c r="AC334" s="1588">
        <v>0</v>
      </c>
      <c r="AD334" s="1588">
        <v>0</v>
      </c>
      <c r="AE334" s="1588">
        <v>0</v>
      </c>
      <c r="AF334" s="1588">
        <v>0</v>
      </c>
      <c r="AG334" s="1588">
        <v>0</v>
      </c>
      <c r="AH334" s="1588">
        <v>0</v>
      </c>
      <c r="AI334" s="1588">
        <v>0</v>
      </c>
      <c r="AJ334" s="1588">
        <v>0</v>
      </c>
      <c r="AK334" s="1588">
        <v>0</v>
      </c>
      <c r="AL334" s="1588">
        <v>0</v>
      </c>
      <c r="AM334" s="1588">
        <v>0</v>
      </c>
      <c r="AN334" s="1588">
        <v>0</v>
      </c>
      <c r="AO334" s="1588">
        <v>0</v>
      </c>
      <c r="AP334" s="1588">
        <v>0</v>
      </c>
      <c r="AQ334" s="1588">
        <v>0</v>
      </c>
      <c r="AR334" s="1588">
        <v>0</v>
      </c>
      <c r="AS334" s="1588">
        <v>0</v>
      </c>
      <c r="AT334" s="1588">
        <v>0</v>
      </c>
      <c r="AU334" s="1588">
        <v>0</v>
      </c>
      <c r="AV334" s="1588">
        <v>0</v>
      </c>
      <c r="AW334" s="1588">
        <v>0</v>
      </c>
      <c r="AX334" s="1588">
        <v>0</v>
      </c>
      <c r="AY334" s="1588">
        <v>0</v>
      </c>
      <c r="AZ334" s="1588">
        <v>0</v>
      </c>
      <c r="BA334" s="1588">
        <v>0</v>
      </c>
      <c r="BB334" s="1588">
        <v>0</v>
      </c>
      <c r="BC334" s="1588">
        <v>0</v>
      </c>
      <c r="BD334" s="1588">
        <v>0</v>
      </c>
      <c r="BE334" s="1589">
        <v>0</v>
      </c>
      <c r="BF334" s="1548"/>
    </row>
    <row r="335" spans="1:58" x14ac:dyDescent="0.45">
      <c r="A335" s="695"/>
      <c r="B335" s="836"/>
      <c r="C335" s="837" t="str">
        <f>'II. Inputs, Baseline Energy Mix'!$E$85</f>
        <v>Front-end Fee, Public Guarantee</v>
      </c>
      <c r="D335" s="837"/>
      <c r="E335" s="837"/>
      <c r="F335" s="837"/>
      <c r="G335" s="1588"/>
      <c r="H335" s="1588">
        <f>IF($G$319&gt;0, $G$316*$G$319*'II. Inputs, Baseline Energy Mix'!$N$85/10000,0)</f>
        <v>0</v>
      </c>
      <c r="I335" s="1588">
        <v>0</v>
      </c>
      <c r="J335" s="1588">
        <v>0</v>
      </c>
      <c r="K335" s="1588">
        <v>0</v>
      </c>
      <c r="L335" s="1588">
        <v>0</v>
      </c>
      <c r="M335" s="1588">
        <v>0</v>
      </c>
      <c r="N335" s="1588">
        <v>0</v>
      </c>
      <c r="O335" s="1588">
        <v>0</v>
      </c>
      <c r="P335" s="1588">
        <v>0</v>
      </c>
      <c r="Q335" s="1588">
        <v>0</v>
      </c>
      <c r="R335" s="1588">
        <v>0</v>
      </c>
      <c r="S335" s="1588">
        <v>0</v>
      </c>
      <c r="T335" s="1588">
        <v>0</v>
      </c>
      <c r="U335" s="1588">
        <v>0</v>
      </c>
      <c r="V335" s="1588">
        <v>0</v>
      </c>
      <c r="W335" s="1588">
        <v>0</v>
      </c>
      <c r="X335" s="1588">
        <v>0</v>
      </c>
      <c r="Y335" s="1588">
        <v>0</v>
      </c>
      <c r="Z335" s="1588">
        <v>0</v>
      </c>
      <c r="AA335" s="1588">
        <v>0</v>
      </c>
      <c r="AB335" s="1588">
        <v>0</v>
      </c>
      <c r="AC335" s="1588">
        <v>0</v>
      </c>
      <c r="AD335" s="1588">
        <v>0</v>
      </c>
      <c r="AE335" s="1588">
        <v>0</v>
      </c>
      <c r="AF335" s="1588">
        <v>0</v>
      </c>
      <c r="AG335" s="1588">
        <v>0</v>
      </c>
      <c r="AH335" s="1588">
        <v>0</v>
      </c>
      <c r="AI335" s="1588">
        <v>0</v>
      </c>
      <c r="AJ335" s="1588">
        <v>0</v>
      </c>
      <c r="AK335" s="1588">
        <v>0</v>
      </c>
      <c r="AL335" s="1588">
        <v>0</v>
      </c>
      <c r="AM335" s="1588">
        <v>0</v>
      </c>
      <c r="AN335" s="1588">
        <v>0</v>
      </c>
      <c r="AO335" s="1588">
        <v>0</v>
      </c>
      <c r="AP335" s="1588">
        <v>0</v>
      </c>
      <c r="AQ335" s="1588">
        <v>0</v>
      </c>
      <c r="AR335" s="1588">
        <v>0</v>
      </c>
      <c r="AS335" s="1588">
        <v>0</v>
      </c>
      <c r="AT335" s="1588">
        <v>0</v>
      </c>
      <c r="AU335" s="1588">
        <v>0</v>
      </c>
      <c r="AV335" s="1588">
        <v>0</v>
      </c>
      <c r="AW335" s="1588">
        <v>0</v>
      </c>
      <c r="AX335" s="1588">
        <v>0</v>
      </c>
      <c r="AY335" s="1588">
        <v>0</v>
      </c>
      <c r="AZ335" s="1588">
        <v>0</v>
      </c>
      <c r="BA335" s="1588">
        <v>0</v>
      </c>
      <c r="BB335" s="1588">
        <v>0</v>
      </c>
      <c r="BC335" s="1588">
        <v>0</v>
      </c>
      <c r="BD335" s="1588">
        <v>0</v>
      </c>
      <c r="BE335" s="1589">
        <v>0</v>
      </c>
      <c r="BF335" s="1548"/>
    </row>
    <row r="336" spans="1:58" x14ac:dyDescent="0.45">
      <c r="A336" s="695"/>
      <c r="B336" s="836"/>
      <c r="C336" s="837" t="str">
        <f>'II. Inputs, Baseline Energy Mix'!$E$86</f>
        <v xml:space="preserve">Annual Public Guarantee Fee </v>
      </c>
      <c r="D336" s="837"/>
      <c r="E336" s="837"/>
      <c r="F336" s="837"/>
      <c r="G336" s="1588"/>
      <c r="H336" s="1588">
        <f>IF(H$292&gt;$G$320,0,((H328+H331)/2)*$G$319*'II. Inputs, Baseline Energy Mix'!$N$86/10000)</f>
        <v>0</v>
      </c>
      <c r="I336" s="1588">
        <f>IF(I$292&gt;$G$320,0,((I328+I331)/2)*$G$319*'II. Inputs, Baseline Energy Mix'!$N$86/10000)</f>
        <v>0</v>
      </c>
      <c r="J336" s="1588">
        <f>IF(J$292&gt;$G$320,0,((J328+J331)/2)*$G$319*'II. Inputs, Baseline Energy Mix'!$N$86/10000)</f>
        <v>0</v>
      </c>
      <c r="K336" s="1588">
        <f>IF(K$292&gt;$G$320,0,((K328+K331)/2)*$G$319*'II. Inputs, Baseline Energy Mix'!$N$86/10000)</f>
        <v>0</v>
      </c>
      <c r="L336" s="1588">
        <f>IF(L$292&gt;$G$320,0,((L328+L331)/2)*$G$319*'II. Inputs, Baseline Energy Mix'!$N$86/10000)</f>
        <v>0</v>
      </c>
      <c r="M336" s="1588">
        <f>IF(M$292&gt;$G$320,0,((M328+M331)/2)*$G$319*'II. Inputs, Baseline Energy Mix'!$N$86/10000)</f>
        <v>0</v>
      </c>
      <c r="N336" s="1588">
        <f>IF(N$292&gt;$G$320,0,((N328+N331)/2)*$G$319*'II. Inputs, Baseline Energy Mix'!$N$86/10000)</f>
        <v>0</v>
      </c>
      <c r="O336" s="1588">
        <f>IF(O$292&gt;$G$320,0,((O328+O331)/2)*$G$319*'II. Inputs, Baseline Energy Mix'!$N$86/10000)</f>
        <v>0</v>
      </c>
      <c r="P336" s="1588">
        <f>IF(P$292&gt;$G$320,0,((P328+P331)/2)*$G$319*'II. Inputs, Baseline Energy Mix'!$N$86/10000)</f>
        <v>0</v>
      </c>
      <c r="Q336" s="1588">
        <f>IF(Q$292&gt;$G$320,0,((Q328+Q331)/2)*$G$319*'II. Inputs, Baseline Energy Mix'!$N$86/10000)</f>
        <v>0</v>
      </c>
      <c r="R336" s="1588">
        <f>IF(R$292&gt;$G$320,0,((R328+R331)/2)*$G$319*'II. Inputs, Baseline Energy Mix'!$N$86/10000)</f>
        <v>0</v>
      </c>
      <c r="S336" s="1588">
        <f>IF(S$292&gt;$G$320,0,((S328+S331)/2)*$G$319*'II. Inputs, Baseline Energy Mix'!$N$86/10000)</f>
        <v>0</v>
      </c>
      <c r="T336" s="1588">
        <f>IF(T$292&gt;$G$320,0,((T328+T331)/2)*$G$319*'II. Inputs, Baseline Energy Mix'!$N$86/10000)</f>
        <v>0</v>
      </c>
      <c r="U336" s="1588">
        <f>IF(U$292&gt;$G$320,0,((U328+U331)/2)*$G$319*'II. Inputs, Baseline Energy Mix'!$N$86/10000)</f>
        <v>0</v>
      </c>
      <c r="V336" s="1588">
        <f>IF(V$292&gt;$G$320,0,((V328+V331)/2)*$G$319*'II. Inputs, Baseline Energy Mix'!$N$86/10000)</f>
        <v>0</v>
      </c>
      <c r="W336" s="1588">
        <f>IF(W$292&gt;$G$320,0,((W328+W331)/2)*$G$319*'II. Inputs, Baseline Energy Mix'!$N$86/10000)</f>
        <v>0</v>
      </c>
      <c r="X336" s="1588">
        <f>IF(X$292&gt;$G$320,0,((X328+X331)/2)*$G$319*'II. Inputs, Baseline Energy Mix'!$N$86/10000)</f>
        <v>0</v>
      </c>
      <c r="Y336" s="1588">
        <f>IF(Y$292&gt;$G$320,0,((Y328+Y331)/2)*$G$319*'II. Inputs, Baseline Energy Mix'!$N$86/10000)</f>
        <v>0</v>
      </c>
      <c r="Z336" s="1588">
        <f>IF(Z$292&gt;$G$320,0,((Z328+Z331)/2)*$G$319*'II. Inputs, Baseline Energy Mix'!$N$86/10000)</f>
        <v>0</v>
      </c>
      <c r="AA336" s="1588">
        <f>IF(AA$292&gt;$G$320,0,((AA328+AA331)/2)*$G$319*'II. Inputs, Baseline Energy Mix'!$N$86/10000)</f>
        <v>0</v>
      </c>
      <c r="AB336" s="1588">
        <f>IF(AB$292&gt;$G$320,0,((AB328+AB331)/2)*$G$319*'II. Inputs, Baseline Energy Mix'!$N$86/10000)</f>
        <v>0</v>
      </c>
      <c r="AC336" s="1588">
        <f>IF(AC$292&gt;$G$320,0,((AC328+AC331)/2)*$G$319*'II. Inputs, Baseline Energy Mix'!$N$86/10000)</f>
        <v>0</v>
      </c>
      <c r="AD336" s="1588">
        <f>IF(AD$292&gt;$G$320,0,((AD328+AD331)/2)*$G$319*'II. Inputs, Baseline Energy Mix'!$N$86/10000)</f>
        <v>0</v>
      </c>
      <c r="AE336" s="1588">
        <f>IF(AE$292&gt;$G$320,0,((AE328+AE331)/2)*$G$319*'II. Inputs, Baseline Energy Mix'!$N$86/10000)</f>
        <v>0</v>
      </c>
      <c r="AF336" s="1588">
        <f>IF(AF$292&gt;$G$320,0,((AF328+AF331)/2)*$G$319*'II. Inputs, Baseline Energy Mix'!$N$86/10000)</f>
        <v>0</v>
      </c>
      <c r="AG336" s="1588">
        <f>IF(AG$292&gt;$G$320,0,((AG328+AG331)/2)*$G$319*'II. Inputs, Baseline Energy Mix'!$N$86/10000)</f>
        <v>0</v>
      </c>
      <c r="AH336" s="1588">
        <f>IF(AH$292&gt;$G$320,0,((AH328+AH331)/2)*$G$319*'II. Inputs, Baseline Energy Mix'!$N$86/10000)</f>
        <v>0</v>
      </c>
      <c r="AI336" s="1588">
        <f>IF(AI$292&gt;$G$320,0,((AI328+AI331)/2)*$G$319*'II. Inputs, Baseline Energy Mix'!$N$86/10000)</f>
        <v>0</v>
      </c>
      <c r="AJ336" s="1588">
        <f>IF(AJ$292&gt;$G$320,0,((AJ328+AJ331)/2)*$G$319*'II. Inputs, Baseline Energy Mix'!$N$86/10000)</f>
        <v>0</v>
      </c>
      <c r="AK336" s="1588">
        <f>IF(AK$292&gt;$G$320,0,((AK328+AK331)/2)*$G$319*'II. Inputs, Baseline Energy Mix'!$N$86/10000)</f>
        <v>0</v>
      </c>
      <c r="AL336" s="1588">
        <f>IF(AL$292&gt;$G$320,0,((AL328+AL331)/2)*$G$319*'II. Inputs, Baseline Energy Mix'!$N$86/10000)</f>
        <v>0</v>
      </c>
      <c r="AM336" s="1588">
        <f>IF(AM$292&gt;$G$320,0,((AM328+AM331)/2)*$G$319*'II. Inputs, Baseline Energy Mix'!$N$86/10000)</f>
        <v>0</v>
      </c>
      <c r="AN336" s="1588">
        <f>IF(AN$292&gt;$G$320,0,((AN328+AN331)/2)*$G$319*'II. Inputs, Baseline Energy Mix'!$N$86/10000)</f>
        <v>0</v>
      </c>
      <c r="AO336" s="1588">
        <f>IF(AO$292&gt;$G$320,0,((AO328+AO331)/2)*$G$319*'II. Inputs, Baseline Energy Mix'!$N$86/10000)</f>
        <v>0</v>
      </c>
      <c r="AP336" s="1588">
        <f>IF(AP$292&gt;$G$320,0,((AP328+AP331)/2)*$G$319*'II. Inputs, Baseline Energy Mix'!$N$86/10000)</f>
        <v>0</v>
      </c>
      <c r="AQ336" s="1588">
        <f>IF(AQ$292&gt;$G$320,0,((AQ328+AQ331)/2)*$G$319*'II. Inputs, Baseline Energy Mix'!$N$86/10000)</f>
        <v>0</v>
      </c>
      <c r="AR336" s="1588">
        <f>IF(AR$292&gt;$G$320,0,((AR328+AR331)/2)*$G$319*'II. Inputs, Baseline Energy Mix'!$N$86/10000)</f>
        <v>0</v>
      </c>
      <c r="AS336" s="1588">
        <f>IF(AS$292&gt;$G$320,0,((AS328+AS331)/2)*$G$319*'II. Inputs, Baseline Energy Mix'!$N$86/10000)</f>
        <v>0</v>
      </c>
      <c r="AT336" s="1588">
        <f>IF(AT$292&gt;$G$320,0,((AT328+AT331)/2)*$G$319*'II. Inputs, Baseline Energy Mix'!$N$86/10000)</f>
        <v>0</v>
      </c>
      <c r="AU336" s="1588">
        <f>IF(AU$292&gt;$G$320,0,((AU328+AU331)/2)*$G$319*'II. Inputs, Baseline Energy Mix'!$N$86/10000)</f>
        <v>0</v>
      </c>
      <c r="AV336" s="1588">
        <f>IF(AV$292&gt;$G$320,0,((AV328+AV331)/2)*$G$319*'II. Inputs, Baseline Energy Mix'!$N$86/10000)</f>
        <v>0</v>
      </c>
      <c r="AW336" s="1588">
        <f>IF(AW$292&gt;$G$320,0,((AW328+AW331)/2)*$G$319*'II. Inputs, Baseline Energy Mix'!$N$86/10000)</f>
        <v>0</v>
      </c>
      <c r="AX336" s="1588">
        <f>IF(AX$292&gt;$G$320,0,((AX328+AX331)/2)*$G$319*'II. Inputs, Baseline Energy Mix'!$N$86/10000)</f>
        <v>0</v>
      </c>
      <c r="AY336" s="1588">
        <f>IF(AY$292&gt;$G$320,0,((AY328+AY331)/2)*$G$319*'II. Inputs, Baseline Energy Mix'!$N$86/10000)</f>
        <v>0</v>
      </c>
      <c r="AZ336" s="1588">
        <f>IF(AZ$292&gt;$G$320,0,((AZ328+AZ331)/2)*$G$319*'II. Inputs, Baseline Energy Mix'!$N$86/10000)</f>
        <v>0</v>
      </c>
      <c r="BA336" s="1588">
        <f>IF(BA$292&gt;$G$320,0,((BA328+BA331)/2)*$G$319*'II. Inputs, Baseline Energy Mix'!$N$86/10000)</f>
        <v>0</v>
      </c>
      <c r="BB336" s="1588">
        <f>IF(BB$292&gt;$G$320,0,((BB328+BB331)/2)*$G$319*'II. Inputs, Baseline Energy Mix'!$N$86/10000)</f>
        <v>0</v>
      </c>
      <c r="BC336" s="1588">
        <f>IF(BC$292&gt;$G$320,0,((BC328+BC331)/2)*$G$319*'II. Inputs, Baseline Energy Mix'!$N$86/10000)</f>
        <v>0</v>
      </c>
      <c r="BD336" s="1588">
        <f>IF(BD$292&gt;$G$320,0,((BD328+BD331)/2)*$G$319*'II. Inputs, Baseline Energy Mix'!$N$86/10000)</f>
        <v>0</v>
      </c>
      <c r="BE336" s="1589">
        <f>IF(BE$292&gt;$G$320,0,((BE328+BE331)/2)*$G$319*'II. Inputs, Baseline Energy Mix'!$N$86/10000)</f>
        <v>0</v>
      </c>
      <c r="BF336" s="1548"/>
    </row>
    <row r="337" spans="1:58" x14ac:dyDescent="0.45">
      <c r="A337" s="695"/>
      <c r="B337" s="836"/>
      <c r="C337" s="837"/>
      <c r="D337" s="837"/>
      <c r="E337" s="837"/>
      <c r="F337" s="837"/>
      <c r="G337" s="1002"/>
      <c r="H337" s="1002"/>
      <c r="I337" s="1002"/>
      <c r="J337" s="1002"/>
      <c r="K337" s="1002"/>
      <c r="L337" s="1002"/>
      <c r="M337" s="1002"/>
      <c r="N337" s="1002"/>
      <c r="O337" s="1002"/>
      <c r="P337" s="1002"/>
      <c r="Q337" s="1002"/>
      <c r="R337" s="1002"/>
      <c r="S337" s="1002"/>
      <c r="T337" s="1002"/>
      <c r="U337" s="1002"/>
      <c r="V337" s="1002"/>
      <c r="W337" s="1002"/>
      <c r="X337" s="1002"/>
      <c r="Y337" s="1002"/>
      <c r="Z337" s="1002"/>
      <c r="AA337" s="1002"/>
      <c r="AB337" s="1002"/>
      <c r="AC337" s="1002"/>
      <c r="AD337" s="1002"/>
      <c r="AE337" s="1002"/>
      <c r="AF337" s="1002"/>
      <c r="AG337" s="1002"/>
      <c r="AH337" s="1002"/>
      <c r="AI337" s="1002"/>
      <c r="AJ337" s="1002"/>
      <c r="AK337" s="1002"/>
      <c r="AL337" s="1002"/>
      <c r="AM337" s="1002"/>
      <c r="AN337" s="1002"/>
      <c r="AO337" s="1002"/>
      <c r="AP337" s="1002"/>
      <c r="AQ337" s="1002"/>
      <c r="AR337" s="1002"/>
      <c r="AS337" s="1002"/>
      <c r="AT337" s="1002"/>
      <c r="AU337" s="1002"/>
      <c r="AV337" s="1002"/>
      <c r="AW337" s="1002"/>
      <c r="AX337" s="1002"/>
      <c r="AY337" s="1002"/>
      <c r="AZ337" s="1002"/>
      <c r="BA337" s="1002"/>
      <c r="BB337" s="1002"/>
      <c r="BC337" s="1002"/>
      <c r="BD337" s="1002"/>
      <c r="BE337" s="1003"/>
      <c r="BF337" s="695"/>
    </row>
    <row r="338" spans="1:58" ht="13.15" x14ac:dyDescent="0.45">
      <c r="A338" s="695"/>
      <c r="B338" s="849" t="s">
        <v>152</v>
      </c>
      <c r="C338" s="837"/>
      <c r="D338" s="837"/>
      <c r="E338" s="837"/>
      <c r="F338" s="837"/>
      <c r="G338" s="1002"/>
      <c r="H338" s="1002"/>
      <c r="I338" s="1002"/>
      <c r="J338" s="1002"/>
      <c r="K338" s="1002"/>
      <c r="L338" s="1002"/>
      <c r="M338" s="1002"/>
      <c r="N338" s="1002"/>
      <c r="O338" s="1002"/>
      <c r="P338" s="1002"/>
      <c r="Q338" s="1002"/>
      <c r="R338" s="1002"/>
      <c r="S338" s="1002"/>
      <c r="T338" s="1002"/>
      <c r="U338" s="1002"/>
      <c r="V338" s="1002"/>
      <c r="W338" s="1002"/>
      <c r="X338" s="1002"/>
      <c r="Y338" s="1002"/>
      <c r="Z338" s="1002"/>
      <c r="AA338" s="1002"/>
      <c r="AB338" s="1002"/>
      <c r="AC338" s="1002"/>
      <c r="AD338" s="1002"/>
      <c r="AE338" s="1002"/>
      <c r="AF338" s="1002"/>
      <c r="AG338" s="1002"/>
      <c r="AH338" s="1002"/>
      <c r="AI338" s="1002"/>
      <c r="AJ338" s="1002"/>
      <c r="AK338" s="1002"/>
      <c r="AL338" s="1002"/>
      <c r="AM338" s="1002"/>
      <c r="AN338" s="1002"/>
      <c r="AO338" s="1002"/>
      <c r="AP338" s="1002"/>
      <c r="AQ338" s="1002"/>
      <c r="AR338" s="1002"/>
      <c r="AS338" s="1002"/>
      <c r="AT338" s="1002"/>
      <c r="AU338" s="1002"/>
      <c r="AV338" s="1002"/>
      <c r="AW338" s="1002"/>
      <c r="AX338" s="1002"/>
      <c r="AY338" s="1002"/>
      <c r="AZ338" s="1002"/>
      <c r="BA338" s="1002"/>
      <c r="BB338" s="1002"/>
      <c r="BC338" s="1002"/>
      <c r="BD338" s="1002"/>
      <c r="BE338" s="1003"/>
      <c r="BF338" s="695"/>
    </row>
    <row r="339" spans="1:58" x14ac:dyDescent="0.45">
      <c r="A339" s="695"/>
      <c r="B339" s="836"/>
      <c r="C339" s="1004" t="s">
        <v>61</v>
      </c>
      <c r="D339" s="837"/>
      <c r="E339" s="837"/>
      <c r="F339" s="837"/>
      <c r="G339" s="1588">
        <f>IF('II. Inputs, Baseline Energy Mix'!$N$19&gt;0,('II. Inputs, Baseline Energy Mix'!$N$20*'II. Inputs, Baseline Energy Mix'!$N$21*'II. Inputs, Baseline Energy Mix'!$N$36*'II. Inputs, Baseline Energy Mix'!$N$40),0)</f>
        <v>482772.75</v>
      </c>
      <c r="H339" s="1002"/>
      <c r="I339" s="1002"/>
      <c r="J339" s="1002"/>
      <c r="K339" s="1002"/>
      <c r="L339" s="1002"/>
      <c r="M339" s="1002"/>
      <c r="N339" s="1002"/>
      <c r="O339" s="1002"/>
      <c r="P339" s="1002"/>
      <c r="Q339" s="1002"/>
      <c r="R339" s="1002"/>
      <c r="S339" s="1002"/>
      <c r="T339" s="1002"/>
      <c r="U339" s="1002"/>
      <c r="V339" s="1002"/>
      <c r="W339" s="1002"/>
      <c r="X339" s="1002"/>
      <c r="Y339" s="1002"/>
      <c r="Z339" s="1002"/>
      <c r="AA339" s="1002"/>
      <c r="AB339" s="1002"/>
      <c r="AC339" s="1002"/>
      <c r="AD339" s="1002"/>
      <c r="AE339" s="1002"/>
      <c r="AF339" s="1002"/>
      <c r="AG339" s="1002"/>
      <c r="AH339" s="1002"/>
      <c r="AI339" s="1002"/>
      <c r="AJ339" s="1002"/>
      <c r="AK339" s="1002"/>
      <c r="AL339" s="1002"/>
      <c r="AM339" s="1002"/>
      <c r="AN339" s="1002"/>
      <c r="AO339" s="1002"/>
      <c r="AP339" s="1002"/>
      <c r="AQ339" s="1002"/>
      <c r="AR339" s="1002"/>
      <c r="AS339" s="1002"/>
      <c r="AT339" s="1002"/>
      <c r="AU339" s="1002"/>
      <c r="AV339" s="1002"/>
      <c r="AW339" s="1002"/>
      <c r="AX339" s="1002"/>
      <c r="AY339" s="1002"/>
      <c r="AZ339" s="1002"/>
      <c r="BA339" s="1002"/>
      <c r="BB339" s="1002"/>
      <c r="BC339" s="1002"/>
      <c r="BD339" s="1002"/>
      <c r="BE339" s="1003"/>
      <c r="BF339" s="695"/>
    </row>
    <row r="340" spans="1:58" x14ac:dyDescent="0.45">
      <c r="A340" s="695"/>
      <c r="B340" s="836"/>
      <c r="C340" s="1004" t="s">
        <v>62</v>
      </c>
      <c r="D340" s="837"/>
      <c r="E340" s="837"/>
      <c r="F340" s="837"/>
      <c r="G340" s="1005">
        <f>SUM('II. Inputs, Baseline Energy Mix'!$N$52)</f>
        <v>12.5</v>
      </c>
      <c r="H340" s="1002"/>
      <c r="I340" s="1002"/>
      <c r="J340" s="1002"/>
      <c r="K340" s="1002"/>
      <c r="L340" s="1002"/>
      <c r="M340" s="1002"/>
      <c r="N340" s="1002"/>
      <c r="O340" s="1002"/>
      <c r="P340" s="1002"/>
      <c r="Q340" s="1002"/>
      <c r="R340" s="1002"/>
      <c r="S340" s="1002"/>
      <c r="T340" s="1002"/>
      <c r="U340" s="1002"/>
      <c r="V340" s="1002"/>
      <c r="W340" s="1002"/>
      <c r="X340" s="1002"/>
      <c r="Y340" s="1002"/>
      <c r="Z340" s="1002"/>
      <c r="AA340" s="1002"/>
      <c r="AB340" s="1002"/>
      <c r="AC340" s="1002"/>
      <c r="AD340" s="1002"/>
      <c r="AE340" s="1002"/>
      <c r="AF340" s="1002"/>
      <c r="AG340" s="1002"/>
      <c r="AH340" s="1002"/>
      <c r="AI340" s="1002"/>
      <c r="AJ340" s="1002"/>
      <c r="AK340" s="1002"/>
      <c r="AL340" s="1002"/>
      <c r="AM340" s="1002"/>
      <c r="AN340" s="1002"/>
      <c r="AO340" s="1002"/>
      <c r="AP340" s="1002"/>
      <c r="AQ340" s="1002"/>
      <c r="AR340" s="1002"/>
      <c r="AS340" s="1002"/>
      <c r="AT340" s="1002"/>
      <c r="AU340" s="1002"/>
      <c r="AV340" s="1002"/>
      <c r="AW340" s="1002"/>
      <c r="AX340" s="1002"/>
      <c r="AY340" s="1002"/>
      <c r="AZ340" s="1002"/>
      <c r="BA340" s="1002"/>
      <c r="BB340" s="1002"/>
      <c r="BC340" s="1002"/>
      <c r="BD340" s="1002"/>
      <c r="BE340" s="1003"/>
      <c r="BF340" s="695"/>
    </row>
    <row r="341" spans="1:58" x14ac:dyDescent="0.45">
      <c r="A341" s="695"/>
      <c r="B341" s="836"/>
      <c r="C341" s="1004" t="s">
        <v>63</v>
      </c>
      <c r="D341" s="837"/>
      <c r="E341" s="837"/>
      <c r="F341" s="837"/>
      <c r="G341" s="1006">
        <f>SUM('II. Inputs, Baseline Energy Mix'!$N$47)</f>
        <v>6.8000000000000005E-2</v>
      </c>
      <c r="H341" s="1002"/>
      <c r="I341" s="1002"/>
      <c r="J341" s="1002"/>
      <c r="K341" s="1002"/>
      <c r="L341" s="1002"/>
      <c r="M341" s="1002"/>
      <c r="N341" s="1002"/>
      <c r="O341" s="1002"/>
      <c r="P341" s="1002"/>
      <c r="Q341" s="1002"/>
      <c r="R341" s="1002"/>
      <c r="S341" s="1002"/>
      <c r="T341" s="1002"/>
      <c r="U341" s="1002"/>
      <c r="V341" s="1002"/>
      <c r="W341" s="1002"/>
      <c r="X341" s="1002"/>
      <c r="Y341" s="1002"/>
      <c r="Z341" s="1002"/>
      <c r="AA341" s="1002"/>
      <c r="AB341" s="1002"/>
      <c r="AC341" s="1002"/>
      <c r="AD341" s="1002"/>
      <c r="AE341" s="1002"/>
      <c r="AF341" s="1002"/>
      <c r="AG341" s="1002"/>
      <c r="AH341" s="1002"/>
      <c r="AI341" s="1002"/>
      <c r="AJ341" s="1002"/>
      <c r="AK341" s="1002"/>
      <c r="AL341" s="1002"/>
      <c r="AM341" s="1002"/>
      <c r="AN341" s="1002"/>
      <c r="AO341" s="1002"/>
      <c r="AP341" s="1002"/>
      <c r="AQ341" s="1002"/>
      <c r="AR341" s="1002"/>
      <c r="AS341" s="1002"/>
      <c r="AT341" s="1002"/>
      <c r="AU341" s="1002"/>
      <c r="AV341" s="1002"/>
      <c r="AW341" s="1002"/>
      <c r="AX341" s="1002"/>
      <c r="AY341" s="1002"/>
      <c r="AZ341" s="1002"/>
      <c r="BA341" s="1002"/>
      <c r="BB341" s="1002"/>
      <c r="BC341" s="1002"/>
      <c r="BD341" s="1002"/>
      <c r="BE341" s="1003"/>
      <c r="BF341" s="695"/>
    </row>
    <row r="342" spans="1:58" x14ac:dyDescent="0.45">
      <c r="A342" s="695"/>
      <c r="B342" s="836"/>
      <c r="C342" s="837"/>
      <c r="D342" s="837"/>
      <c r="E342" s="837"/>
      <c r="F342" s="837"/>
      <c r="G342" s="1002"/>
      <c r="H342" s="1002"/>
      <c r="I342" s="1002"/>
      <c r="J342" s="1002"/>
      <c r="K342" s="1002"/>
      <c r="L342" s="1002"/>
      <c r="M342" s="1002"/>
      <c r="N342" s="1002"/>
      <c r="O342" s="1002"/>
      <c r="P342" s="1002"/>
      <c r="Q342" s="1002"/>
      <c r="R342" s="1002"/>
      <c r="S342" s="1002"/>
      <c r="T342" s="1002"/>
      <c r="U342" s="1002"/>
      <c r="V342" s="1002"/>
      <c r="W342" s="1002"/>
      <c r="X342" s="1002"/>
      <c r="Y342" s="1002"/>
      <c r="Z342" s="1002"/>
      <c r="AA342" s="1002"/>
      <c r="AB342" s="1002"/>
      <c r="AC342" s="1002"/>
      <c r="AD342" s="1002"/>
      <c r="AE342" s="1002"/>
      <c r="AF342" s="1002"/>
      <c r="AG342" s="1002"/>
      <c r="AH342" s="1002"/>
      <c r="AI342" s="1002"/>
      <c r="AJ342" s="1002"/>
      <c r="AK342" s="1002"/>
      <c r="AL342" s="1002"/>
      <c r="AM342" s="1002"/>
      <c r="AN342" s="1002"/>
      <c r="AO342" s="1002"/>
      <c r="AP342" s="1002"/>
      <c r="AQ342" s="1002"/>
      <c r="AR342" s="1002"/>
      <c r="AS342" s="1002"/>
      <c r="AT342" s="1002"/>
      <c r="AU342" s="1002"/>
      <c r="AV342" s="1002"/>
      <c r="AW342" s="1002"/>
      <c r="AX342" s="1002"/>
      <c r="AY342" s="1002"/>
      <c r="AZ342" s="1002"/>
      <c r="BA342" s="1002"/>
      <c r="BB342" s="1002"/>
      <c r="BC342" s="1002"/>
      <c r="BD342" s="1002"/>
      <c r="BE342" s="1003"/>
      <c r="BF342" s="695"/>
    </row>
    <row r="343" spans="1:58" x14ac:dyDescent="0.45">
      <c r="A343" s="695"/>
      <c r="B343" s="836"/>
      <c r="C343" s="1007" t="s">
        <v>60</v>
      </c>
      <c r="D343" s="837"/>
      <c r="E343" s="837"/>
      <c r="F343" s="837"/>
      <c r="G343" s="1588"/>
      <c r="H343" s="1588"/>
      <c r="I343" s="1588"/>
      <c r="J343" s="1588"/>
      <c r="K343" s="1588"/>
      <c r="L343" s="1588"/>
      <c r="M343" s="1588"/>
      <c r="N343" s="1588"/>
      <c r="O343" s="1588"/>
      <c r="P343" s="1588"/>
      <c r="Q343" s="1588"/>
      <c r="R343" s="1588"/>
      <c r="S343" s="1588"/>
      <c r="T343" s="1588"/>
      <c r="U343" s="1588"/>
      <c r="V343" s="1588"/>
      <c r="W343" s="1588"/>
      <c r="X343" s="1588"/>
      <c r="Y343" s="1588"/>
      <c r="Z343" s="1588"/>
      <c r="AA343" s="1588"/>
      <c r="AB343" s="1588"/>
      <c r="AC343" s="1588"/>
      <c r="AD343" s="1588"/>
      <c r="AE343" s="1588"/>
      <c r="AF343" s="1588"/>
      <c r="AG343" s="1588"/>
      <c r="AH343" s="1588"/>
      <c r="AI343" s="1588"/>
      <c r="AJ343" s="1588"/>
      <c r="AK343" s="1588"/>
      <c r="AL343" s="1588"/>
      <c r="AM343" s="1588"/>
      <c r="AN343" s="1588"/>
      <c r="AO343" s="1588"/>
      <c r="AP343" s="1588"/>
      <c r="AQ343" s="1588"/>
      <c r="AR343" s="1588"/>
      <c r="AS343" s="1588"/>
      <c r="AT343" s="1588"/>
      <c r="AU343" s="1588"/>
      <c r="AV343" s="1588"/>
      <c r="AW343" s="1588"/>
      <c r="AX343" s="1588"/>
      <c r="AY343" s="1588"/>
      <c r="AZ343" s="1588"/>
      <c r="BA343" s="1588"/>
      <c r="BB343" s="1588"/>
      <c r="BC343" s="1588"/>
      <c r="BD343" s="1588"/>
      <c r="BE343" s="1589"/>
      <c r="BF343" s="1548"/>
    </row>
    <row r="344" spans="1:58" x14ac:dyDescent="0.45">
      <c r="A344" s="695"/>
      <c r="B344" s="836"/>
      <c r="C344" s="837" t="s">
        <v>66</v>
      </c>
      <c r="D344" s="837"/>
      <c r="E344" s="837"/>
      <c r="F344" s="837"/>
      <c r="G344" s="1588"/>
      <c r="H344" s="1588">
        <f>IF(H$292&gt;$G$340,0,IPMT($G$341,H$292,$G$340,-$G$339))</f>
        <v>32828.547000000006</v>
      </c>
      <c r="I344" s="1588">
        <f t="shared" ref="I344:BE344" si="126">IF(I$292&gt;$G$340,0,IPMT($G$341,I$292,$G$340,-$G$339))</f>
        <v>31078.8362329107</v>
      </c>
      <c r="J344" s="1588">
        <f t="shared" si="126"/>
        <v>29210.145133659338</v>
      </c>
      <c r="K344" s="1588">
        <f t="shared" si="126"/>
        <v>27214.383039658878</v>
      </c>
      <c r="L344" s="1588">
        <f t="shared" si="126"/>
        <v>25082.909123266389</v>
      </c>
      <c r="M344" s="1588">
        <f t="shared" si="126"/>
        <v>22806.494980559204</v>
      </c>
      <c r="N344" s="1588">
        <f t="shared" si="126"/>
        <v>20375.284676147941</v>
      </c>
      <c r="O344" s="1588">
        <f t="shared" si="126"/>
        <v>17778.752071036706</v>
      </c>
      <c r="P344" s="1588">
        <f t="shared" si="126"/>
        <v>15005.655248777908</v>
      </c>
      <c r="Q344" s="1588">
        <f t="shared" si="126"/>
        <v>12043.987842605515</v>
      </c>
      <c r="R344" s="1588">
        <f t="shared" si="126"/>
        <v>8880.9270528133929</v>
      </c>
      <c r="S344" s="1588">
        <f t="shared" si="126"/>
        <v>5502.7781293154121</v>
      </c>
      <c r="T344" s="1588">
        <f t="shared" si="126"/>
        <v>0</v>
      </c>
      <c r="U344" s="1588">
        <f t="shared" si="126"/>
        <v>0</v>
      </c>
      <c r="V344" s="1588">
        <f t="shared" si="126"/>
        <v>0</v>
      </c>
      <c r="W344" s="1588">
        <f t="shared" si="126"/>
        <v>0</v>
      </c>
      <c r="X344" s="1588">
        <f t="shared" si="126"/>
        <v>0</v>
      </c>
      <c r="Y344" s="1588">
        <f t="shared" si="126"/>
        <v>0</v>
      </c>
      <c r="Z344" s="1588">
        <f t="shared" si="126"/>
        <v>0</v>
      </c>
      <c r="AA344" s="1588">
        <f t="shared" si="126"/>
        <v>0</v>
      </c>
      <c r="AB344" s="1588">
        <f t="shared" si="126"/>
        <v>0</v>
      </c>
      <c r="AC344" s="1588">
        <f t="shared" si="126"/>
        <v>0</v>
      </c>
      <c r="AD344" s="1588">
        <f t="shared" si="126"/>
        <v>0</v>
      </c>
      <c r="AE344" s="1588">
        <f t="shared" si="126"/>
        <v>0</v>
      </c>
      <c r="AF344" s="1588">
        <f t="shared" si="126"/>
        <v>0</v>
      </c>
      <c r="AG344" s="1588">
        <f t="shared" si="126"/>
        <v>0</v>
      </c>
      <c r="AH344" s="1588">
        <f t="shared" si="126"/>
        <v>0</v>
      </c>
      <c r="AI344" s="1588">
        <f t="shared" si="126"/>
        <v>0</v>
      </c>
      <c r="AJ344" s="1588">
        <f t="shared" si="126"/>
        <v>0</v>
      </c>
      <c r="AK344" s="1588">
        <f t="shared" si="126"/>
        <v>0</v>
      </c>
      <c r="AL344" s="1588">
        <f t="shared" si="126"/>
        <v>0</v>
      </c>
      <c r="AM344" s="1588">
        <f t="shared" si="126"/>
        <v>0</v>
      </c>
      <c r="AN344" s="1588">
        <f t="shared" si="126"/>
        <v>0</v>
      </c>
      <c r="AO344" s="1588">
        <f t="shared" si="126"/>
        <v>0</v>
      </c>
      <c r="AP344" s="1588">
        <f t="shared" si="126"/>
        <v>0</v>
      </c>
      <c r="AQ344" s="1588">
        <f t="shared" si="126"/>
        <v>0</v>
      </c>
      <c r="AR344" s="1588">
        <f t="shared" si="126"/>
        <v>0</v>
      </c>
      <c r="AS344" s="1588">
        <f t="shared" si="126"/>
        <v>0</v>
      </c>
      <c r="AT344" s="1588">
        <f t="shared" si="126"/>
        <v>0</v>
      </c>
      <c r="AU344" s="1588">
        <f t="shared" si="126"/>
        <v>0</v>
      </c>
      <c r="AV344" s="1588">
        <f t="shared" si="126"/>
        <v>0</v>
      </c>
      <c r="AW344" s="1588">
        <f t="shared" si="126"/>
        <v>0</v>
      </c>
      <c r="AX344" s="1588">
        <f t="shared" si="126"/>
        <v>0</v>
      </c>
      <c r="AY344" s="1588">
        <f t="shared" si="126"/>
        <v>0</v>
      </c>
      <c r="AZ344" s="1588">
        <f t="shared" si="126"/>
        <v>0</v>
      </c>
      <c r="BA344" s="1588">
        <f t="shared" si="126"/>
        <v>0</v>
      </c>
      <c r="BB344" s="1588">
        <f t="shared" si="126"/>
        <v>0</v>
      </c>
      <c r="BC344" s="1588">
        <f t="shared" si="126"/>
        <v>0</v>
      </c>
      <c r="BD344" s="1588">
        <f t="shared" si="126"/>
        <v>0</v>
      </c>
      <c r="BE344" s="1589">
        <f t="shared" si="126"/>
        <v>0</v>
      </c>
      <c r="BF344" s="1548"/>
    </row>
    <row r="345" spans="1:58" x14ac:dyDescent="0.45">
      <c r="A345" s="695"/>
      <c r="B345" s="836"/>
      <c r="C345" s="844" t="s">
        <v>65</v>
      </c>
      <c r="D345" s="844"/>
      <c r="E345" s="844"/>
      <c r="F345" s="844"/>
      <c r="G345" s="1590"/>
      <c r="H345" s="1590">
        <f>IF(H$292&gt;$G$340,0,PPMT($G$341,H$292,$G$340,-$G$339))</f>
        <v>25731.040692489616</v>
      </c>
      <c r="I345" s="1590">
        <f t="shared" ref="I345:BE345" si="127">IF(I$292&gt;$G$340,0,PPMT($G$341,I$292,$G$340,-$G$339))</f>
        <v>27480.751459578914</v>
      </c>
      <c r="J345" s="1590">
        <f t="shared" si="127"/>
        <v>29349.442558830277</v>
      </c>
      <c r="K345" s="1590">
        <f t="shared" si="127"/>
        <v>31345.204652830736</v>
      </c>
      <c r="L345" s="1590">
        <f t="shared" si="127"/>
        <v>33476.67856922323</v>
      </c>
      <c r="M345" s="1590">
        <f t="shared" si="127"/>
        <v>35753.092711930403</v>
      </c>
      <c r="N345" s="1590">
        <f t="shared" si="127"/>
        <v>38184.30301634167</v>
      </c>
      <c r="O345" s="1590">
        <f t="shared" si="127"/>
        <v>40780.835621452905</v>
      </c>
      <c r="P345" s="1590">
        <f t="shared" si="127"/>
        <v>43553.93244371171</v>
      </c>
      <c r="Q345" s="1590">
        <f t="shared" si="127"/>
        <v>46515.5998498841</v>
      </c>
      <c r="R345" s="1590">
        <f t="shared" si="127"/>
        <v>49678.660639676229</v>
      </c>
      <c r="S345" s="1590">
        <f t="shared" si="127"/>
        <v>53056.809563174204</v>
      </c>
      <c r="T345" s="1590">
        <f t="shared" si="127"/>
        <v>0</v>
      </c>
      <c r="U345" s="1590">
        <f t="shared" si="127"/>
        <v>0</v>
      </c>
      <c r="V345" s="1590">
        <f t="shared" si="127"/>
        <v>0</v>
      </c>
      <c r="W345" s="1590">
        <f t="shared" si="127"/>
        <v>0</v>
      </c>
      <c r="X345" s="1590">
        <f t="shared" si="127"/>
        <v>0</v>
      </c>
      <c r="Y345" s="1590">
        <f t="shared" si="127"/>
        <v>0</v>
      </c>
      <c r="Z345" s="1590">
        <f t="shared" si="127"/>
        <v>0</v>
      </c>
      <c r="AA345" s="1590">
        <f t="shared" si="127"/>
        <v>0</v>
      </c>
      <c r="AB345" s="1590">
        <f t="shared" si="127"/>
        <v>0</v>
      </c>
      <c r="AC345" s="1590">
        <f t="shared" si="127"/>
        <v>0</v>
      </c>
      <c r="AD345" s="1590">
        <f t="shared" si="127"/>
        <v>0</v>
      </c>
      <c r="AE345" s="1590">
        <f t="shared" si="127"/>
        <v>0</v>
      </c>
      <c r="AF345" s="1590">
        <f t="shared" si="127"/>
        <v>0</v>
      </c>
      <c r="AG345" s="1590">
        <f t="shared" si="127"/>
        <v>0</v>
      </c>
      <c r="AH345" s="1590">
        <f t="shared" si="127"/>
        <v>0</v>
      </c>
      <c r="AI345" s="1590">
        <f t="shared" si="127"/>
        <v>0</v>
      </c>
      <c r="AJ345" s="1590">
        <f t="shared" si="127"/>
        <v>0</v>
      </c>
      <c r="AK345" s="1590">
        <f t="shared" si="127"/>
        <v>0</v>
      </c>
      <c r="AL345" s="1590">
        <f t="shared" si="127"/>
        <v>0</v>
      </c>
      <c r="AM345" s="1590">
        <f t="shared" si="127"/>
        <v>0</v>
      </c>
      <c r="AN345" s="1590">
        <f t="shared" si="127"/>
        <v>0</v>
      </c>
      <c r="AO345" s="1590">
        <f t="shared" si="127"/>
        <v>0</v>
      </c>
      <c r="AP345" s="1590">
        <f t="shared" si="127"/>
        <v>0</v>
      </c>
      <c r="AQ345" s="1590">
        <f t="shared" si="127"/>
        <v>0</v>
      </c>
      <c r="AR345" s="1590">
        <f t="shared" si="127"/>
        <v>0</v>
      </c>
      <c r="AS345" s="1590">
        <f t="shared" si="127"/>
        <v>0</v>
      </c>
      <c r="AT345" s="1590">
        <f t="shared" si="127"/>
        <v>0</v>
      </c>
      <c r="AU345" s="1590">
        <f t="shared" si="127"/>
        <v>0</v>
      </c>
      <c r="AV345" s="1590">
        <f t="shared" si="127"/>
        <v>0</v>
      </c>
      <c r="AW345" s="1590">
        <f t="shared" si="127"/>
        <v>0</v>
      </c>
      <c r="AX345" s="1590">
        <f t="shared" si="127"/>
        <v>0</v>
      </c>
      <c r="AY345" s="1590">
        <f t="shared" si="127"/>
        <v>0</v>
      </c>
      <c r="AZ345" s="1590">
        <f t="shared" si="127"/>
        <v>0</v>
      </c>
      <c r="BA345" s="1590">
        <f t="shared" si="127"/>
        <v>0</v>
      </c>
      <c r="BB345" s="1590">
        <f t="shared" si="127"/>
        <v>0</v>
      </c>
      <c r="BC345" s="1590">
        <f t="shared" si="127"/>
        <v>0</v>
      </c>
      <c r="BD345" s="1590">
        <f t="shared" si="127"/>
        <v>0</v>
      </c>
      <c r="BE345" s="1591">
        <f t="shared" si="127"/>
        <v>0</v>
      </c>
      <c r="BF345" s="1548"/>
    </row>
    <row r="346" spans="1:58" x14ac:dyDescent="0.45">
      <c r="A346" s="695"/>
      <c r="B346" s="836"/>
      <c r="C346" s="837" t="s">
        <v>67</v>
      </c>
      <c r="D346" s="837"/>
      <c r="E346" s="837"/>
      <c r="F346" s="837"/>
      <c r="G346" s="1588"/>
      <c r="H346" s="1588">
        <f>SUM(H344:H345)</f>
        <v>58559.587692489622</v>
      </c>
      <c r="I346" s="1588">
        <f t="shared" ref="I346:W346" si="128">SUM(I344:I345)</f>
        <v>58559.587692489615</v>
      </c>
      <c r="J346" s="1588">
        <f t="shared" si="128"/>
        <v>58559.587692489615</v>
      </c>
      <c r="K346" s="1588">
        <f t="shared" si="128"/>
        <v>58559.587692489615</v>
      </c>
      <c r="L346" s="1588">
        <f t="shared" si="128"/>
        <v>58559.587692489615</v>
      </c>
      <c r="M346" s="1588">
        <f t="shared" si="128"/>
        <v>58559.587692489607</v>
      </c>
      <c r="N346" s="1588">
        <f t="shared" si="128"/>
        <v>58559.587692489615</v>
      </c>
      <c r="O346" s="1588">
        <f t="shared" si="128"/>
        <v>58559.587692489615</v>
      </c>
      <c r="P346" s="1588">
        <f t="shared" si="128"/>
        <v>58559.587692489615</v>
      </c>
      <c r="Q346" s="1588">
        <f t="shared" si="128"/>
        <v>58559.587692489615</v>
      </c>
      <c r="R346" s="1588">
        <f t="shared" si="128"/>
        <v>58559.587692489622</v>
      </c>
      <c r="S346" s="1588">
        <f t="shared" si="128"/>
        <v>58559.587692489615</v>
      </c>
      <c r="T346" s="1588">
        <f t="shared" si="128"/>
        <v>0</v>
      </c>
      <c r="U346" s="1588">
        <f t="shared" si="128"/>
        <v>0</v>
      </c>
      <c r="V346" s="1588">
        <f t="shared" si="128"/>
        <v>0</v>
      </c>
      <c r="W346" s="1588">
        <f t="shared" si="128"/>
        <v>0</v>
      </c>
      <c r="X346" s="1588">
        <f t="shared" ref="X346:BE346" si="129">SUM(X344:X345)</f>
        <v>0</v>
      </c>
      <c r="Y346" s="1588">
        <f t="shared" si="129"/>
        <v>0</v>
      </c>
      <c r="Z346" s="1588">
        <f t="shared" si="129"/>
        <v>0</v>
      </c>
      <c r="AA346" s="1588">
        <f t="shared" si="129"/>
        <v>0</v>
      </c>
      <c r="AB346" s="1588">
        <f t="shared" si="129"/>
        <v>0</v>
      </c>
      <c r="AC346" s="1588">
        <f t="shared" si="129"/>
        <v>0</v>
      </c>
      <c r="AD346" s="1588">
        <f t="shared" si="129"/>
        <v>0</v>
      </c>
      <c r="AE346" s="1588">
        <f t="shared" si="129"/>
        <v>0</v>
      </c>
      <c r="AF346" s="1588">
        <f t="shared" si="129"/>
        <v>0</v>
      </c>
      <c r="AG346" s="1588">
        <f t="shared" si="129"/>
        <v>0</v>
      </c>
      <c r="AH346" s="1588">
        <f t="shared" si="129"/>
        <v>0</v>
      </c>
      <c r="AI346" s="1588">
        <f t="shared" si="129"/>
        <v>0</v>
      </c>
      <c r="AJ346" s="1588">
        <f t="shared" si="129"/>
        <v>0</v>
      </c>
      <c r="AK346" s="1588">
        <f t="shared" si="129"/>
        <v>0</v>
      </c>
      <c r="AL346" s="1588">
        <f t="shared" si="129"/>
        <v>0</v>
      </c>
      <c r="AM346" s="1588">
        <f t="shared" si="129"/>
        <v>0</v>
      </c>
      <c r="AN346" s="1588">
        <f t="shared" si="129"/>
        <v>0</v>
      </c>
      <c r="AO346" s="1588">
        <f t="shared" si="129"/>
        <v>0</v>
      </c>
      <c r="AP346" s="1588">
        <f t="shared" si="129"/>
        <v>0</v>
      </c>
      <c r="AQ346" s="1588">
        <f t="shared" si="129"/>
        <v>0</v>
      </c>
      <c r="AR346" s="1588">
        <f t="shared" si="129"/>
        <v>0</v>
      </c>
      <c r="AS346" s="1588">
        <f t="shared" si="129"/>
        <v>0</v>
      </c>
      <c r="AT346" s="1588">
        <f t="shared" si="129"/>
        <v>0</v>
      </c>
      <c r="AU346" s="1588">
        <f t="shared" si="129"/>
        <v>0</v>
      </c>
      <c r="AV346" s="1588">
        <f t="shared" si="129"/>
        <v>0</v>
      </c>
      <c r="AW346" s="1588">
        <f t="shared" si="129"/>
        <v>0</v>
      </c>
      <c r="AX346" s="1588">
        <f t="shared" si="129"/>
        <v>0</v>
      </c>
      <c r="AY346" s="1588">
        <f t="shared" si="129"/>
        <v>0</v>
      </c>
      <c r="AZ346" s="1588">
        <f t="shared" si="129"/>
        <v>0</v>
      </c>
      <c r="BA346" s="1588">
        <f t="shared" si="129"/>
        <v>0</v>
      </c>
      <c r="BB346" s="1588">
        <f t="shared" si="129"/>
        <v>0</v>
      </c>
      <c r="BC346" s="1588">
        <f t="shared" si="129"/>
        <v>0</v>
      </c>
      <c r="BD346" s="1588">
        <f t="shared" si="129"/>
        <v>0</v>
      </c>
      <c r="BE346" s="1589">
        <f t="shared" si="129"/>
        <v>0</v>
      </c>
      <c r="BF346" s="1548"/>
    </row>
    <row r="347" spans="1:58" x14ac:dyDescent="0.45">
      <c r="A347" s="695"/>
      <c r="B347" s="836"/>
      <c r="C347" s="837"/>
      <c r="D347" s="837"/>
      <c r="E347" s="837"/>
      <c r="F347" s="837"/>
      <c r="G347" s="1588"/>
      <c r="H347" s="1588"/>
      <c r="I347" s="1588"/>
      <c r="J347" s="1588"/>
      <c r="K347" s="1588"/>
      <c r="L347" s="1588"/>
      <c r="M347" s="1588"/>
      <c r="N347" s="1588"/>
      <c r="O347" s="1588"/>
      <c r="P347" s="1588"/>
      <c r="Q347" s="1588"/>
      <c r="R347" s="1588"/>
      <c r="S347" s="1588"/>
      <c r="T347" s="1588"/>
      <c r="U347" s="1588"/>
      <c r="V347" s="1588"/>
      <c r="W347" s="1588"/>
      <c r="X347" s="1588"/>
      <c r="Y347" s="1588"/>
      <c r="Z347" s="1588"/>
      <c r="AA347" s="1588"/>
      <c r="AB347" s="1588"/>
      <c r="AC347" s="1588"/>
      <c r="AD347" s="1588"/>
      <c r="AE347" s="1588"/>
      <c r="AF347" s="1588"/>
      <c r="AG347" s="1588"/>
      <c r="AH347" s="1588"/>
      <c r="AI347" s="1588"/>
      <c r="AJ347" s="1588"/>
      <c r="AK347" s="1588"/>
      <c r="AL347" s="1588"/>
      <c r="AM347" s="1588"/>
      <c r="AN347" s="1588"/>
      <c r="AO347" s="1588"/>
      <c r="AP347" s="1588"/>
      <c r="AQ347" s="1588"/>
      <c r="AR347" s="1588"/>
      <c r="AS347" s="1588"/>
      <c r="AT347" s="1588"/>
      <c r="AU347" s="1588"/>
      <c r="AV347" s="1588"/>
      <c r="AW347" s="1588"/>
      <c r="AX347" s="1588"/>
      <c r="AY347" s="1588"/>
      <c r="AZ347" s="1588"/>
      <c r="BA347" s="1588"/>
      <c r="BB347" s="1588"/>
      <c r="BC347" s="1588"/>
      <c r="BD347" s="1588"/>
      <c r="BE347" s="1589"/>
      <c r="BF347" s="1548"/>
    </row>
    <row r="348" spans="1:58" x14ac:dyDescent="0.45">
      <c r="A348" s="695"/>
      <c r="B348" s="836"/>
      <c r="C348" s="1008" t="s">
        <v>58</v>
      </c>
      <c r="D348" s="837"/>
      <c r="E348" s="837"/>
      <c r="F348" s="837"/>
      <c r="G348" s="1588"/>
      <c r="H348" s="1588"/>
      <c r="I348" s="1588"/>
      <c r="J348" s="1588"/>
      <c r="K348" s="1588"/>
      <c r="L348" s="1588"/>
      <c r="M348" s="1588"/>
      <c r="N348" s="1588"/>
      <c r="O348" s="1588"/>
      <c r="P348" s="1588"/>
      <c r="Q348" s="1588"/>
      <c r="R348" s="1588"/>
      <c r="S348" s="1588"/>
      <c r="T348" s="1588"/>
      <c r="U348" s="1588"/>
      <c r="V348" s="1588"/>
      <c r="W348" s="1588"/>
      <c r="X348" s="1588"/>
      <c r="Y348" s="1588"/>
      <c r="Z348" s="1588"/>
      <c r="AA348" s="1588"/>
      <c r="AB348" s="1588"/>
      <c r="AC348" s="1588"/>
      <c r="AD348" s="1588"/>
      <c r="AE348" s="1588"/>
      <c r="AF348" s="1588"/>
      <c r="AG348" s="1588"/>
      <c r="AH348" s="1588"/>
      <c r="AI348" s="1588"/>
      <c r="AJ348" s="1588"/>
      <c r="AK348" s="1588"/>
      <c r="AL348" s="1588"/>
      <c r="AM348" s="1588"/>
      <c r="AN348" s="1588"/>
      <c r="AO348" s="1588"/>
      <c r="AP348" s="1588"/>
      <c r="AQ348" s="1588"/>
      <c r="AR348" s="1588"/>
      <c r="AS348" s="1588"/>
      <c r="AT348" s="1588"/>
      <c r="AU348" s="1588"/>
      <c r="AV348" s="1588"/>
      <c r="AW348" s="1588"/>
      <c r="AX348" s="1588"/>
      <c r="AY348" s="1588"/>
      <c r="AZ348" s="1588"/>
      <c r="BA348" s="1588"/>
      <c r="BB348" s="1588"/>
      <c r="BC348" s="1588"/>
      <c r="BD348" s="1588"/>
      <c r="BE348" s="1589"/>
      <c r="BF348" s="1548"/>
    </row>
    <row r="349" spans="1:58" x14ac:dyDescent="0.45">
      <c r="A349" s="695"/>
      <c r="B349" s="836"/>
      <c r="C349" s="837" t="s">
        <v>68</v>
      </c>
      <c r="D349" s="837"/>
      <c r="E349" s="837"/>
      <c r="F349" s="837"/>
      <c r="G349" s="1588">
        <v>0</v>
      </c>
      <c r="H349" s="1588">
        <f>G352</f>
        <v>482772.75</v>
      </c>
      <c r="I349" s="1588">
        <f t="shared" ref="I349:W349" si="130">H352</f>
        <v>457041.70930751041</v>
      </c>
      <c r="J349" s="1588">
        <f t="shared" si="130"/>
        <v>429560.95784793148</v>
      </c>
      <c r="K349" s="1588">
        <f t="shared" si="130"/>
        <v>400211.51528910123</v>
      </c>
      <c r="L349" s="1588">
        <f t="shared" si="130"/>
        <v>368866.3106362705</v>
      </c>
      <c r="M349" s="1588">
        <f t="shared" si="130"/>
        <v>335389.63206704729</v>
      </c>
      <c r="N349" s="1588">
        <f t="shared" si="130"/>
        <v>299636.5393551169</v>
      </c>
      <c r="O349" s="1588">
        <f t="shared" si="130"/>
        <v>261452.23633877523</v>
      </c>
      <c r="P349" s="1588">
        <f t="shared" si="130"/>
        <v>220671.40071732231</v>
      </c>
      <c r="Q349" s="1588">
        <f t="shared" si="130"/>
        <v>177117.4682736106</v>
      </c>
      <c r="R349" s="1588">
        <f t="shared" si="130"/>
        <v>130601.8684237265</v>
      </c>
      <c r="S349" s="1588">
        <f t="shared" si="130"/>
        <v>80923.207784050261</v>
      </c>
      <c r="T349" s="1588">
        <f t="shared" si="130"/>
        <v>27866.398220876057</v>
      </c>
      <c r="U349" s="1588">
        <f t="shared" si="130"/>
        <v>27866.398220876057</v>
      </c>
      <c r="V349" s="1588">
        <f t="shared" si="130"/>
        <v>27866.398220876057</v>
      </c>
      <c r="W349" s="1588">
        <f t="shared" si="130"/>
        <v>27866.398220876057</v>
      </c>
      <c r="X349" s="1588">
        <f t="shared" ref="X349:BE349" si="131">W352</f>
        <v>27866.398220876057</v>
      </c>
      <c r="Y349" s="1588">
        <f t="shared" si="131"/>
        <v>27866.398220876057</v>
      </c>
      <c r="Z349" s="1588">
        <f t="shared" si="131"/>
        <v>27866.398220876057</v>
      </c>
      <c r="AA349" s="1588">
        <f t="shared" si="131"/>
        <v>27866.398220876057</v>
      </c>
      <c r="AB349" s="1588">
        <f t="shared" si="131"/>
        <v>27866.398220876057</v>
      </c>
      <c r="AC349" s="1588">
        <f t="shared" si="131"/>
        <v>27866.398220876057</v>
      </c>
      <c r="AD349" s="1588">
        <f t="shared" si="131"/>
        <v>27866.398220876057</v>
      </c>
      <c r="AE349" s="1588">
        <f t="shared" si="131"/>
        <v>27866.398220876057</v>
      </c>
      <c r="AF349" s="1588">
        <f t="shared" si="131"/>
        <v>27866.398220876057</v>
      </c>
      <c r="AG349" s="1588">
        <f t="shared" si="131"/>
        <v>27866.398220876057</v>
      </c>
      <c r="AH349" s="1588">
        <f t="shared" si="131"/>
        <v>27866.398220876057</v>
      </c>
      <c r="AI349" s="1588">
        <f t="shared" si="131"/>
        <v>27866.398220876057</v>
      </c>
      <c r="AJ349" s="1588">
        <f t="shared" si="131"/>
        <v>27866.398220876057</v>
      </c>
      <c r="AK349" s="1588">
        <f t="shared" si="131"/>
        <v>27866.398220876057</v>
      </c>
      <c r="AL349" s="1588">
        <f t="shared" si="131"/>
        <v>27866.398220876057</v>
      </c>
      <c r="AM349" s="1588">
        <f t="shared" si="131"/>
        <v>27866.398220876057</v>
      </c>
      <c r="AN349" s="1588">
        <f t="shared" si="131"/>
        <v>27866.398220876057</v>
      </c>
      <c r="AO349" s="1588">
        <f t="shared" si="131"/>
        <v>27866.398220876057</v>
      </c>
      <c r="AP349" s="1588">
        <f t="shared" si="131"/>
        <v>27866.398220876057</v>
      </c>
      <c r="AQ349" s="1588">
        <f t="shared" si="131"/>
        <v>27866.398220876057</v>
      </c>
      <c r="AR349" s="1588">
        <f t="shared" si="131"/>
        <v>27866.398220876057</v>
      </c>
      <c r="AS349" s="1588">
        <f t="shared" si="131"/>
        <v>27866.398220876057</v>
      </c>
      <c r="AT349" s="1588">
        <f t="shared" si="131"/>
        <v>27866.398220876057</v>
      </c>
      <c r="AU349" s="1588">
        <f t="shared" si="131"/>
        <v>27866.398220876057</v>
      </c>
      <c r="AV349" s="1588">
        <f t="shared" si="131"/>
        <v>27866.398220876057</v>
      </c>
      <c r="AW349" s="1588">
        <f t="shared" si="131"/>
        <v>27866.398220876057</v>
      </c>
      <c r="AX349" s="1588">
        <f t="shared" si="131"/>
        <v>27866.398220876057</v>
      </c>
      <c r="AY349" s="1588">
        <f t="shared" si="131"/>
        <v>27866.398220876057</v>
      </c>
      <c r="AZ349" s="1588">
        <f t="shared" si="131"/>
        <v>27866.398220876057</v>
      </c>
      <c r="BA349" s="1588">
        <f t="shared" si="131"/>
        <v>27866.398220876057</v>
      </c>
      <c r="BB349" s="1588">
        <f t="shared" si="131"/>
        <v>27866.398220876057</v>
      </c>
      <c r="BC349" s="1588">
        <f t="shared" si="131"/>
        <v>27866.398220876057</v>
      </c>
      <c r="BD349" s="1588">
        <f t="shared" si="131"/>
        <v>27866.398220876057</v>
      </c>
      <c r="BE349" s="1589">
        <f t="shared" si="131"/>
        <v>27866.398220876057</v>
      </c>
      <c r="BF349" s="1548"/>
    </row>
    <row r="350" spans="1:58" x14ac:dyDescent="0.45">
      <c r="A350" s="695"/>
      <c r="B350" s="836"/>
      <c r="C350" s="837" t="s">
        <v>69</v>
      </c>
      <c r="D350" s="837"/>
      <c r="E350" s="837"/>
      <c r="F350" s="837"/>
      <c r="G350" s="1588">
        <f>G339</f>
        <v>482772.75</v>
      </c>
      <c r="H350" s="1588">
        <v>0</v>
      </c>
      <c r="I350" s="1588">
        <v>0</v>
      </c>
      <c r="J350" s="1588">
        <v>0</v>
      </c>
      <c r="K350" s="1588">
        <v>0</v>
      </c>
      <c r="L350" s="1588">
        <v>0</v>
      </c>
      <c r="M350" s="1588">
        <v>0</v>
      </c>
      <c r="N350" s="1588">
        <v>0</v>
      </c>
      <c r="O350" s="1588">
        <v>0</v>
      </c>
      <c r="P350" s="1588">
        <v>0</v>
      </c>
      <c r="Q350" s="1588">
        <v>0</v>
      </c>
      <c r="R350" s="1588">
        <v>0</v>
      </c>
      <c r="S350" s="1588">
        <v>0</v>
      </c>
      <c r="T350" s="1588">
        <v>0</v>
      </c>
      <c r="U350" s="1588">
        <v>0</v>
      </c>
      <c r="V350" s="1588">
        <v>0</v>
      </c>
      <c r="W350" s="1588">
        <v>0</v>
      </c>
      <c r="X350" s="1588">
        <v>0</v>
      </c>
      <c r="Y350" s="1588">
        <v>0</v>
      </c>
      <c r="Z350" s="1588">
        <v>0</v>
      </c>
      <c r="AA350" s="1588">
        <v>0</v>
      </c>
      <c r="AB350" s="1588">
        <v>0</v>
      </c>
      <c r="AC350" s="1588">
        <v>0</v>
      </c>
      <c r="AD350" s="1588">
        <v>0</v>
      </c>
      <c r="AE350" s="1588">
        <v>0</v>
      </c>
      <c r="AF350" s="1588">
        <v>0</v>
      </c>
      <c r="AG350" s="1588">
        <v>0</v>
      </c>
      <c r="AH350" s="1588">
        <v>0</v>
      </c>
      <c r="AI350" s="1588">
        <v>0</v>
      </c>
      <c r="AJ350" s="1588">
        <v>0</v>
      </c>
      <c r="AK350" s="1588">
        <v>0</v>
      </c>
      <c r="AL350" s="1588">
        <v>0</v>
      </c>
      <c r="AM350" s="1588">
        <v>0</v>
      </c>
      <c r="AN350" s="1588">
        <v>0</v>
      </c>
      <c r="AO350" s="1588">
        <v>0</v>
      </c>
      <c r="AP350" s="1588">
        <v>0</v>
      </c>
      <c r="AQ350" s="1588">
        <v>0</v>
      </c>
      <c r="AR350" s="1588">
        <v>0</v>
      </c>
      <c r="AS350" s="1588">
        <v>0</v>
      </c>
      <c r="AT350" s="1588">
        <v>0</v>
      </c>
      <c r="AU350" s="1588">
        <v>0</v>
      </c>
      <c r="AV350" s="1588">
        <v>0</v>
      </c>
      <c r="AW350" s="1588">
        <v>0</v>
      </c>
      <c r="AX350" s="1588">
        <v>0</v>
      </c>
      <c r="AY350" s="1588">
        <v>0</v>
      </c>
      <c r="AZ350" s="1588">
        <v>0</v>
      </c>
      <c r="BA350" s="1588">
        <v>0</v>
      </c>
      <c r="BB350" s="1588">
        <v>0</v>
      </c>
      <c r="BC350" s="1588">
        <v>0</v>
      </c>
      <c r="BD350" s="1588">
        <v>0</v>
      </c>
      <c r="BE350" s="1589">
        <v>0</v>
      </c>
      <c r="BF350" s="1548"/>
    </row>
    <row r="351" spans="1:58" x14ac:dyDescent="0.45">
      <c r="A351" s="695"/>
      <c r="B351" s="836"/>
      <c r="C351" s="844" t="s">
        <v>70</v>
      </c>
      <c r="D351" s="844"/>
      <c r="E351" s="844"/>
      <c r="F351" s="844"/>
      <c r="G351" s="1590">
        <v>0</v>
      </c>
      <c r="H351" s="1590">
        <f>-H345</f>
        <v>-25731.040692489616</v>
      </c>
      <c r="I351" s="1590">
        <f t="shared" ref="I351:W351" si="132">-I345</f>
        <v>-27480.751459578914</v>
      </c>
      <c r="J351" s="1590">
        <f t="shared" si="132"/>
        <v>-29349.442558830277</v>
      </c>
      <c r="K351" s="1590">
        <f t="shared" si="132"/>
        <v>-31345.204652830736</v>
      </c>
      <c r="L351" s="1590">
        <f t="shared" si="132"/>
        <v>-33476.67856922323</v>
      </c>
      <c r="M351" s="1590">
        <f t="shared" si="132"/>
        <v>-35753.092711930403</v>
      </c>
      <c r="N351" s="1590">
        <f t="shared" si="132"/>
        <v>-38184.30301634167</v>
      </c>
      <c r="O351" s="1590">
        <f t="shared" si="132"/>
        <v>-40780.835621452905</v>
      </c>
      <c r="P351" s="1590">
        <f t="shared" si="132"/>
        <v>-43553.93244371171</v>
      </c>
      <c r="Q351" s="1590">
        <f t="shared" si="132"/>
        <v>-46515.5998498841</v>
      </c>
      <c r="R351" s="1590">
        <f t="shared" si="132"/>
        <v>-49678.660639676229</v>
      </c>
      <c r="S351" s="1590">
        <f t="shared" si="132"/>
        <v>-53056.809563174204</v>
      </c>
      <c r="T351" s="1590">
        <f t="shared" si="132"/>
        <v>0</v>
      </c>
      <c r="U351" s="1590">
        <f t="shared" si="132"/>
        <v>0</v>
      </c>
      <c r="V351" s="1590">
        <f t="shared" si="132"/>
        <v>0</v>
      </c>
      <c r="W351" s="1590">
        <f t="shared" si="132"/>
        <v>0</v>
      </c>
      <c r="X351" s="1590">
        <f t="shared" ref="X351:BE351" si="133">-X345</f>
        <v>0</v>
      </c>
      <c r="Y351" s="1590">
        <f t="shared" si="133"/>
        <v>0</v>
      </c>
      <c r="Z351" s="1590">
        <f t="shared" si="133"/>
        <v>0</v>
      </c>
      <c r="AA351" s="1590">
        <f t="shared" si="133"/>
        <v>0</v>
      </c>
      <c r="AB351" s="1590">
        <f t="shared" si="133"/>
        <v>0</v>
      </c>
      <c r="AC351" s="1590">
        <f t="shared" si="133"/>
        <v>0</v>
      </c>
      <c r="AD351" s="1590">
        <f t="shared" si="133"/>
        <v>0</v>
      </c>
      <c r="AE351" s="1590">
        <f t="shared" si="133"/>
        <v>0</v>
      </c>
      <c r="AF351" s="1590">
        <f t="shared" si="133"/>
        <v>0</v>
      </c>
      <c r="AG351" s="1590">
        <f t="shared" si="133"/>
        <v>0</v>
      </c>
      <c r="AH351" s="1590">
        <f t="shared" si="133"/>
        <v>0</v>
      </c>
      <c r="AI351" s="1590">
        <f t="shared" si="133"/>
        <v>0</v>
      </c>
      <c r="AJ351" s="1590">
        <f t="shared" si="133"/>
        <v>0</v>
      </c>
      <c r="AK351" s="1590">
        <f t="shared" si="133"/>
        <v>0</v>
      </c>
      <c r="AL351" s="1590">
        <f t="shared" si="133"/>
        <v>0</v>
      </c>
      <c r="AM351" s="1590">
        <f t="shared" si="133"/>
        <v>0</v>
      </c>
      <c r="AN351" s="1590">
        <f t="shared" si="133"/>
        <v>0</v>
      </c>
      <c r="AO351" s="1590">
        <f t="shared" si="133"/>
        <v>0</v>
      </c>
      <c r="AP351" s="1590">
        <f t="shared" si="133"/>
        <v>0</v>
      </c>
      <c r="AQ351" s="1590">
        <f t="shared" si="133"/>
        <v>0</v>
      </c>
      <c r="AR351" s="1590">
        <f t="shared" si="133"/>
        <v>0</v>
      </c>
      <c r="AS351" s="1590">
        <f t="shared" si="133"/>
        <v>0</v>
      </c>
      <c r="AT351" s="1590">
        <f t="shared" si="133"/>
        <v>0</v>
      </c>
      <c r="AU351" s="1590">
        <f t="shared" si="133"/>
        <v>0</v>
      </c>
      <c r="AV351" s="1590">
        <f t="shared" si="133"/>
        <v>0</v>
      </c>
      <c r="AW351" s="1590">
        <f t="shared" si="133"/>
        <v>0</v>
      </c>
      <c r="AX351" s="1590">
        <f t="shared" si="133"/>
        <v>0</v>
      </c>
      <c r="AY351" s="1590">
        <f t="shared" si="133"/>
        <v>0</v>
      </c>
      <c r="AZ351" s="1590">
        <f t="shared" si="133"/>
        <v>0</v>
      </c>
      <c r="BA351" s="1590">
        <f t="shared" si="133"/>
        <v>0</v>
      </c>
      <c r="BB351" s="1590">
        <f t="shared" si="133"/>
        <v>0</v>
      </c>
      <c r="BC351" s="1590">
        <f t="shared" si="133"/>
        <v>0</v>
      </c>
      <c r="BD351" s="1590">
        <f t="shared" si="133"/>
        <v>0</v>
      </c>
      <c r="BE351" s="1591">
        <f t="shared" si="133"/>
        <v>0</v>
      </c>
      <c r="BF351" s="1548"/>
    </row>
    <row r="352" spans="1:58" x14ac:dyDescent="0.45">
      <c r="A352" s="695"/>
      <c r="B352" s="836"/>
      <c r="C352" s="837" t="s">
        <v>59</v>
      </c>
      <c r="D352" s="837"/>
      <c r="E352" s="837"/>
      <c r="F352" s="837"/>
      <c r="G352" s="1588">
        <f>SUM(G349:G351)</f>
        <v>482772.75</v>
      </c>
      <c r="H352" s="1588">
        <f>SUM(H349:H351)</f>
        <v>457041.70930751041</v>
      </c>
      <c r="I352" s="1588">
        <f t="shared" ref="I352:W352" si="134">SUM(I349:I351)</f>
        <v>429560.95784793148</v>
      </c>
      <c r="J352" s="1588">
        <f t="shared" si="134"/>
        <v>400211.51528910123</v>
      </c>
      <c r="K352" s="1588">
        <f t="shared" si="134"/>
        <v>368866.3106362705</v>
      </c>
      <c r="L352" s="1588">
        <f t="shared" si="134"/>
        <v>335389.63206704729</v>
      </c>
      <c r="M352" s="1588">
        <f t="shared" si="134"/>
        <v>299636.5393551169</v>
      </c>
      <c r="N352" s="1588">
        <f t="shared" si="134"/>
        <v>261452.23633877523</v>
      </c>
      <c r="O352" s="1588">
        <f t="shared" si="134"/>
        <v>220671.40071732231</v>
      </c>
      <c r="P352" s="1588">
        <f t="shared" si="134"/>
        <v>177117.4682736106</v>
      </c>
      <c r="Q352" s="1588">
        <f t="shared" si="134"/>
        <v>130601.8684237265</v>
      </c>
      <c r="R352" s="1588">
        <f t="shared" si="134"/>
        <v>80923.207784050261</v>
      </c>
      <c r="S352" s="1588">
        <f t="shared" si="134"/>
        <v>27866.398220876057</v>
      </c>
      <c r="T352" s="1588">
        <f t="shared" si="134"/>
        <v>27866.398220876057</v>
      </c>
      <c r="U352" s="1588">
        <f t="shared" si="134"/>
        <v>27866.398220876057</v>
      </c>
      <c r="V352" s="1588">
        <f t="shared" si="134"/>
        <v>27866.398220876057</v>
      </c>
      <c r="W352" s="1588">
        <f t="shared" si="134"/>
        <v>27866.398220876057</v>
      </c>
      <c r="X352" s="1588">
        <f t="shared" ref="X352:BE352" si="135">SUM(X349:X351)</f>
        <v>27866.398220876057</v>
      </c>
      <c r="Y352" s="1588">
        <f t="shared" si="135"/>
        <v>27866.398220876057</v>
      </c>
      <c r="Z352" s="1588">
        <f t="shared" si="135"/>
        <v>27866.398220876057</v>
      </c>
      <c r="AA352" s="1588">
        <f t="shared" si="135"/>
        <v>27866.398220876057</v>
      </c>
      <c r="AB352" s="1588">
        <f t="shared" si="135"/>
        <v>27866.398220876057</v>
      </c>
      <c r="AC352" s="1588">
        <f t="shared" si="135"/>
        <v>27866.398220876057</v>
      </c>
      <c r="AD352" s="1588">
        <f t="shared" si="135"/>
        <v>27866.398220876057</v>
      </c>
      <c r="AE352" s="1588">
        <f t="shared" si="135"/>
        <v>27866.398220876057</v>
      </c>
      <c r="AF352" s="1588">
        <f t="shared" si="135"/>
        <v>27866.398220876057</v>
      </c>
      <c r="AG352" s="1588">
        <f t="shared" si="135"/>
        <v>27866.398220876057</v>
      </c>
      <c r="AH352" s="1588">
        <f t="shared" si="135"/>
        <v>27866.398220876057</v>
      </c>
      <c r="AI352" s="1588">
        <f t="shared" si="135"/>
        <v>27866.398220876057</v>
      </c>
      <c r="AJ352" s="1588">
        <f t="shared" si="135"/>
        <v>27866.398220876057</v>
      </c>
      <c r="AK352" s="1588">
        <f t="shared" si="135"/>
        <v>27866.398220876057</v>
      </c>
      <c r="AL352" s="1588">
        <f t="shared" si="135"/>
        <v>27866.398220876057</v>
      </c>
      <c r="AM352" s="1588">
        <f t="shared" si="135"/>
        <v>27866.398220876057</v>
      </c>
      <c r="AN352" s="1588">
        <f t="shared" si="135"/>
        <v>27866.398220876057</v>
      </c>
      <c r="AO352" s="1588">
        <f t="shared" si="135"/>
        <v>27866.398220876057</v>
      </c>
      <c r="AP352" s="1588">
        <f t="shared" si="135"/>
        <v>27866.398220876057</v>
      </c>
      <c r="AQ352" s="1588">
        <f t="shared" si="135"/>
        <v>27866.398220876057</v>
      </c>
      <c r="AR352" s="1588">
        <f t="shared" si="135"/>
        <v>27866.398220876057</v>
      </c>
      <c r="AS352" s="1588">
        <f t="shared" si="135"/>
        <v>27866.398220876057</v>
      </c>
      <c r="AT352" s="1588">
        <f t="shared" si="135"/>
        <v>27866.398220876057</v>
      </c>
      <c r="AU352" s="1588">
        <f t="shared" si="135"/>
        <v>27866.398220876057</v>
      </c>
      <c r="AV352" s="1588">
        <f t="shared" si="135"/>
        <v>27866.398220876057</v>
      </c>
      <c r="AW352" s="1588">
        <f t="shared" si="135"/>
        <v>27866.398220876057</v>
      </c>
      <c r="AX352" s="1588">
        <f t="shared" si="135"/>
        <v>27866.398220876057</v>
      </c>
      <c r="AY352" s="1588">
        <f t="shared" si="135"/>
        <v>27866.398220876057</v>
      </c>
      <c r="AZ352" s="1588">
        <f t="shared" si="135"/>
        <v>27866.398220876057</v>
      </c>
      <c r="BA352" s="1588">
        <f t="shared" si="135"/>
        <v>27866.398220876057</v>
      </c>
      <c r="BB352" s="1588">
        <f t="shared" si="135"/>
        <v>27866.398220876057</v>
      </c>
      <c r="BC352" s="1588">
        <f t="shared" si="135"/>
        <v>27866.398220876057</v>
      </c>
      <c r="BD352" s="1588">
        <f t="shared" si="135"/>
        <v>27866.398220876057</v>
      </c>
      <c r="BE352" s="1589">
        <f t="shared" si="135"/>
        <v>27866.398220876057</v>
      </c>
      <c r="BF352" s="1548"/>
    </row>
    <row r="353" spans="1:58" x14ac:dyDescent="0.45">
      <c r="A353" s="695"/>
      <c r="B353" s="836"/>
      <c r="C353" s="837"/>
      <c r="D353" s="837"/>
      <c r="E353" s="837"/>
      <c r="F353" s="837"/>
      <c r="G353" s="1588"/>
      <c r="H353" s="1588"/>
      <c r="I353" s="1588"/>
      <c r="J353" s="1588"/>
      <c r="K353" s="1588"/>
      <c r="L353" s="1588"/>
      <c r="M353" s="1588"/>
      <c r="N353" s="1588"/>
      <c r="O353" s="1588"/>
      <c r="P353" s="1588"/>
      <c r="Q353" s="1588"/>
      <c r="R353" s="1588"/>
      <c r="S353" s="1588"/>
      <c r="T353" s="1588"/>
      <c r="U353" s="1588"/>
      <c r="V353" s="1588"/>
      <c r="W353" s="1588"/>
      <c r="X353" s="1588"/>
      <c r="Y353" s="1588"/>
      <c r="Z353" s="1588"/>
      <c r="AA353" s="1588"/>
      <c r="AB353" s="1588"/>
      <c r="AC353" s="1588"/>
      <c r="AD353" s="1588"/>
      <c r="AE353" s="1588"/>
      <c r="AF353" s="1588"/>
      <c r="AG353" s="1588"/>
      <c r="AH353" s="1588"/>
      <c r="AI353" s="1588"/>
      <c r="AJ353" s="1588"/>
      <c r="AK353" s="1588"/>
      <c r="AL353" s="1588"/>
      <c r="AM353" s="1588"/>
      <c r="AN353" s="1588"/>
      <c r="AO353" s="1588"/>
      <c r="AP353" s="1588"/>
      <c r="AQ353" s="1588"/>
      <c r="AR353" s="1588"/>
      <c r="AS353" s="1588"/>
      <c r="AT353" s="1588"/>
      <c r="AU353" s="1588"/>
      <c r="AV353" s="1588"/>
      <c r="AW353" s="1588"/>
      <c r="AX353" s="1588"/>
      <c r="AY353" s="1588"/>
      <c r="AZ353" s="1588"/>
      <c r="BA353" s="1588"/>
      <c r="BB353" s="1588"/>
      <c r="BC353" s="1588"/>
      <c r="BD353" s="1588"/>
      <c r="BE353" s="1589"/>
      <c r="BF353" s="1548"/>
    </row>
    <row r="354" spans="1:58" x14ac:dyDescent="0.45">
      <c r="A354" s="695"/>
      <c r="B354" s="836"/>
      <c r="C354" s="1008" t="s">
        <v>64</v>
      </c>
      <c r="D354" s="837"/>
      <c r="E354" s="837"/>
      <c r="F354" s="837"/>
      <c r="G354" s="1588"/>
      <c r="H354" s="1588"/>
      <c r="I354" s="1588"/>
      <c r="J354" s="1588"/>
      <c r="K354" s="1588"/>
      <c r="L354" s="1588"/>
      <c r="M354" s="1588"/>
      <c r="N354" s="1588"/>
      <c r="O354" s="1588"/>
      <c r="P354" s="1588"/>
      <c r="Q354" s="1588"/>
      <c r="R354" s="1588"/>
      <c r="S354" s="1588"/>
      <c r="T354" s="1588"/>
      <c r="U354" s="1588"/>
      <c r="V354" s="1588"/>
      <c r="W354" s="1588"/>
      <c r="X354" s="1588"/>
      <c r="Y354" s="1588"/>
      <c r="Z354" s="1588"/>
      <c r="AA354" s="1588"/>
      <c r="AB354" s="1588"/>
      <c r="AC354" s="1588"/>
      <c r="AD354" s="1588"/>
      <c r="AE354" s="1588"/>
      <c r="AF354" s="1588"/>
      <c r="AG354" s="1588"/>
      <c r="AH354" s="1588"/>
      <c r="AI354" s="1588"/>
      <c r="AJ354" s="1588"/>
      <c r="AK354" s="1588"/>
      <c r="AL354" s="1588"/>
      <c r="AM354" s="1588"/>
      <c r="AN354" s="1588"/>
      <c r="AO354" s="1588"/>
      <c r="AP354" s="1588"/>
      <c r="AQ354" s="1588"/>
      <c r="AR354" s="1588"/>
      <c r="AS354" s="1588"/>
      <c r="AT354" s="1588"/>
      <c r="AU354" s="1588"/>
      <c r="AV354" s="1588"/>
      <c r="AW354" s="1588"/>
      <c r="AX354" s="1588"/>
      <c r="AY354" s="1588"/>
      <c r="AZ354" s="1588"/>
      <c r="BA354" s="1588"/>
      <c r="BB354" s="1588"/>
      <c r="BC354" s="1588"/>
      <c r="BD354" s="1588"/>
      <c r="BE354" s="1589"/>
      <c r="BF354" s="1548"/>
    </row>
    <row r="355" spans="1:58" x14ac:dyDescent="0.45">
      <c r="A355" s="695"/>
      <c r="B355" s="836"/>
      <c r="C355" s="837" t="s">
        <v>205</v>
      </c>
      <c r="D355" s="837"/>
      <c r="E355" s="837"/>
      <c r="F355" s="837"/>
      <c r="G355" s="1588"/>
      <c r="H355" s="1588">
        <f>IF($G$339&gt;0, $G$339*'II. Inputs, Baseline Energy Mix'!$N$57/10000,0)</f>
        <v>0</v>
      </c>
      <c r="I355" s="1588">
        <v>0</v>
      </c>
      <c r="J355" s="1588">
        <v>0</v>
      </c>
      <c r="K355" s="1588">
        <v>0</v>
      </c>
      <c r="L355" s="1588">
        <v>0</v>
      </c>
      <c r="M355" s="1588">
        <v>0</v>
      </c>
      <c r="N355" s="1588">
        <v>0</v>
      </c>
      <c r="O355" s="1588">
        <v>0</v>
      </c>
      <c r="P355" s="1588">
        <v>0</v>
      </c>
      <c r="Q355" s="1588">
        <v>0</v>
      </c>
      <c r="R355" s="1588">
        <v>0</v>
      </c>
      <c r="S355" s="1588">
        <v>0</v>
      </c>
      <c r="T355" s="1588">
        <v>0</v>
      </c>
      <c r="U355" s="1588">
        <v>0</v>
      </c>
      <c r="V355" s="1588">
        <v>0</v>
      </c>
      <c r="W355" s="1588">
        <v>0</v>
      </c>
      <c r="X355" s="1588">
        <v>0</v>
      </c>
      <c r="Y355" s="1588">
        <v>0</v>
      </c>
      <c r="Z355" s="1588">
        <v>0</v>
      </c>
      <c r="AA355" s="1588">
        <v>0</v>
      </c>
      <c r="AB355" s="1588">
        <v>0</v>
      </c>
      <c r="AC355" s="1588">
        <v>0</v>
      </c>
      <c r="AD355" s="1588">
        <v>0</v>
      </c>
      <c r="AE355" s="1588">
        <v>0</v>
      </c>
      <c r="AF355" s="1588">
        <v>0</v>
      </c>
      <c r="AG355" s="1588">
        <v>0</v>
      </c>
      <c r="AH355" s="1588">
        <v>0</v>
      </c>
      <c r="AI355" s="1588">
        <v>0</v>
      </c>
      <c r="AJ355" s="1588">
        <v>0</v>
      </c>
      <c r="AK355" s="1588">
        <v>0</v>
      </c>
      <c r="AL355" s="1588">
        <v>0</v>
      </c>
      <c r="AM355" s="1588">
        <v>0</v>
      </c>
      <c r="AN355" s="1588">
        <v>0</v>
      </c>
      <c r="AO355" s="1588">
        <v>0</v>
      </c>
      <c r="AP355" s="1588">
        <v>0</v>
      </c>
      <c r="AQ355" s="1588">
        <v>0</v>
      </c>
      <c r="AR355" s="1588">
        <v>0</v>
      </c>
      <c r="AS355" s="1588">
        <v>0</v>
      </c>
      <c r="AT355" s="1588">
        <v>0</v>
      </c>
      <c r="AU355" s="1588">
        <v>0</v>
      </c>
      <c r="AV355" s="1588">
        <v>0</v>
      </c>
      <c r="AW355" s="1588">
        <v>0</v>
      </c>
      <c r="AX355" s="1588">
        <v>0</v>
      </c>
      <c r="AY355" s="1588">
        <v>0</v>
      </c>
      <c r="AZ355" s="1588">
        <v>0</v>
      </c>
      <c r="BA355" s="1588">
        <v>0</v>
      </c>
      <c r="BB355" s="1588">
        <v>0</v>
      </c>
      <c r="BC355" s="1588">
        <v>0</v>
      </c>
      <c r="BD355" s="1588">
        <v>0</v>
      </c>
      <c r="BE355" s="1589">
        <v>0</v>
      </c>
      <c r="BF355" s="1548"/>
    </row>
    <row r="356" spans="1:58" x14ac:dyDescent="0.45">
      <c r="A356" s="695"/>
      <c r="B356" s="836"/>
      <c r="C356" s="837"/>
      <c r="D356" s="837"/>
      <c r="E356" s="837"/>
      <c r="F356" s="837"/>
      <c r="G356" s="1002"/>
      <c r="H356" s="1002"/>
      <c r="I356" s="1002"/>
      <c r="J356" s="1002"/>
      <c r="K356" s="1002"/>
      <c r="L356" s="1002"/>
      <c r="M356" s="1002"/>
      <c r="N356" s="1002"/>
      <c r="O356" s="1002"/>
      <c r="P356" s="1002"/>
      <c r="Q356" s="1002"/>
      <c r="R356" s="1002"/>
      <c r="S356" s="1002"/>
      <c r="T356" s="1002"/>
      <c r="U356" s="1002"/>
      <c r="V356" s="1002"/>
      <c r="W356" s="1002"/>
      <c r="X356" s="1002"/>
      <c r="Y356" s="1002"/>
      <c r="Z356" s="1002"/>
      <c r="AA356" s="1002"/>
      <c r="AB356" s="1002"/>
      <c r="AC356" s="1002"/>
      <c r="AD356" s="1002"/>
      <c r="AE356" s="1002"/>
      <c r="AF356" s="1002"/>
      <c r="AG356" s="1002"/>
      <c r="AH356" s="1002"/>
      <c r="AI356" s="1002"/>
      <c r="AJ356" s="1002"/>
      <c r="AK356" s="1002"/>
      <c r="AL356" s="1002"/>
      <c r="AM356" s="1002"/>
      <c r="AN356" s="1002"/>
      <c r="AO356" s="1002"/>
      <c r="AP356" s="1002"/>
      <c r="AQ356" s="1002"/>
      <c r="AR356" s="1002"/>
      <c r="AS356" s="1002"/>
      <c r="AT356" s="1002"/>
      <c r="AU356" s="1002"/>
      <c r="AV356" s="1002"/>
      <c r="AW356" s="1002"/>
      <c r="AX356" s="1002"/>
      <c r="AY356" s="1002"/>
      <c r="AZ356" s="1002"/>
      <c r="BA356" s="1002"/>
      <c r="BB356" s="1002"/>
      <c r="BC356" s="1002"/>
      <c r="BD356" s="1002"/>
      <c r="BE356" s="1003"/>
      <c r="BF356" s="695"/>
    </row>
    <row r="357" spans="1:58" x14ac:dyDescent="0.45">
      <c r="A357" s="695"/>
      <c r="B357" s="836"/>
      <c r="C357" s="837"/>
      <c r="D357" s="837"/>
      <c r="E357" s="837"/>
      <c r="F357" s="837"/>
      <c r="G357" s="1002"/>
      <c r="H357" s="1002"/>
      <c r="I357" s="1002"/>
      <c r="J357" s="1002"/>
      <c r="K357" s="1002"/>
      <c r="L357" s="1002"/>
      <c r="M357" s="1002"/>
      <c r="N357" s="1002"/>
      <c r="O357" s="1002"/>
      <c r="P357" s="1002"/>
      <c r="Q357" s="1002"/>
      <c r="R357" s="1002"/>
      <c r="S357" s="1002"/>
      <c r="T357" s="1002"/>
      <c r="U357" s="1002"/>
      <c r="V357" s="1002"/>
      <c r="W357" s="1002"/>
      <c r="X357" s="1002"/>
      <c r="Y357" s="1002"/>
      <c r="Z357" s="1002"/>
      <c r="AA357" s="1002"/>
      <c r="AB357" s="1002"/>
      <c r="AC357" s="1002"/>
      <c r="AD357" s="1002"/>
      <c r="AE357" s="1002"/>
      <c r="AF357" s="1002"/>
      <c r="AG357" s="1002"/>
      <c r="AH357" s="1002"/>
      <c r="AI357" s="1002"/>
      <c r="AJ357" s="1002"/>
      <c r="AK357" s="1002"/>
      <c r="AL357" s="1002"/>
      <c r="AM357" s="1002"/>
      <c r="AN357" s="1002"/>
      <c r="AO357" s="1002"/>
      <c r="AP357" s="1002"/>
      <c r="AQ357" s="1002"/>
      <c r="AR357" s="1002"/>
      <c r="AS357" s="1002"/>
      <c r="AT357" s="1002"/>
      <c r="AU357" s="1002"/>
      <c r="AV357" s="1002"/>
      <c r="AW357" s="1002"/>
      <c r="AX357" s="1002"/>
      <c r="AY357" s="1002"/>
      <c r="AZ357" s="1002"/>
      <c r="BA357" s="1002"/>
      <c r="BB357" s="1002"/>
      <c r="BC357" s="1002"/>
      <c r="BD357" s="1002"/>
      <c r="BE357" s="1003"/>
      <c r="BF357" s="695"/>
    </row>
    <row r="358" spans="1:58" ht="13.15" x14ac:dyDescent="0.45">
      <c r="A358" s="695"/>
      <c r="B358" s="849" t="s">
        <v>79</v>
      </c>
      <c r="C358" s="837"/>
      <c r="D358" s="837"/>
      <c r="E358" s="837"/>
      <c r="F358" s="837"/>
      <c r="G358" s="1002"/>
      <c r="H358" s="1002"/>
      <c r="I358" s="1002"/>
      <c r="J358" s="1002"/>
      <c r="K358" s="1002"/>
      <c r="L358" s="1002"/>
      <c r="M358" s="1002"/>
      <c r="N358" s="1002"/>
      <c r="O358" s="1002"/>
      <c r="P358" s="1002"/>
      <c r="Q358" s="1002"/>
      <c r="R358" s="1002"/>
      <c r="S358" s="1002"/>
      <c r="T358" s="1002"/>
      <c r="U358" s="1002"/>
      <c r="V358" s="1002"/>
      <c r="W358" s="1002"/>
      <c r="X358" s="1002"/>
      <c r="Y358" s="1002"/>
      <c r="Z358" s="1002"/>
      <c r="AA358" s="1002"/>
      <c r="AB358" s="1002"/>
      <c r="AC358" s="1002"/>
      <c r="AD358" s="1002"/>
      <c r="AE358" s="1002"/>
      <c r="AF358" s="1002"/>
      <c r="AG358" s="1002"/>
      <c r="AH358" s="1002"/>
      <c r="AI358" s="1002"/>
      <c r="AJ358" s="1002"/>
      <c r="AK358" s="1002"/>
      <c r="AL358" s="1002"/>
      <c r="AM358" s="1002"/>
      <c r="AN358" s="1002"/>
      <c r="AO358" s="1002"/>
      <c r="AP358" s="1002"/>
      <c r="AQ358" s="1002"/>
      <c r="AR358" s="1002"/>
      <c r="AS358" s="1002"/>
      <c r="AT358" s="1002"/>
      <c r="AU358" s="1002"/>
      <c r="AV358" s="1002"/>
      <c r="AW358" s="1002"/>
      <c r="AX358" s="1002"/>
      <c r="AY358" s="1002"/>
      <c r="AZ358" s="1002"/>
      <c r="BA358" s="1002"/>
      <c r="BB358" s="1002"/>
      <c r="BC358" s="1002"/>
      <c r="BD358" s="1002"/>
      <c r="BE358" s="1003"/>
      <c r="BF358" s="695"/>
    </row>
    <row r="359" spans="1:58" x14ac:dyDescent="0.45">
      <c r="A359" s="695"/>
      <c r="B359" s="836"/>
      <c r="C359" s="1004" t="s">
        <v>77</v>
      </c>
      <c r="D359" s="837"/>
      <c r="E359" s="837"/>
      <c r="F359" s="837"/>
      <c r="G359" s="1588">
        <f>IF('II. Inputs, Baseline Energy Mix'!$N$19&gt;0, ('II. Inputs, Baseline Energy Mix'!$N$20*'II. Inputs, Baseline Energy Mix'!$N$21*'II. Inputs, Baseline Energy Mix'!$N$35*'II. Inputs, Baseline Energy Mix'!$N$88),0)</f>
        <v>0</v>
      </c>
      <c r="H359" s="1002"/>
      <c r="I359" s="1002"/>
      <c r="J359" s="1002"/>
      <c r="K359" s="1002"/>
      <c r="L359" s="1002"/>
      <c r="M359" s="1002"/>
      <c r="N359" s="1002"/>
      <c r="O359" s="1002"/>
      <c r="P359" s="1002"/>
      <c r="Q359" s="1002"/>
      <c r="R359" s="1002"/>
      <c r="S359" s="1002"/>
      <c r="T359" s="1002"/>
      <c r="U359" s="1002"/>
      <c r="V359" s="1002"/>
      <c r="W359" s="1002"/>
      <c r="X359" s="1002"/>
      <c r="Y359" s="1002"/>
      <c r="Z359" s="1002"/>
      <c r="AA359" s="1002"/>
      <c r="AB359" s="1002"/>
      <c r="AC359" s="1002"/>
      <c r="AD359" s="1002"/>
      <c r="AE359" s="1002"/>
      <c r="AF359" s="1002"/>
      <c r="AG359" s="1002"/>
      <c r="AH359" s="1002"/>
      <c r="AI359" s="1002"/>
      <c r="AJ359" s="1002"/>
      <c r="AK359" s="1002"/>
      <c r="AL359" s="1002"/>
      <c r="AM359" s="1002"/>
      <c r="AN359" s="1002"/>
      <c r="AO359" s="1002"/>
      <c r="AP359" s="1002"/>
      <c r="AQ359" s="1002"/>
      <c r="AR359" s="1002"/>
      <c r="AS359" s="1002"/>
      <c r="AT359" s="1002"/>
      <c r="AU359" s="1002"/>
      <c r="AV359" s="1002"/>
      <c r="AW359" s="1002"/>
      <c r="AX359" s="1002"/>
      <c r="AY359" s="1002"/>
      <c r="AZ359" s="1002"/>
      <c r="BA359" s="1002"/>
      <c r="BB359" s="1002"/>
      <c r="BC359" s="1002"/>
      <c r="BD359" s="1002"/>
      <c r="BE359" s="1003"/>
      <c r="BF359" s="695"/>
    </row>
    <row r="360" spans="1:58" x14ac:dyDescent="0.45">
      <c r="A360" s="695"/>
      <c r="B360" s="836"/>
      <c r="C360" s="1004" t="str">
        <f>'II. Inputs, Baseline Energy Mix'!$E$89</f>
        <v xml:space="preserve">Term of Political Risk Insurance </v>
      </c>
      <c r="D360" s="837"/>
      <c r="E360" s="837"/>
      <c r="F360" s="837"/>
      <c r="G360" s="1005">
        <f>'II. Inputs, Baseline Energy Mix'!$N$89</f>
        <v>0</v>
      </c>
      <c r="H360" s="1002"/>
      <c r="I360" s="1002"/>
      <c r="J360" s="1002"/>
      <c r="K360" s="1002"/>
      <c r="L360" s="1002"/>
      <c r="M360" s="1002"/>
      <c r="N360" s="1002"/>
      <c r="O360" s="1002"/>
      <c r="P360" s="1002"/>
      <c r="Q360" s="1002"/>
      <c r="R360" s="1002"/>
      <c r="S360" s="1002"/>
      <c r="T360" s="1002"/>
      <c r="U360" s="1002"/>
      <c r="V360" s="1002"/>
      <c r="W360" s="1002"/>
      <c r="X360" s="1002"/>
      <c r="Y360" s="1002"/>
      <c r="Z360" s="1002"/>
      <c r="AA360" s="1002"/>
      <c r="AB360" s="1002"/>
      <c r="AC360" s="1002"/>
      <c r="AD360" s="1002"/>
      <c r="AE360" s="1002"/>
      <c r="AF360" s="1002"/>
      <c r="AG360" s="1002"/>
      <c r="AH360" s="1002"/>
      <c r="AI360" s="1002"/>
      <c r="AJ360" s="1002"/>
      <c r="AK360" s="1002"/>
      <c r="AL360" s="1002"/>
      <c r="AM360" s="1002"/>
      <c r="AN360" s="1002"/>
      <c r="AO360" s="1002"/>
      <c r="AP360" s="1002"/>
      <c r="AQ360" s="1002"/>
      <c r="AR360" s="1002"/>
      <c r="AS360" s="1002"/>
      <c r="AT360" s="1002"/>
      <c r="AU360" s="1002"/>
      <c r="AV360" s="1002"/>
      <c r="AW360" s="1002"/>
      <c r="AX360" s="1002"/>
      <c r="AY360" s="1002"/>
      <c r="AZ360" s="1002"/>
      <c r="BA360" s="1002"/>
      <c r="BB360" s="1002"/>
      <c r="BC360" s="1002"/>
      <c r="BD360" s="1002"/>
      <c r="BE360" s="1003"/>
      <c r="BF360" s="695"/>
    </row>
    <row r="361" spans="1:58" x14ac:dyDescent="0.45">
      <c r="A361" s="695"/>
      <c r="B361" s="836"/>
      <c r="C361" s="1004" t="str">
        <f>'II. Inputs, Baseline Energy Mix'!$E$90</f>
        <v xml:space="preserve">Front-end Fee </v>
      </c>
      <c r="D361" s="837"/>
      <c r="E361" s="837"/>
      <c r="F361" s="837"/>
      <c r="G361" s="1010">
        <f>'II. Inputs, Baseline Energy Mix'!$N$90</f>
        <v>0</v>
      </c>
      <c r="H361" s="1002"/>
      <c r="I361" s="1002"/>
      <c r="J361" s="1002"/>
      <c r="K361" s="1002"/>
      <c r="L361" s="1002"/>
      <c r="M361" s="1002"/>
      <c r="N361" s="1002"/>
      <c r="O361" s="1002"/>
      <c r="P361" s="1002"/>
      <c r="Q361" s="1002"/>
      <c r="R361" s="1002"/>
      <c r="S361" s="1002"/>
      <c r="T361" s="1002"/>
      <c r="U361" s="1002"/>
      <c r="V361" s="1002"/>
      <c r="W361" s="1002"/>
      <c r="X361" s="1002"/>
      <c r="Y361" s="1002"/>
      <c r="Z361" s="1002"/>
      <c r="AA361" s="1002"/>
      <c r="AB361" s="1002"/>
      <c r="AC361" s="1002"/>
      <c r="AD361" s="1002"/>
      <c r="AE361" s="1002"/>
      <c r="AF361" s="1002"/>
      <c r="AG361" s="1002"/>
      <c r="AH361" s="1002"/>
      <c r="AI361" s="1002"/>
      <c r="AJ361" s="1002"/>
      <c r="AK361" s="1002"/>
      <c r="AL361" s="1002"/>
      <c r="AM361" s="1002"/>
      <c r="AN361" s="1002"/>
      <c r="AO361" s="1002"/>
      <c r="AP361" s="1002"/>
      <c r="AQ361" s="1002"/>
      <c r="AR361" s="1002"/>
      <c r="AS361" s="1002"/>
      <c r="AT361" s="1002"/>
      <c r="AU361" s="1002"/>
      <c r="AV361" s="1002"/>
      <c r="AW361" s="1002"/>
      <c r="AX361" s="1002"/>
      <c r="AY361" s="1002"/>
      <c r="AZ361" s="1002"/>
      <c r="BA361" s="1002"/>
      <c r="BB361" s="1002"/>
      <c r="BC361" s="1002"/>
      <c r="BD361" s="1002"/>
      <c r="BE361" s="1003"/>
      <c r="BF361" s="695"/>
    </row>
    <row r="362" spans="1:58" x14ac:dyDescent="0.45">
      <c r="A362" s="695"/>
      <c r="B362" s="836"/>
      <c r="C362" s="1004" t="str">
        <f>'II. Inputs, Baseline Energy Mix'!$E$91</f>
        <v xml:space="preserve">Annual Political Risk Insurance Premium </v>
      </c>
      <c r="D362" s="837"/>
      <c r="E362" s="837"/>
      <c r="F362" s="837"/>
      <c r="G362" s="1010">
        <f>'II. Inputs, Baseline Energy Mix'!$N$91</f>
        <v>0</v>
      </c>
      <c r="H362" s="1002"/>
      <c r="I362" s="1002"/>
      <c r="J362" s="1002"/>
      <c r="K362" s="1002"/>
      <c r="L362" s="1002"/>
      <c r="M362" s="1002"/>
      <c r="N362" s="1002"/>
      <c r="O362" s="1002"/>
      <c r="P362" s="1002"/>
      <c r="Q362" s="1002"/>
      <c r="R362" s="1002"/>
      <c r="S362" s="1002"/>
      <c r="T362" s="1002"/>
      <c r="U362" s="1002"/>
      <c r="V362" s="1002"/>
      <c r="W362" s="1002"/>
      <c r="X362" s="1002"/>
      <c r="Y362" s="1002"/>
      <c r="Z362" s="1002"/>
      <c r="AA362" s="1002"/>
      <c r="AB362" s="1002"/>
      <c r="AC362" s="1002"/>
      <c r="AD362" s="1002"/>
      <c r="AE362" s="1002"/>
      <c r="AF362" s="1002"/>
      <c r="AG362" s="1002"/>
      <c r="AH362" s="1002"/>
      <c r="AI362" s="1002"/>
      <c r="AJ362" s="1002"/>
      <c r="AK362" s="1002"/>
      <c r="AL362" s="1002"/>
      <c r="AM362" s="1002"/>
      <c r="AN362" s="1002"/>
      <c r="AO362" s="1002"/>
      <c r="AP362" s="1002"/>
      <c r="AQ362" s="1002"/>
      <c r="AR362" s="1002"/>
      <c r="AS362" s="1002"/>
      <c r="AT362" s="1002"/>
      <c r="AU362" s="1002"/>
      <c r="AV362" s="1002"/>
      <c r="AW362" s="1002"/>
      <c r="AX362" s="1002"/>
      <c r="AY362" s="1002"/>
      <c r="AZ362" s="1002"/>
      <c r="BA362" s="1002"/>
      <c r="BB362" s="1002"/>
      <c r="BC362" s="1002"/>
      <c r="BD362" s="1002"/>
      <c r="BE362" s="1003"/>
      <c r="BF362" s="695"/>
    </row>
    <row r="363" spans="1:58" x14ac:dyDescent="0.45">
      <c r="A363" s="695"/>
      <c r="B363" s="836"/>
      <c r="C363" s="837"/>
      <c r="D363" s="837"/>
      <c r="E363" s="837"/>
      <c r="F363" s="837"/>
      <c r="G363" s="1002"/>
      <c r="H363" s="1002"/>
      <c r="I363" s="1002"/>
      <c r="J363" s="1002"/>
      <c r="K363" s="1002"/>
      <c r="L363" s="1002"/>
      <c r="M363" s="1002"/>
      <c r="N363" s="1002"/>
      <c r="O363" s="1002"/>
      <c r="P363" s="1002"/>
      <c r="Q363" s="1002"/>
      <c r="R363" s="1002"/>
      <c r="S363" s="1002"/>
      <c r="T363" s="1002"/>
      <c r="U363" s="1002"/>
      <c r="V363" s="1002"/>
      <c r="W363" s="1002"/>
      <c r="X363" s="1002"/>
      <c r="Y363" s="1002"/>
      <c r="Z363" s="1002"/>
      <c r="AA363" s="1002"/>
      <c r="AB363" s="1002"/>
      <c r="AC363" s="1002"/>
      <c r="AD363" s="1002"/>
      <c r="AE363" s="1002"/>
      <c r="AF363" s="1002"/>
      <c r="AG363" s="1002"/>
      <c r="AH363" s="1002"/>
      <c r="AI363" s="1002"/>
      <c r="AJ363" s="1002"/>
      <c r="AK363" s="1002"/>
      <c r="AL363" s="1002"/>
      <c r="AM363" s="1002"/>
      <c r="AN363" s="1002"/>
      <c r="AO363" s="1002"/>
      <c r="AP363" s="1002"/>
      <c r="AQ363" s="1002"/>
      <c r="AR363" s="1002"/>
      <c r="AS363" s="1002"/>
      <c r="AT363" s="1002"/>
      <c r="AU363" s="1002"/>
      <c r="AV363" s="1002"/>
      <c r="AW363" s="1002"/>
      <c r="AX363" s="1002"/>
      <c r="AY363" s="1002"/>
      <c r="AZ363" s="1002"/>
      <c r="BA363" s="1002"/>
      <c r="BB363" s="1002"/>
      <c r="BC363" s="1002"/>
      <c r="BD363" s="1002"/>
      <c r="BE363" s="1003"/>
      <c r="BF363" s="695"/>
    </row>
    <row r="364" spans="1:58" x14ac:dyDescent="0.45">
      <c r="A364" s="695"/>
      <c r="B364" s="836"/>
      <c r="C364" s="1008" t="s">
        <v>64</v>
      </c>
      <c r="D364" s="837"/>
      <c r="E364" s="837"/>
      <c r="F364" s="837"/>
      <c r="G364" s="1002"/>
      <c r="H364" s="1002"/>
      <c r="I364" s="1002"/>
      <c r="J364" s="1002"/>
      <c r="K364" s="1002"/>
      <c r="L364" s="1002"/>
      <c r="M364" s="1002"/>
      <c r="N364" s="1002"/>
      <c r="O364" s="1002"/>
      <c r="P364" s="1002"/>
      <c r="Q364" s="1002"/>
      <c r="R364" s="1002"/>
      <c r="S364" s="1002"/>
      <c r="T364" s="1002"/>
      <c r="U364" s="1002"/>
      <c r="V364" s="1002"/>
      <c r="W364" s="1002"/>
      <c r="X364" s="1002"/>
      <c r="Y364" s="1002"/>
      <c r="Z364" s="1002"/>
      <c r="AA364" s="1002"/>
      <c r="AB364" s="1002"/>
      <c r="AC364" s="1002"/>
      <c r="AD364" s="1002"/>
      <c r="AE364" s="1002"/>
      <c r="AF364" s="1002"/>
      <c r="AG364" s="1002"/>
      <c r="AH364" s="1002"/>
      <c r="AI364" s="1002"/>
      <c r="AJ364" s="1002"/>
      <c r="AK364" s="1002"/>
      <c r="AL364" s="1002"/>
      <c r="AM364" s="1002"/>
      <c r="AN364" s="1002"/>
      <c r="AO364" s="1002"/>
      <c r="AP364" s="1002"/>
      <c r="AQ364" s="1002"/>
      <c r="AR364" s="1002"/>
      <c r="AS364" s="1002"/>
      <c r="AT364" s="1002"/>
      <c r="AU364" s="1002"/>
      <c r="AV364" s="1002"/>
      <c r="AW364" s="1002"/>
      <c r="AX364" s="1002"/>
      <c r="AY364" s="1002"/>
      <c r="AZ364" s="1002"/>
      <c r="BA364" s="1002"/>
      <c r="BB364" s="1002"/>
      <c r="BC364" s="1002"/>
      <c r="BD364" s="1002"/>
      <c r="BE364" s="1003"/>
      <c r="BF364" s="695"/>
    </row>
    <row r="365" spans="1:58" x14ac:dyDescent="0.45">
      <c r="A365" s="695"/>
      <c r="B365" s="836"/>
      <c r="C365" s="837" t="str">
        <f>'II. Inputs, Baseline Energy Mix'!$E$90</f>
        <v xml:space="preserve">Front-end Fee </v>
      </c>
      <c r="D365" s="837"/>
      <c r="E365" s="837"/>
      <c r="F365" s="837"/>
      <c r="G365" s="1002"/>
      <c r="H365" s="1588">
        <f>IF(G359&gt;0, G359*G361/10000, 0)</f>
        <v>0</v>
      </c>
      <c r="I365" s="1588">
        <v>0</v>
      </c>
      <c r="J365" s="1588">
        <v>0</v>
      </c>
      <c r="K365" s="1588">
        <v>0</v>
      </c>
      <c r="L365" s="1588">
        <v>0</v>
      </c>
      <c r="M365" s="1588">
        <v>0</v>
      </c>
      <c r="N365" s="1588">
        <v>0</v>
      </c>
      <c r="O365" s="1588">
        <v>0</v>
      </c>
      <c r="P365" s="1588">
        <v>0</v>
      </c>
      <c r="Q365" s="1588">
        <v>0</v>
      </c>
      <c r="R365" s="1588">
        <v>0</v>
      </c>
      <c r="S365" s="1588">
        <v>0</v>
      </c>
      <c r="T365" s="1588">
        <v>0</v>
      </c>
      <c r="U365" s="1588">
        <v>0</v>
      </c>
      <c r="V365" s="1588">
        <v>0</v>
      </c>
      <c r="W365" s="1588">
        <v>0</v>
      </c>
      <c r="X365" s="1588">
        <v>0</v>
      </c>
      <c r="Y365" s="1588">
        <v>0</v>
      </c>
      <c r="Z365" s="1588">
        <v>0</v>
      </c>
      <c r="AA365" s="1588">
        <v>0</v>
      </c>
      <c r="AB365" s="1588">
        <v>0</v>
      </c>
      <c r="AC365" s="1588">
        <v>0</v>
      </c>
      <c r="AD365" s="1588">
        <v>0</v>
      </c>
      <c r="AE365" s="1588">
        <v>0</v>
      </c>
      <c r="AF365" s="1588">
        <v>0</v>
      </c>
      <c r="AG365" s="1588">
        <v>0</v>
      </c>
      <c r="AH365" s="1588">
        <v>0</v>
      </c>
      <c r="AI365" s="1588">
        <v>0</v>
      </c>
      <c r="AJ365" s="1588">
        <v>0</v>
      </c>
      <c r="AK365" s="1588">
        <v>0</v>
      </c>
      <c r="AL365" s="1588">
        <v>0</v>
      </c>
      <c r="AM365" s="1588">
        <v>0</v>
      </c>
      <c r="AN365" s="1588">
        <v>0</v>
      </c>
      <c r="AO365" s="1588">
        <v>0</v>
      </c>
      <c r="AP365" s="1588">
        <v>0</v>
      </c>
      <c r="AQ365" s="1588">
        <v>0</v>
      </c>
      <c r="AR365" s="1588">
        <v>0</v>
      </c>
      <c r="AS365" s="1588">
        <v>0</v>
      </c>
      <c r="AT365" s="1588">
        <v>0</v>
      </c>
      <c r="AU365" s="1588">
        <v>0</v>
      </c>
      <c r="AV365" s="1588">
        <v>0</v>
      </c>
      <c r="AW365" s="1588">
        <v>0</v>
      </c>
      <c r="AX365" s="1588">
        <v>0</v>
      </c>
      <c r="AY365" s="1588">
        <v>0</v>
      </c>
      <c r="AZ365" s="1588">
        <v>0</v>
      </c>
      <c r="BA365" s="1588">
        <v>0</v>
      </c>
      <c r="BB365" s="1588">
        <v>0</v>
      </c>
      <c r="BC365" s="1588">
        <v>0</v>
      </c>
      <c r="BD365" s="1588">
        <v>0</v>
      </c>
      <c r="BE365" s="1589">
        <v>0</v>
      </c>
      <c r="BF365" s="695"/>
    </row>
    <row r="366" spans="1:58" x14ac:dyDescent="0.45">
      <c r="A366" s="695"/>
      <c r="B366" s="836"/>
      <c r="C366" s="844" t="str">
        <f>'II. Inputs, Baseline Energy Mix'!$E$91</f>
        <v xml:space="preserve">Annual Political Risk Insurance Premium </v>
      </c>
      <c r="D366" s="844"/>
      <c r="E366" s="844"/>
      <c r="F366" s="844"/>
      <c r="G366" s="1011"/>
      <c r="H366" s="1590">
        <f>IF(H$292&gt;$G$360,0,($G$359*$G$362/10000))</f>
        <v>0</v>
      </c>
      <c r="I366" s="1590">
        <f t="shared" ref="I366:BE366" si="136">IF(I$292&gt;$G$360,0,($G$359*$G$362/10000))</f>
        <v>0</v>
      </c>
      <c r="J366" s="1590">
        <f t="shared" si="136"/>
        <v>0</v>
      </c>
      <c r="K366" s="1590">
        <f t="shared" si="136"/>
        <v>0</v>
      </c>
      <c r="L366" s="1590">
        <f t="shared" si="136"/>
        <v>0</v>
      </c>
      <c r="M366" s="1590">
        <f t="shared" si="136"/>
        <v>0</v>
      </c>
      <c r="N366" s="1590">
        <f t="shared" si="136"/>
        <v>0</v>
      </c>
      <c r="O366" s="1590">
        <f t="shared" si="136"/>
        <v>0</v>
      </c>
      <c r="P366" s="1590">
        <f t="shared" si="136"/>
        <v>0</v>
      </c>
      <c r="Q366" s="1590">
        <f t="shared" si="136"/>
        <v>0</v>
      </c>
      <c r="R366" s="1590">
        <f t="shared" si="136"/>
        <v>0</v>
      </c>
      <c r="S366" s="1590">
        <f t="shared" si="136"/>
        <v>0</v>
      </c>
      <c r="T366" s="1590">
        <f t="shared" si="136"/>
        <v>0</v>
      </c>
      <c r="U366" s="1590">
        <f t="shared" si="136"/>
        <v>0</v>
      </c>
      <c r="V366" s="1590">
        <f t="shared" si="136"/>
        <v>0</v>
      </c>
      <c r="W366" s="1590">
        <f t="shared" si="136"/>
        <v>0</v>
      </c>
      <c r="X366" s="1590">
        <f t="shared" si="136"/>
        <v>0</v>
      </c>
      <c r="Y366" s="1590">
        <f t="shared" si="136"/>
        <v>0</v>
      </c>
      <c r="Z366" s="1590">
        <f t="shared" si="136"/>
        <v>0</v>
      </c>
      <c r="AA366" s="1590">
        <f t="shared" si="136"/>
        <v>0</v>
      </c>
      <c r="AB366" s="1590">
        <f t="shared" si="136"/>
        <v>0</v>
      </c>
      <c r="AC366" s="1590">
        <f t="shared" si="136"/>
        <v>0</v>
      </c>
      <c r="AD366" s="1590">
        <f t="shared" si="136"/>
        <v>0</v>
      </c>
      <c r="AE366" s="1590">
        <f t="shared" si="136"/>
        <v>0</v>
      </c>
      <c r="AF366" s="1590">
        <f t="shared" si="136"/>
        <v>0</v>
      </c>
      <c r="AG366" s="1590">
        <f t="shared" si="136"/>
        <v>0</v>
      </c>
      <c r="AH366" s="1590">
        <f t="shared" si="136"/>
        <v>0</v>
      </c>
      <c r="AI366" s="1590">
        <f t="shared" si="136"/>
        <v>0</v>
      </c>
      <c r="AJ366" s="1590">
        <f t="shared" si="136"/>
        <v>0</v>
      </c>
      <c r="AK366" s="1590">
        <f t="shared" si="136"/>
        <v>0</v>
      </c>
      <c r="AL366" s="1590">
        <f t="shared" si="136"/>
        <v>0</v>
      </c>
      <c r="AM366" s="1590">
        <f t="shared" si="136"/>
        <v>0</v>
      </c>
      <c r="AN366" s="1590">
        <f t="shared" si="136"/>
        <v>0</v>
      </c>
      <c r="AO366" s="1590">
        <f t="shared" si="136"/>
        <v>0</v>
      </c>
      <c r="AP366" s="1590">
        <f t="shared" si="136"/>
        <v>0</v>
      </c>
      <c r="AQ366" s="1590">
        <f t="shared" si="136"/>
        <v>0</v>
      </c>
      <c r="AR366" s="1590">
        <f t="shared" si="136"/>
        <v>0</v>
      </c>
      <c r="AS366" s="1590">
        <f t="shared" si="136"/>
        <v>0</v>
      </c>
      <c r="AT366" s="1590">
        <f t="shared" si="136"/>
        <v>0</v>
      </c>
      <c r="AU366" s="1590">
        <f t="shared" si="136"/>
        <v>0</v>
      </c>
      <c r="AV366" s="1590">
        <f t="shared" si="136"/>
        <v>0</v>
      </c>
      <c r="AW366" s="1590">
        <f t="shared" si="136"/>
        <v>0</v>
      </c>
      <c r="AX366" s="1590">
        <f t="shared" si="136"/>
        <v>0</v>
      </c>
      <c r="AY366" s="1590">
        <f t="shared" si="136"/>
        <v>0</v>
      </c>
      <c r="AZ366" s="1590">
        <f t="shared" si="136"/>
        <v>0</v>
      </c>
      <c r="BA366" s="1590">
        <f t="shared" si="136"/>
        <v>0</v>
      </c>
      <c r="BB366" s="1590">
        <f t="shared" si="136"/>
        <v>0</v>
      </c>
      <c r="BC366" s="1590">
        <f t="shared" si="136"/>
        <v>0</v>
      </c>
      <c r="BD366" s="1590">
        <f t="shared" si="136"/>
        <v>0</v>
      </c>
      <c r="BE366" s="1591">
        <f t="shared" si="136"/>
        <v>0</v>
      </c>
      <c r="BF366" s="695"/>
    </row>
    <row r="367" spans="1:58" x14ac:dyDescent="0.45">
      <c r="A367" s="695"/>
      <c r="B367" s="836"/>
      <c r="C367" s="837" t="s">
        <v>78</v>
      </c>
      <c r="D367" s="837"/>
      <c r="E367" s="837"/>
      <c r="F367" s="837"/>
      <c r="G367" s="1002"/>
      <c r="H367" s="1588">
        <f>H365+H366</f>
        <v>0</v>
      </c>
      <c r="I367" s="1588">
        <f t="shared" ref="I367:AD367" si="137">I365+I366</f>
        <v>0</v>
      </c>
      <c r="J367" s="1588">
        <f t="shared" si="137"/>
        <v>0</v>
      </c>
      <c r="K367" s="1588">
        <f t="shared" si="137"/>
        <v>0</v>
      </c>
      <c r="L367" s="1588">
        <f t="shared" si="137"/>
        <v>0</v>
      </c>
      <c r="M367" s="1588">
        <f t="shared" si="137"/>
        <v>0</v>
      </c>
      <c r="N367" s="1588">
        <f t="shared" si="137"/>
        <v>0</v>
      </c>
      <c r="O367" s="1588">
        <f t="shared" si="137"/>
        <v>0</v>
      </c>
      <c r="P367" s="1588">
        <f t="shared" si="137"/>
        <v>0</v>
      </c>
      <c r="Q367" s="1588">
        <f t="shared" si="137"/>
        <v>0</v>
      </c>
      <c r="R367" s="1588">
        <f t="shared" si="137"/>
        <v>0</v>
      </c>
      <c r="S367" s="1588">
        <f t="shared" si="137"/>
        <v>0</v>
      </c>
      <c r="T367" s="1588">
        <f t="shared" si="137"/>
        <v>0</v>
      </c>
      <c r="U367" s="1588">
        <f t="shared" si="137"/>
        <v>0</v>
      </c>
      <c r="V367" s="1588">
        <f t="shared" si="137"/>
        <v>0</v>
      </c>
      <c r="W367" s="1588">
        <f t="shared" si="137"/>
        <v>0</v>
      </c>
      <c r="X367" s="1588">
        <f t="shared" si="137"/>
        <v>0</v>
      </c>
      <c r="Y367" s="1588">
        <f t="shared" si="137"/>
        <v>0</v>
      </c>
      <c r="Z367" s="1588">
        <f t="shared" si="137"/>
        <v>0</v>
      </c>
      <c r="AA367" s="1588">
        <f t="shared" si="137"/>
        <v>0</v>
      </c>
      <c r="AB367" s="1588">
        <f t="shared" si="137"/>
        <v>0</v>
      </c>
      <c r="AC367" s="1588">
        <f t="shared" si="137"/>
        <v>0</v>
      </c>
      <c r="AD367" s="1588">
        <f t="shared" si="137"/>
        <v>0</v>
      </c>
      <c r="AE367" s="1588">
        <f t="shared" ref="AE367:BE367" si="138">AE365+AE366</f>
        <v>0</v>
      </c>
      <c r="AF367" s="1588">
        <f t="shared" si="138"/>
        <v>0</v>
      </c>
      <c r="AG367" s="1588">
        <f t="shared" si="138"/>
        <v>0</v>
      </c>
      <c r="AH367" s="1588">
        <f t="shared" si="138"/>
        <v>0</v>
      </c>
      <c r="AI367" s="1588">
        <f t="shared" si="138"/>
        <v>0</v>
      </c>
      <c r="AJ367" s="1588">
        <f t="shared" si="138"/>
        <v>0</v>
      </c>
      <c r="AK367" s="1588">
        <f t="shared" si="138"/>
        <v>0</v>
      </c>
      <c r="AL367" s="1588">
        <f t="shared" si="138"/>
        <v>0</v>
      </c>
      <c r="AM367" s="1588">
        <f t="shared" si="138"/>
        <v>0</v>
      </c>
      <c r="AN367" s="1588">
        <f t="shared" si="138"/>
        <v>0</v>
      </c>
      <c r="AO367" s="1588">
        <f t="shared" si="138"/>
        <v>0</v>
      </c>
      <c r="AP367" s="1588">
        <f t="shared" si="138"/>
        <v>0</v>
      </c>
      <c r="AQ367" s="1588">
        <f t="shared" si="138"/>
        <v>0</v>
      </c>
      <c r="AR367" s="1588">
        <f t="shared" si="138"/>
        <v>0</v>
      </c>
      <c r="AS367" s="1588">
        <f t="shared" si="138"/>
        <v>0</v>
      </c>
      <c r="AT367" s="1588">
        <f t="shared" si="138"/>
        <v>0</v>
      </c>
      <c r="AU367" s="1588">
        <f t="shared" si="138"/>
        <v>0</v>
      </c>
      <c r="AV367" s="1588">
        <f t="shared" si="138"/>
        <v>0</v>
      </c>
      <c r="AW367" s="1588">
        <f t="shared" si="138"/>
        <v>0</v>
      </c>
      <c r="AX367" s="1588">
        <f t="shared" si="138"/>
        <v>0</v>
      </c>
      <c r="AY367" s="1588">
        <f t="shared" si="138"/>
        <v>0</v>
      </c>
      <c r="AZ367" s="1588">
        <f t="shared" si="138"/>
        <v>0</v>
      </c>
      <c r="BA367" s="1588">
        <f t="shared" si="138"/>
        <v>0</v>
      </c>
      <c r="BB367" s="1588">
        <f t="shared" si="138"/>
        <v>0</v>
      </c>
      <c r="BC367" s="1588">
        <f t="shared" si="138"/>
        <v>0</v>
      </c>
      <c r="BD367" s="1588">
        <f t="shared" si="138"/>
        <v>0</v>
      </c>
      <c r="BE367" s="1589">
        <f t="shared" si="138"/>
        <v>0</v>
      </c>
      <c r="BF367" s="695"/>
    </row>
    <row r="368" spans="1:58" ht="13.15" thickBot="1" x14ac:dyDescent="0.5">
      <c r="A368" s="695"/>
      <c r="B368" s="1012"/>
      <c r="C368" s="858"/>
      <c r="D368" s="858"/>
      <c r="E368" s="858"/>
      <c r="F368" s="858"/>
      <c r="G368" s="1013"/>
      <c r="H368" s="1013"/>
      <c r="I368" s="1013"/>
      <c r="J368" s="1013"/>
      <c r="K368" s="1013"/>
      <c r="L368" s="1013"/>
      <c r="M368" s="1013"/>
      <c r="N368" s="1013"/>
      <c r="O368" s="1013"/>
      <c r="P368" s="1013"/>
      <c r="Q368" s="1013"/>
      <c r="R368" s="1013"/>
      <c r="S368" s="1013"/>
      <c r="T368" s="1013"/>
      <c r="U368" s="1013"/>
      <c r="V368" s="1013"/>
      <c r="W368" s="1013"/>
      <c r="X368" s="1013"/>
      <c r="Y368" s="1013"/>
      <c r="Z368" s="1013"/>
      <c r="AA368" s="1013"/>
      <c r="AB368" s="1013"/>
      <c r="AC368" s="1013"/>
      <c r="AD368" s="1013"/>
      <c r="AE368" s="1013"/>
      <c r="AF368" s="1013"/>
      <c r="AG368" s="1013"/>
      <c r="AH368" s="1013"/>
      <c r="AI368" s="1013"/>
      <c r="AJ368" s="1013"/>
      <c r="AK368" s="1013"/>
      <c r="AL368" s="1013"/>
      <c r="AM368" s="1013"/>
      <c r="AN368" s="1013"/>
      <c r="AO368" s="1013"/>
      <c r="AP368" s="1013"/>
      <c r="AQ368" s="1013"/>
      <c r="AR368" s="1013"/>
      <c r="AS368" s="1013"/>
      <c r="AT368" s="1013"/>
      <c r="AU368" s="1013"/>
      <c r="AV368" s="1013"/>
      <c r="AW368" s="1013"/>
      <c r="AX368" s="1013"/>
      <c r="AY368" s="1013"/>
      <c r="AZ368" s="1013"/>
      <c r="BA368" s="1013"/>
      <c r="BB368" s="1013"/>
      <c r="BC368" s="1013"/>
      <c r="BD368" s="1013"/>
      <c r="BE368" s="1014"/>
      <c r="BF368" s="695"/>
    </row>
    <row r="369" spans="1:58" ht="13.15" thickBot="1" x14ac:dyDescent="0.5">
      <c r="A369" s="695"/>
      <c r="B369" s="695"/>
      <c r="C369" s="695"/>
      <c r="D369" s="695"/>
      <c r="E369" s="695"/>
      <c r="F369" s="695"/>
      <c r="G369" s="695"/>
      <c r="H369" s="695"/>
      <c r="I369" s="695"/>
      <c r="J369" s="695"/>
      <c r="K369" s="695"/>
      <c r="L369" s="695"/>
      <c r="M369" s="695"/>
      <c r="N369" s="695"/>
      <c r="O369" s="695"/>
      <c r="P369" s="695"/>
      <c r="Q369" s="695"/>
      <c r="R369" s="695"/>
      <c r="S369" s="695"/>
      <c r="T369" s="695"/>
      <c r="U369" s="695"/>
      <c r="V369" s="695"/>
      <c r="W369" s="695"/>
      <c r="X369" s="695"/>
      <c r="Y369" s="695"/>
      <c r="Z369" s="695"/>
      <c r="AA369" s="695"/>
      <c r="AB369" s="695"/>
      <c r="AC369" s="695"/>
      <c r="AD369" s="695"/>
      <c r="AE369" s="695"/>
      <c r="AF369" s="695"/>
      <c r="AG369" s="695"/>
      <c r="AH369" s="695"/>
      <c r="AI369" s="695"/>
      <c r="AJ369" s="695"/>
      <c r="AK369" s="695"/>
      <c r="AL369" s="695"/>
      <c r="AM369" s="695"/>
      <c r="AN369" s="695"/>
      <c r="AO369" s="695"/>
      <c r="AP369" s="695"/>
      <c r="AQ369" s="695"/>
      <c r="AR369" s="695"/>
      <c r="AS369" s="695"/>
      <c r="AT369" s="695"/>
      <c r="AU369" s="695"/>
      <c r="AV369" s="695"/>
      <c r="AW369" s="695"/>
      <c r="AX369" s="695"/>
      <c r="AY369" s="695"/>
      <c r="AZ369" s="695"/>
      <c r="BA369" s="695"/>
      <c r="BB369" s="695"/>
      <c r="BC369" s="695"/>
      <c r="BD369" s="695"/>
      <c r="BE369" s="695"/>
      <c r="BF369" s="695"/>
    </row>
    <row r="370" spans="1:58" s="479" customFormat="1" ht="13.15" x14ac:dyDescent="0.45">
      <c r="A370" s="704"/>
      <c r="B370" s="860" t="str">
        <f>$B$60</f>
        <v>Technology #2</v>
      </c>
      <c r="C370" s="861"/>
      <c r="D370" s="861"/>
      <c r="E370" s="861"/>
      <c r="F370" s="861"/>
      <c r="G370" s="1015"/>
      <c r="H370" s="1015"/>
      <c r="I370" s="1015"/>
      <c r="J370" s="1015"/>
      <c r="K370" s="1015"/>
      <c r="L370" s="1015"/>
      <c r="M370" s="1015"/>
      <c r="N370" s="1015"/>
      <c r="O370" s="1015"/>
      <c r="P370" s="1015"/>
      <c r="Q370" s="1015"/>
      <c r="R370" s="1015"/>
      <c r="S370" s="1015"/>
      <c r="T370" s="1015"/>
      <c r="U370" s="1015"/>
      <c r="V370" s="1015"/>
      <c r="W370" s="1015"/>
      <c r="X370" s="1015"/>
      <c r="Y370" s="1015"/>
      <c r="Z370" s="1015"/>
      <c r="AA370" s="1015"/>
      <c r="AB370" s="1015"/>
      <c r="AC370" s="1015"/>
      <c r="AD370" s="1015"/>
      <c r="AE370" s="1015"/>
      <c r="AF370" s="1015"/>
      <c r="AG370" s="1015"/>
      <c r="AH370" s="1015"/>
      <c r="AI370" s="1015"/>
      <c r="AJ370" s="1015"/>
      <c r="AK370" s="1015"/>
      <c r="AL370" s="1015"/>
      <c r="AM370" s="1015"/>
      <c r="AN370" s="1015"/>
      <c r="AO370" s="1015"/>
      <c r="AP370" s="1015"/>
      <c r="AQ370" s="1015"/>
      <c r="AR370" s="1015"/>
      <c r="AS370" s="1015"/>
      <c r="AT370" s="1015"/>
      <c r="AU370" s="1015"/>
      <c r="AV370" s="1015"/>
      <c r="AW370" s="1015"/>
      <c r="AX370" s="1015"/>
      <c r="AY370" s="1015"/>
      <c r="AZ370" s="1015"/>
      <c r="BA370" s="1015"/>
      <c r="BB370" s="1015"/>
      <c r="BC370" s="1015"/>
      <c r="BD370" s="1015"/>
      <c r="BE370" s="1016"/>
      <c r="BF370" s="704"/>
    </row>
    <row r="371" spans="1:58" x14ac:dyDescent="0.45">
      <c r="A371" s="695"/>
      <c r="B371" s="863"/>
      <c r="C371" s="864"/>
      <c r="D371" s="864"/>
      <c r="E371" s="864"/>
      <c r="F371" s="864"/>
      <c r="G371" s="1017"/>
      <c r="H371" s="1017"/>
      <c r="I371" s="1017"/>
      <c r="J371" s="1017"/>
      <c r="K371" s="1017"/>
      <c r="L371" s="1017"/>
      <c r="M371" s="1017"/>
      <c r="N371" s="1017"/>
      <c r="O371" s="1017"/>
      <c r="P371" s="1017"/>
      <c r="Q371" s="1017"/>
      <c r="R371" s="1017"/>
      <c r="S371" s="1017"/>
      <c r="T371" s="1017"/>
      <c r="U371" s="1017"/>
      <c r="V371" s="1017"/>
      <c r="W371" s="1017"/>
      <c r="X371" s="1017"/>
      <c r="Y371" s="1017"/>
      <c r="Z371" s="1017"/>
      <c r="AA371" s="1017"/>
      <c r="AB371" s="1017"/>
      <c r="AC371" s="1017"/>
      <c r="AD371" s="1017"/>
      <c r="AE371" s="1017"/>
      <c r="AF371" s="1017"/>
      <c r="AG371" s="1017"/>
      <c r="AH371" s="1017"/>
      <c r="AI371" s="1017"/>
      <c r="AJ371" s="1017"/>
      <c r="AK371" s="1017"/>
      <c r="AL371" s="1017"/>
      <c r="AM371" s="1017"/>
      <c r="AN371" s="1017"/>
      <c r="AO371" s="1017"/>
      <c r="AP371" s="1017"/>
      <c r="AQ371" s="1017"/>
      <c r="AR371" s="1017"/>
      <c r="AS371" s="1017"/>
      <c r="AT371" s="1017"/>
      <c r="AU371" s="1017"/>
      <c r="AV371" s="1017"/>
      <c r="AW371" s="1017"/>
      <c r="AX371" s="1017"/>
      <c r="AY371" s="1017"/>
      <c r="AZ371" s="1017"/>
      <c r="BA371" s="1017"/>
      <c r="BB371" s="1017"/>
      <c r="BC371" s="1017"/>
      <c r="BD371" s="1017"/>
      <c r="BE371" s="1018"/>
      <c r="BF371" s="695"/>
    </row>
    <row r="372" spans="1:58" ht="13.15" x14ac:dyDescent="0.45">
      <c r="A372" s="695"/>
      <c r="B372" s="876" t="s">
        <v>220</v>
      </c>
      <c r="C372" s="864"/>
      <c r="D372" s="864"/>
      <c r="E372" s="864"/>
      <c r="F372" s="864"/>
      <c r="G372" s="1017"/>
      <c r="H372" s="1017"/>
      <c r="I372" s="1017"/>
      <c r="J372" s="1017"/>
      <c r="K372" s="1017"/>
      <c r="L372" s="1017"/>
      <c r="M372" s="1017"/>
      <c r="N372" s="1017"/>
      <c r="O372" s="1017"/>
      <c r="P372" s="1017"/>
      <c r="Q372" s="1017"/>
      <c r="R372" s="1017"/>
      <c r="S372" s="1017"/>
      <c r="T372" s="1017"/>
      <c r="U372" s="1017"/>
      <c r="V372" s="1017"/>
      <c r="W372" s="1017"/>
      <c r="X372" s="1017"/>
      <c r="Y372" s="1017"/>
      <c r="Z372" s="1017"/>
      <c r="AA372" s="1017"/>
      <c r="AB372" s="1017"/>
      <c r="AC372" s="1017"/>
      <c r="AD372" s="1017"/>
      <c r="AE372" s="1017"/>
      <c r="AF372" s="1017"/>
      <c r="AG372" s="1017"/>
      <c r="AH372" s="1017"/>
      <c r="AI372" s="1017"/>
      <c r="AJ372" s="1017"/>
      <c r="AK372" s="1017"/>
      <c r="AL372" s="1017"/>
      <c r="AM372" s="1017"/>
      <c r="AN372" s="1017"/>
      <c r="AO372" s="1017"/>
      <c r="AP372" s="1017"/>
      <c r="AQ372" s="1017"/>
      <c r="AR372" s="1017"/>
      <c r="AS372" s="1017"/>
      <c r="AT372" s="1017"/>
      <c r="AU372" s="1017"/>
      <c r="AV372" s="1017"/>
      <c r="AW372" s="1017"/>
      <c r="AX372" s="1017"/>
      <c r="AY372" s="1017"/>
      <c r="AZ372" s="1017"/>
      <c r="BA372" s="1017"/>
      <c r="BB372" s="1017"/>
      <c r="BC372" s="1017"/>
      <c r="BD372" s="1017"/>
      <c r="BE372" s="1018"/>
      <c r="BF372" s="695"/>
    </row>
    <row r="373" spans="1:58" x14ac:dyDescent="0.45">
      <c r="A373" s="695"/>
      <c r="B373" s="863"/>
      <c r="C373" s="1019" t="s">
        <v>61</v>
      </c>
      <c r="D373" s="867" t="s">
        <v>748</v>
      </c>
      <c r="E373" s="864"/>
      <c r="F373" s="864"/>
      <c r="G373" s="1592">
        <f>IF('II. Inputs, Baseline Energy Mix'!$O$19&gt;0,('II. Inputs, Baseline Energy Mix'!$O$20*'II. Inputs, Baseline Energy Mix'!$O$21*'II. Inputs, Baseline Energy Mix'!$O$36*'II. Inputs, Baseline Energy Mix'!$O$38),0)</f>
        <v>0</v>
      </c>
      <c r="H373" s="1017"/>
      <c r="I373" s="1017"/>
      <c r="J373" s="1017"/>
      <c r="K373" s="1017"/>
      <c r="L373" s="1017"/>
      <c r="M373" s="1017"/>
      <c r="N373" s="1017"/>
      <c r="O373" s="1017"/>
      <c r="P373" s="1017"/>
      <c r="Q373" s="1017"/>
      <c r="R373" s="1017"/>
      <c r="S373" s="1017"/>
      <c r="T373" s="1017"/>
      <c r="U373" s="1017"/>
      <c r="V373" s="1017"/>
      <c r="W373" s="1017"/>
      <c r="X373" s="1017"/>
      <c r="Y373" s="1017"/>
      <c r="Z373" s="1017"/>
      <c r="AA373" s="1017"/>
      <c r="AB373" s="1017"/>
      <c r="AC373" s="1017"/>
      <c r="AD373" s="1017"/>
      <c r="AE373" s="1017"/>
      <c r="AF373" s="1017"/>
      <c r="AG373" s="1017"/>
      <c r="AH373" s="1017"/>
      <c r="AI373" s="1017"/>
      <c r="AJ373" s="1017"/>
      <c r="AK373" s="1017"/>
      <c r="AL373" s="1017"/>
      <c r="AM373" s="1017"/>
      <c r="AN373" s="1017"/>
      <c r="AO373" s="1017"/>
      <c r="AP373" s="1017"/>
      <c r="AQ373" s="1017"/>
      <c r="AR373" s="1017"/>
      <c r="AS373" s="1017"/>
      <c r="AT373" s="1017"/>
      <c r="AU373" s="1017"/>
      <c r="AV373" s="1017"/>
      <c r="AW373" s="1017"/>
      <c r="AX373" s="1017"/>
      <c r="AY373" s="1017"/>
      <c r="AZ373" s="1017"/>
      <c r="BA373" s="1017"/>
      <c r="BB373" s="1017"/>
      <c r="BC373" s="1017"/>
      <c r="BD373" s="1017"/>
      <c r="BE373" s="1018"/>
      <c r="BF373" s="695"/>
    </row>
    <row r="374" spans="1:58" x14ac:dyDescent="0.45">
      <c r="A374" s="695"/>
      <c r="B374" s="863"/>
      <c r="C374" s="1019" t="s">
        <v>62</v>
      </c>
      <c r="D374" s="867" t="s">
        <v>18</v>
      </c>
      <c r="E374" s="864"/>
      <c r="F374" s="864"/>
      <c r="G374" s="1020">
        <f>SUM('II. Inputs, Baseline Energy Mix'!$O$77)</f>
        <v>0</v>
      </c>
      <c r="H374" s="1017"/>
      <c r="I374" s="1017"/>
      <c r="J374" s="1017"/>
      <c r="K374" s="1017"/>
      <c r="L374" s="1017"/>
      <c r="M374" s="1017"/>
      <c r="N374" s="1017"/>
      <c r="O374" s="1017"/>
      <c r="P374" s="1017"/>
      <c r="Q374" s="1017"/>
      <c r="R374" s="1017"/>
      <c r="S374" s="1017"/>
      <c r="T374" s="1017"/>
      <c r="U374" s="1017"/>
      <c r="V374" s="1017"/>
      <c r="W374" s="1017"/>
      <c r="X374" s="1017"/>
      <c r="Y374" s="1017"/>
      <c r="Z374" s="1017"/>
      <c r="AA374" s="1017"/>
      <c r="AB374" s="1017"/>
      <c r="AC374" s="1017"/>
      <c r="AD374" s="1017"/>
      <c r="AE374" s="1017"/>
      <c r="AF374" s="1017"/>
      <c r="AG374" s="1017"/>
      <c r="AH374" s="1017"/>
      <c r="AI374" s="1017"/>
      <c r="AJ374" s="1017"/>
      <c r="AK374" s="1017"/>
      <c r="AL374" s="1017"/>
      <c r="AM374" s="1017"/>
      <c r="AN374" s="1017"/>
      <c r="AO374" s="1017"/>
      <c r="AP374" s="1017"/>
      <c r="AQ374" s="1017"/>
      <c r="AR374" s="1017"/>
      <c r="AS374" s="1017"/>
      <c r="AT374" s="1017"/>
      <c r="AU374" s="1017"/>
      <c r="AV374" s="1017"/>
      <c r="AW374" s="1017"/>
      <c r="AX374" s="1017"/>
      <c r="AY374" s="1017"/>
      <c r="AZ374" s="1017"/>
      <c r="BA374" s="1017"/>
      <c r="BB374" s="1017"/>
      <c r="BC374" s="1017"/>
      <c r="BD374" s="1017"/>
      <c r="BE374" s="1018"/>
      <c r="BF374" s="695"/>
    </row>
    <row r="375" spans="1:58" x14ac:dyDescent="0.45">
      <c r="A375" s="695"/>
      <c r="B375" s="863"/>
      <c r="C375" s="1019" t="s">
        <v>63</v>
      </c>
      <c r="D375" s="867" t="s">
        <v>14</v>
      </c>
      <c r="E375" s="864"/>
      <c r="F375" s="864"/>
      <c r="G375" s="1021">
        <f>SUM('II. Inputs, Baseline Energy Mix'!$O$76)</f>
        <v>0</v>
      </c>
      <c r="H375" s="1017"/>
      <c r="I375" s="1017"/>
      <c r="J375" s="1017"/>
      <c r="K375" s="1017"/>
      <c r="L375" s="1017"/>
      <c r="M375" s="1017"/>
      <c r="N375" s="1017"/>
      <c r="O375" s="1017"/>
      <c r="P375" s="1017"/>
      <c r="Q375" s="1017"/>
      <c r="R375" s="1017"/>
      <c r="S375" s="1017"/>
      <c r="T375" s="1017"/>
      <c r="U375" s="1017"/>
      <c r="V375" s="1017"/>
      <c r="W375" s="1017"/>
      <c r="X375" s="1017"/>
      <c r="Y375" s="1017"/>
      <c r="Z375" s="1017"/>
      <c r="AA375" s="1017"/>
      <c r="AB375" s="1017"/>
      <c r="AC375" s="1017"/>
      <c r="AD375" s="1017"/>
      <c r="AE375" s="1017"/>
      <c r="AF375" s="1017"/>
      <c r="AG375" s="1017"/>
      <c r="AH375" s="1017"/>
      <c r="AI375" s="1017"/>
      <c r="AJ375" s="1017"/>
      <c r="AK375" s="1017"/>
      <c r="AL375" s="1017"/>
      <c r="AM375" s="1017"/>
      <c r="AN375" s="1017"/>
      <c r="AO375" s="1017"/>
      <c r="AP375" s="1017"/>
      <c r="AQ375" s="1017"/>
      <c r="AR375" s="1017"/>
      <c r="AS375" s="1017"/>
      <c r="AT375" s="1017"/>
      <c r="AU375" s="1017"/>
      <c r="AV375" s="1017"/>
      <c r="AW375" s="1017"/>
      <c r="AX375" s="1017"/>
      <c r="AY375" s="1017"/>
      <c r="AZ375" s="1017"/>
      <c r="BA375" s="1017"/>
      <c r="BB375" s="1017"/>
      <c r="BC375" s="1017"/>
      <c r="BD375" s="1017"/>
      <c r="BE375" s="1018"/>
      <c r="BF375" s="695"/>
    </row>
    <row r="376" spans="1:58" x14ac:dyDescent="0.45">
      <c r="A376" s="695"/>
      <c r="B376" s="863"/>
      <c r="C376" s="864"/>
      <c r="D376" s="864"/>
      <c r="E376" s="864"/>
      <c r="F376" s="864"/>
      <c r="G376" s="1017"/>
      <c r="H376" s="1017"/>
      <c r="I376" s="1017"/>
      <c r="J376" s="1017"/>
      <c r="K376" s="1017"/>
      <c r="L376" s="1017"/>
      <c r="M376" s="1017"/>
      <c r="N376" s="1017"/>
      <c r="O376" s="1017"/>
      <c r="P376" s="1017"/>
      <c r="Q376" s="1017"/>
      <c r="R376" s="1017"/>
      <c r="S376" s="1017"/>
      <c r="T376" s="1017"/>
      <c r="U376" s="1017"/>
      <c r="V376" s="1017"/>
      <c r="W376" s="1017"/>
      <c r="X376" s="1017"/>
      <c r="Y376" s="1017"/>
      <c r="Z376" s="1017"/>
      <c r="AA376" s="1017"/>
      <c r="AB376" s="1017"/>
      <c r="AC376" s="1017"/>
      <c r="AD376" s="1017"/>
      <c r="AE376" s="1017"/>
      <c r="AF376" s="1017"/>
      <c r="AG376" s="1017"/>
      <c r="AH376" s="1017"/>
      <c r="AI376" s="1017"/>
      <c r="AJ376" s="1017"/>
      <c r="AK376" s="1017"/>
      <c r="AL376" s="1017"/>
      <c r="AM376" s="1017"/>
      <c r="AN376" s="1017"/>
      <c r="AO376" s="1017"/>
      <c r="AP376" s="1017"/>
      <c r="AQ376" s="1017"/>
      <c r="AR376" s="1017"/>
      <c r="AS376" s="1017"/>
      <c r="AT376" s="1017"/>
      <c r="AU376" s="1017"/>
      <c r="AV376" s="1017"/>
      <c r="AW376" s="1017"/>
      <c r="AX376" s="1017"/>
      <c r="AY376" s="1017"/>
      <c r="AZ376" s="1017"/>
      <c r="BA376" s="1017"/>
      <c r="BB376" s="1017"/>
      <c r="BC376" s="1017"/>
      <c r="BD376" s="1017"/>
      <c r="BE376" s="1018"/>
      <c r="BF376" s="695"/>
    </row>
    <row r="377" spans="1:58" x14ac:dyDescent="0.45">
      <c r="A377" s="695"/>
      <c r="B377" s="863"/>
      <c r="C377" s="1022" t="s">
        <v>60</v>
      </c>
      <c r="D377" s="864"/>
      <c r="E377" s="864"/>
      <c r="F377" s="864"/>
      <c r="G377" s="1592"/>
      <c r="H377" s="1592"/>
      <c r="I377" s="1592"/>
      <c r="J377" s="1592"/>
      <c r="K377" s="1592"/>
      <c r="L377" s="1592"/>
      <c r="M377" s="1592"/>
      <c r="N377" s="1592"/>
      <c r="O377" s="1592"/>
      <c r="P377" s="1592"/>
      <c r="Q377" s="1592"/>
      <c r="R377" s="1592"/>
      <c r="S377" s="1592"/>
      <c r="T377" s="1592"/>
      <c r="U377" s="1592"/>
      <c r="V377" s="1592"/>
      <c r="W377" s="1592"/>
      <c r="X377" s="1592"/>
      <c r="Y377" s="1592"/>
      <c r="Z377" s="1592"/>
      <c r="AA377" s="1592"/>
      <c r="AB377" s="1592"/>
      <c r="AC377" s="1592"/>
      <c r="AD377" s="1592"/>
      <c r="AE377" s="1592"/>
      <c r="AF377" s="1592"/>
      <c r="AG377" s="1592"/>
      <c r="AH377" s="1592"/>
      <c r="AI377" s="1592"/>
      <c r="AJ377" s="1592"/>
      <c r="AK377" s="1592"/>
      <c r="AL377" s="1592"/>
      <c r="AM377" s="1592"/>
      <c r="AN377" s="1592"/>
      <c r="AO377" s="1592"/>
      <c r="AP377" s="1592"/>
      <c r="AQ377" s="1592"/>
      <c r="AR377" s="1592"/>
      <c r="AS377" s="1592"/>
      <c r="AT377" s="1592"/>
      <c r="AU377" s="1592"/>
      <c r="AV377" s="1592"/>
      <c r="AW377" s="1592"/>
      <c r="AX377" s="1592"/>
      <c r="AY377" s="1592"/>
      <c r="AZ377" s="1592"/>
      <c r="BA377" s="1592"/>
      <c r="BB377" s="1592"/>
      <c r="BC377" s="1592"/>
      <c r="BD377" s="1592"/>
      <c r="BE377" s="1593"/>
      <c r="BF377" s="1548"/>
    </row>
    <row r="378" spans="1:58" x14ac:dyDescent="0.45">
      <c r="A378" s="695"/>
      <c r="B378" s="863"/>
      <c r="C378" s="864" t="s">
        <v>66</v>
      </c>
      <c r="D378" s="864"/>
      <c r="E378" s="864"/>
      <c r="F378" s="864"/>
      <c r="G378" s="1592"/>
      <c r="H378" s="1592">
        <f>IF(H$292&gt;$G374,0,IPMT($G375,H$292,$G374,-$G373))</f>
        <v>0</v>
      </c>
      <c r="I378" s="1592">
        <f>IF(I$292&gt;$G374,0,IPMT($G375,I$292,$G374,-$G373))</f>
        <v>0</v>
      </c>
      <c r="J378" s="1592">
        <f>IF(J$292&gt;$G374,0,IPMT($G375,J$292,$G374,-$G373))</f>
        <v>0</v>
      </c>
      <c r="K378" s="1592">
        <f>IF(K$292&gt;$G374,0,IPMT($G375,K$292,$G374,-$G373))</f>
        <v>0</v>
      </c>
      <c r="L378" s="1592">
        <f t="shared" ref="L378:BE378" si="139">IF(L$292&gt;$G374,0,IPMT($G375,L$292,$G374,-$G373))</f>
        <v>0</v>
      </c>
      <c r="M378" s="1592">
        <f t="shared" si="139"/>
        <v>0</v>
      </c>
      <c r="N378" s="1592">
        <f t="shared" si="139"/>
        <v>0</v>
      </c>
      <c r="O378" s="1592">
        <f t="shared" si="139"/>
        <v>0</v>
      </c>
      <c r="P378" s="1592">
        <f t="shared" si="139"/>
        <v>0</v>
      </c>
      <c r="Q378" s="1592">
        <f t="shared" si="139"/>
        <v>0</v>
      </c>
      <c r="R378" s="1592">
        <f t="shared" si="139"/>
        <v>0</v>
      </c>
      <c r="S378" s="1592">
        <f t="shared" si="139"/>
        <v>0</v>
      </c>
      <c r="T378" s="1592">
        <f t="shared" si="139"/>
        <v>0</v>
      </c>
      <c r="U378" s="1592">
        <f t="shared" si="139"/>
        <v>0</v>
      </c>
      <c r="V378" s="1592">
        <f t="shared" si="139"/>
        <v>0</v>
      </c>
      <c r="W378" s="1592">
        <f t="shared" si="139"/>
        <v>0</v>
      </c>
      <c r="X378" s="1592">
        <f t="shared" si="139"/>
        <v>0</v>
      </c>
      <c r="Y378" s="1592">
        <f t="shared" si="139"/>
        <v>0</v>
      </c>
      <c r="Z378" s="1592">
        <f t="shared" si="139"/>
        <v>0</v>
      </c>
      <c r="AA378" s="1592">
        <f t="shared" si="139"/>
        <v>0</v>
      </c>
      <c r="AB378" s="1592">
        <f t="shared" si="139"/>
        <v>0</v>
      </c>
      <c r="AC378" s="1592">
        <f t="shared" si="139"/>
        <v>0</v>
      </c>
      <c r="AD378" s="1592">
        <f t="shared" si="139"/>
        <v>0</v>
      </c>
      <c r="AE378" s="1592">
        <f t="shared" si="139"/>
        <v>0</v>
      </c>
      <c r="AF378" s="1592">
        <f t="shared" si="139"/>
        <v>0</v>
      </c>
      <c r="AG378" s="1592">
        <f t="shared" si="139"/>
        <v>0</v>
      </c>
      <c r="AH378" s="1592">
        <f t="shared" si="139"/>
        <v>0</v>
      </c>
      <c r="AI378" s="1592">
        <f t="shared" si="139"/>
        <v>0</v>
      </c>
      <c r="AJ378" s="1592">
        <f t="shared" si="139"/>
        <v>0</v>
      </c>
      <c r="AK378" s="1592">
        <f t="shared" si="139"/>
        <v>0</v>
      </c>
      <c r="AL378" s="1592">
        <f t="shared" si="139"/>
        <v>0</v>
      </c>
      <c r="AM378" s="1592">
        <f t="shared" si="139"/>
        <v>0</v>
      </c>
      <c r="AN378" s="1592">
        <f t="shared" si="139"/>
        <v>0</v>
      </c>
      <c r="AO378" s="1592">
        <f t="shared" si="139"/>
        <v>0</v>
      </c>
      <c r="AP378" s="1592">
        <f t="shared" si="139"/>
        <v>0</v>
      </c>
      <c r="AQ378" s="1592">
        <f t="shared" si="139"/>
        <v>0</v>
      </c>
      <c r="AR378" s="1592">
        <f t="shared" si="139"/>
        <v>0</v>
      </c>
      <c r="AS378" s="1592">
        <f t="shared" si="139"/>
        <v>0</v>
      </c>
      <c r="AT378" s="1592">
        <f t="shared" si="139"/>
        <v>0</v>
      </c>
      <c r="AU378" s="1592">
        <f t="shared" si="139"/>
        <v>0</v>
      </c>
      <c r="AV378" s="1592">
        <f t="shared" si="139"/>
        <v>0</v>
      </c>
      <c r="AW378" s="1592">
        <f t="shared" si="139"/>
        <v>0</v>
      </c>
      <c r="AX378" s="1592">
        <f t="shared" si="139"/>
        <v>0</v>
      </c>
      <c r="AY378" s="1592">
        <f t="shared" si="139"/>
        <v>0</v>
      </c>
      <c r="AZ378" s="1592">
        <f t="shared" si="139"/>
        <v>0</v>
      </c>
      <c r="BA378" s="1592">
        <f t="shared" si="139"/>
        <v>0</v>
      </c>
      <c r="BB378" s="1592">
        <f t="shared" si="139"/>
        <v>0</v>
      </c>
      <c r="BC378" s="1592">
        <f t="shared" si="139"/>
        <v>0</v>
      </c>
      <c r="BD378" s="1592">
        <f t="shared" si="139"/>
        <v>0</v>
      </c>
      <c r="BE378" s="1593">
        <f t="shared" si="139"/>
        <v>0</v>
      </c>
      <c r="BF378" s="1548"/>
    </row>
    <row r="379" spans="1:58" x14ac:dyDescent="0.45">
      <c r="A379" s="695"/>
      <c r="B379" s="863"/>
      <c r="C379" s="871" t="s">
        <v>65</v>
      </c>
      <c r="D379" s="871"/>
      <c r="E379" s="871"/>
      <c r="F379" s="871"/>
      <c r="G379" s="1594"/>
      <c r="H379" s="1594">
        <f>IF(H$292&gt;$G374,0,PPMT($G375,H$292,$G374,-$G373))</f>
        <v>0</v>
      </c>
      <c r="I379" s="1594">
        <f>IF(I$292&gt;$G374,0,PPMT($G375,I$292,$G374,-$G373))</f>
        <v>0</v>
      </c>
      <c r="J379" s="1594">
        <f>IF(J$292&gt;$G374,0,PPMT($G375,J$292,$G374,-$G373))</f>
        <v>0</v>
      </c>
      <c r="K379" s="1594">
        <f>IF(K$292&gt;$G374,0,PPMT($G375,K$292,$G374,-$G373))</f>
        <v>0</v>
      </c>
      <c r="L379" s="1594">
        <f t="shared" ref="L379:BE379" si="140">IF(L$292&gt;$G374,0,PPMT($G375,L$292,$G374,-$G373))</f>
        <v>0</v>
      </c>
      <c r="M379" s="1594">
        <f t="shared" si="140"/>
        <v>0</v>
      </c>
      <c r="N379" s="1594">
        <f t="shared" si="140"/>
        <v>0</v>
      </c>
      <c r="O379" s="1594">
        <f t="shared" si="140"/>
        <v>0</v>
      </c>
      <c r="P379" s="1594">
        <f t="shared" si="140"/>
        <v>0</v>
      </c>
      <c r="Q379" s="1594">
        <f t="shared" si="140"/>
        <v>0</v>
      </c>
      <c r="R379" s="1594">
        <f t="shared" si="140"/>
        <v>0</v>
      </c>
      <c r="S379" s="1594">
        <f t="shared" si="140"/>
        <v>0</v>
      </c>
      <c r="T379" s="1594">
        <f t="shared" si="140"/>
        <v>0</v>
      </c>
      <c r="U379" s="1594">
        <f t="shared" si="140"/>
        <v>0</v>
      </c>
      <c r="V379" s="1594">
        <f t="shared" si="140"/>
        <v>0</v>
      </c>
      <c r="W379" s="1594">
        <f t="shared" si="140"/>
        <v>0</v>
      </c>
      <c r="X379" s="1594">
        <f t="shared" si="140"/>
        <v>0</v>
      </c>
      <c r="Y379" s="1594">
        <f t="shared" si="140"/>
        <v>0</v>
      </c>
      <c r="Z379" s="1594">
        <f t="shared" si="140"/>
        <v>0</v>
      </c>
      <c r="AA379" s="1594">
        <f t="shared" si="140"/>
        <v>0</v>
      </c>
      <c r="AB379" s="1594">
        <f t="shared" si="140"/>
        <v>0</v>
      </c>
      <c r="AC379" s="1594">
        <f t="shared" si="140"/>
        <v>0</v>
      </c>
      <c r="AD379" s="1594">
        <f t="shared" si="140"/>
        <v>0</v>
      </c>
      <c r="AE379" s="1594">
        <f t="shared" si="140"/>
        <v>0</v>
      </c>
      <c r="AF379" s="1594">
        <f t="shared" si="140"/>
        <v>0</v>
      </c>
      <c r="AG379" s="1594">
        <f t="shared" si="140"/>
        <v>0</v>
      </c>
      <c r="AH379" s="1594">
        <f t="shared" si="140"/>
        <v>0</v>
      </c>
      <c r="AI379" s="1594">
        <f t="shared" si="140"/>
        <v>0</v>
      </c>
      <c r="AJ379" s="1594">
        <f t="shared" si="140"/>
        <v>0</v>
      </c>
      <c r="AK379" s="1594">
        <f t="shared" si="140"/>
        <v>0</v>
      </c>
      <c r="AL379" s="1594">
        <f t="shared" si="140"/>
        <v>0</v>
      </c>
      <c r="AM379" s="1594">
        <f t="shared" si="140"/>
        <v>0</v>
      </c>
      <c r="AN379" s="1594">
        <f t="shared" si="140"/>
        <v>0</v>
      </c>
      <c r="AO379" s="1594">
        <f t="shared" si="140"/>
        <v>0</v>
      </c>
      <c r="AP379" s="1594">
        <f t="shared" si="140"/>
        <v>0</v>
      </c>
      <c r="AQ379" s="1594">
        <f t="shared" si="140"/>
        <v>0</v>
      </c>
      <c r="AR379" s="1594">
        <f t="shared" si="140"/>
        <v>0</v>
      </c>
      <c r="AS379" s="1594">
        <f t="shared" si="140"/>
        <v>0</v>
      </c>
      <c r="AT379" s="1594">
        <f t="shared" si="140"/>
        <v>0</v>
      </c>
      <c r="AU379" s="1594">
        <f t="shared" si="140"/>
        <v>0</v>
      </c>
      <c r="AV379" s="1594">
        <f t="shared" si="140"/>
        <v>0</v>
      </c>
      <c r="AW379" s="1594">
        <f t="shared" si="140"/>
        <v>0</v>
      </c>
      <c r="AX379" s="1594">
        <f t="shared" si="140"/>
        <v>0</v>
      </c>
      <c r="AY379" s="1594">
        <f t="shared" si="140"/>
        <v>0</v>
      </c>
      <c r="AZ379" s="1594">
        <f t="shared" si="140"/>
        <v>0</v>
      </c>
      <c r="BA379" s="1594">
        <f t="shared" si="140"/>
        <v>0</v>
      </c>
      <c r="BB379" s="1594">
        <f t="shared" si="140"/>
        <v>0</v>
      </c>
      <c r="BC379" s="1594">
        <f t="shared" si="140"/>
        <v>0</v>
      </c>
      <c r="BD379" s="1594">
        <f t="shared" si="140"/>
        <v>0</v>
      </c>
      <c r="BE379" s="1595">
        <f t="shared" si="140"/>
        <v>0</v>
      </c>
      <c r="BF379" s="1548"/>
    </row>
    <row r="380" spans="1:58" x14ac:dyDescent="0.45">
      <c r="A380" s="695"/>
      <c r="B380" s="863"/>
      <c r="C380" s="864" t="s">
        <v>67</v>
      </c>
      <c r="D380" s="864"/>
      <c r="E380" s="864"/>
      <c r="F380" s="864"/>
      <c r="G380" s="1592"/>
      <c r="H380" s="1592">
        <f>SUM(H378:H379)</f>
        <v>0</v>
      </c>
      <c r="I380" s="1592">
        <f t="shared" ref="I380:BE380" si="141">SUM(I378:I379)</f>
        <v>0</v>
      </c>
      <c r="J380" s="1592">
        <f t="shared" si="141"/>
        <v>0</v>
      </c>
      <c r="K380" s="1592">
        <f t="shared" si="141"/>
        <v>0</v>
      </c>
      <c r="L380" s="1592">
        <f t="shared" si="141"/>
        <v>0</v>
      </c>
      <c r="M380" s="1592">
        <f t="shared" si="141"/>
        <v>0</v>
      </c>
      <c r="N380" s="1592">
        <f t="shared" si="141"/>
        <v>0</v>
      </c>
      <c r="O380" s="1592">
        <f t="shared" si="141"/>
        <v>0</v>
      </c>
      <c r="P380" s="1592">
        <f t="shared" si="141"/>
        <v>0</v>
      </c>
      <c r="Q380" s="1592">
        <f t="shared" si="141"/>
        <v>0</v>
      </c>
      <c r="R380" s="1592">
        <f t="shared" si="141"/>
        <v>0</v>
      </c>
      <c r="S380" s="1592">
        <f t="shared" si="141"/>
        <v>0</v>
      </c>
      <c r="T380" s="1592">
        <f t="shared" si="141"/>
        <v>0</v>
      </c>
      <c r="U380" s="1592">
        <f t="shared" si="141"/>
        <v>0</v>
      </c>
      <c r="V380" s="1592">
        <f t="shared" si="141"/>
        <v>0</v>
      </c>
      <c r="W380" s="1592">
        <f t="shared" si="141"/>
        <v>0</v>
      </c>
      <c r="X380" s="1592">
        <f t="shared" si="141"/>
        <v>0</v>
      </c>
      <c r="Y380" s="1592">
        <f t="shared" si="141"/>
        <v>0</v>
      </c>
      <c r="Z380" s="1592">
        <f t="shared" si="141"/>
        <v>0</v>
      </c>
      <c r="AA380" s="1592">
        <f t="shared" si="141"/>
        <v>0</v>
      </c>
      <c r="AB380" s="1592">
        <f t="shared" si="141"/>
        <v>0</v>
      </c>
      <c r="AC380" s="1592">
        <f t="shared" si="141"/>
        <v>0</v>
      </c>
      <c r="AD380" s="1592">
        <f t="shared" si="141"/>
        <v>0</v>
      </c>
      <c r="AE380" s="1592">
        <f t="shared" si="141"/>
        <v>0</v>
      </c>
      <c r="AF380" s="1592">
        <f t="shared" si="141"/>
        <v>0</v>
      </c>
      <c r="AG380" s="1592">
        <f t="shared" si="141"/>
        <v>0</v>
      </c>
      <c r="AH380" s="1592">
        <f t="shared" si="141"/>
        <v>0</v>
      </c>
      <c r="AI380" s="1592">
        <f t="shared" si="141"/>
        <v>0</v>
      </c>
      <c r="AJ380" s="1592">
        <f t="shared" si="141"/>
        <v>0</v>
      </c>
      <c r="AK380" s="1592">
        <f t="shared" si="141"/>
        <v>0</v>
      </c>
      <c r="AL380" s="1592">
        <f t="shared" si="141"/>
        <v>0</v>
      </c>
      <c r="AM380" s="1592">
        <f t="shared" si="141"/>
        <v>0</v>
      </c>
      <c r="AN380" s="1592">
        <f t="shared" si="141"/>
        <v>0</v>
      </c>
      <c r="AO380" s="1592">
        <f t="shared" si="141"/>
        <v>0</v>
      </c>
      <c r="AP380" s="1592">
        <f t="shared" si="141"/>
        <v>0</v>
      </c>
      <c r="AQ380" s="1592">
        <f t="shared" si="141"/>
        <v>0</v>
      </c>
      <c r="AR380" s="1592">
        <f t="shared" si="141"/>
        <v>0</v>
      </c>
      <c r="AS380" s="1592">
        <f t="shared" si="141"/>
        <v>0</v>
      </c>
      <c r="AT380" s="1592">
        <f t="shared" si="141"/>
        <v>0</v>
      </c>
      <c r="AU380" s="1592">
        <f t="shared" si="141"/>
        <v>0</v>
      </c>
      <c r="AV380" s="1592">
        <f t="shared" si="141"/>
        <v>0</v>
      </c>
      <c r="AW380" s="1592">
        <f t="shared" si="141"/>
        <v>0</v>
      </c>
      <c r="AX380" s="1592">
        <f t="shared" si="141"/>
        <v>0</v>
      </c>
      <c r="AY380" s="1592">
        <f t="shared" si="141"/>
        <v>0</v>
      </c>
      <c r="AZ380" s="1592">
        <f t="shared" si="141"/>
        <v>0</v>
      </c>
      <c r="BA380" s="1592">
        <f t="shared" si="141"/>
        <v>0</v>
      </c>
      <c r="BB380" s="1592">
        <f t="shared" si="141"/>
        <v>0</v>
      </c>
      <c r="BC380" s="1592">
        <f t="shared" si="141"/>
        <v>0</v>
      </c>
      <c r="BD380" s="1592">
        <f t="shared" si="141"/>
        <v>0</v>
      </c>
      <c r="BE380" s="1593">
        <f t="shared" si="141"/>
        <v>0</v>
      </c>
      <c r="BF380" s="1548"/>
    </row>
    <row r="381" spans="1:58" x14ac:dyDescent="0.45">
      <c r="A381" s="695"/>
      <c r="B381" s="863"/>
      <c r="C381" s="864"/>
      <c r="D381" s="864"/>
      <c r="E381" s="864"/>
      <c r="F381" s="864"/>
      <c r="G381" s="1592"/>
      <c r="H381" s="1592"/>
      <c r="I381" s="1592"/>
      <c r="J381" s="1592"/>
      <c r="K381" s="1592"/>
      <c r="L381" s="1592"/>
      <c r="M381" s="1592"/>
      <c r="N381" s="1592"/>
      <c r="O381" s="1592"/>
      <c r="P381" s="1592"/>
      <c r="Q381" s="1592"/>
      <c r="R381" s="1592"/>
      <c r="S381" s="1592"/>
      <c r="T381" s="1592"/>
      <c r="U381" s="1592"/>
      <c r="V381" s="1592"/>
      <c r="W381" s="1592"/>
      <c r="X381" s="1592"/>
      <c r="Y381" s="1592"/>
      <c r="Z381" s="1592"/>
      <c r="AA381" s="1592"/>
      <c r="AB381" s="1592"/>
      <c r="AC381" s="1592"/>
      <c r="AD381" s="1592"/>
      <c r="AE381" s="1592"/>
      <c r="AF381" s="1592"/>
      <c r="AG381" s="1592"/>
      <c r="AH381" s="1592"/>
      <c r="AI381" s="1592"/>
      <c r="AJ381" s="1592"/>
      <c r="AK381" s="1592"/>
      <c r="AL381" s="1592"/>
      <c r="AM381" s="1592"/>
      <c r="AN381" s="1592"/>
      <c r="AO381" s="1592"/>
      <c r="AP381" s="1592"/>
      <c r="AQ381" s="1592"/>
      <c r="AR381" s="1592"/>
      <c r="AS381" s="1592"/>
      <c r="AT381" s="1592"/>
      <c r="AU381" s="1592"/>
      <c r="AV381" s="1592"/>
      <c r="AW381" s="1592"/>
      <c r="AX381" s="1592"/>
      <c r="AY381" s="1592"/>
      <c r="AZ381" s="1592"/>
      <c r="BA381" s="1592"/>
      <c r="BB381" s="1592"/>
      <c r="BC381" s="1592"/>
      <c r="BD381" s="1592"/>
      <c r="BE381" s="1593"/>
      <c r="BF381" s="1548"/>
    </row>
    <row r="382" spans="1:58" x14ac:dyDescent="0.45">
      <c r="A382" s="695"/>
      <c r="B382" s="863"/>
      <c r="C382" s="1023" t="s">
        <v>58</v>
      </c>
      <c r="D382" s="864"/>
      <c r="E382" s="864"/>
      <c r="F382" s="864"/>
      <c r="G382" s="1592"/>
      <c r="H382" s="1592"/>
      <c r="I382" s="1592"/>
      <c r="J382" s="1592"/>
      <c r="K382" s="1592"/>
      <c r="L382" s="1592"/>
      <c r="M382" s="1592"/>
      <c r="N382" s="1592"/>
      <c r="O382" s="1592"/>
      <c r="P382" s="1592"/>
      <c r="Q382" s="1592"/>
      <c r="R382" s="1592"/>
      <c r="S382" s="1592"/>
      <c r="T382" s="1592"/>
      <c r="U382" s="1592"/>
      <c r="V382" s="1592"/>
      <c r="W382" s="1592"/>
      <c r="X382" s="1592"/>
      <c r="Y382" s="1592"/>
      <c r="Z382" s="1592"/>
      <c r="AA382" s="1592"/>
      <c r="AB382" s="1592"/>
      <c r="AC382" s="1592"/>
      <c r="AD382" s="1592"/>
      <c r="AE382" s="1592"/>
      <c r="AF382" s="1592"/>
      <c r="AG382" s="1592"/>
      <c r="AH382" s="1592"/>
      <c r="AI382" s="1592"/>
      <c r="AJ382" s="1592"/>
      <c r="AK382" s="1592"/>
      <c r="AL382" s="1592"/>
      <c r="AM382" s="1592"/>
      <c r="AN382" s="1592"/>
      <c r="AO382" s="1592"/>
      <c r="AP382" s="1592"/>
      <c r="AQ382" s="1592"/>
      <c r="AR382" s="1592"/>
      <c r="AS382" s="1592"/>
      <c r="AT382" s="1592"/>
      <c r="AU382" s="1592"/>
      <c r="AV382" s="1592"/>
      <c r="AW382" s="1592"/>
      <c r="AX382" s="1592"/>
      <c r="AY382" s="1592"/>
      <c r="AZ382" s="1592"/>
      <c r="BA382" s="1592"/>
      <c r="BB382" s="1592"/>
      <c r="BC382" s="1592"/>
      <c r="BD382" s="1592"/>
      <c r="BE382" s="1593"/>
      <c r="BF382" s="1548"/>
    </row>
    <row r="383" spans="1:58" x14ac:dyDescent="0.45">
      <c r="A383" s="695"/>
      <c r="B383" s="863"/>
      <c r="C383" s="864" t="s">
        <v>68</v>
      </c>
      <c r="D383" s="864"/>
      <c r="E383" s="864"/>
      <c r="F383" s="864"/>
      <c r="G383" s="1592">
        <v>0</v>
      </c>
      <c r="H383" s="1592">
        <f t="shared" ref="H383:AM383" si="142">G386</f>
        <v>0</v>
      </c>
      <c r="I383" s="1592">
        <f t="shared" si="142"/>
        <v>0</v>
      </c>
      <c r="J383" s="1592">
        <f t="shared" si="142"/>
        <v>0</v>
      </c>
      <c r="K383" s="1592">
        <f t="shared" si="142"/>
        <v>0</v>
      </c>
      <c r="L383" s="1592">
        <f t="shared" si="142"/>
        <v>0</v>
      </c>
      <c r="M383" s="1592">
        <f t="shared" si="142"/>
        <v>0</v>
      </c>
      <c r="N383" s="1592">
        <f t="shared" si="142"/>
        <v>0</v>
      </c>
      <c r="O383" s="1592">
        <f t="shared" si="142"/>
        <v>0</v>
      </c>
      <c r="P383" s="1592">
        <f t="shared" si="142"/>
        <v>0</v>
      </c>
      <c r="Q383" s="1592">
        <f t="shared" si="142"/>
        <v>0</v>
      </c>
      <c r="R383" s="1592">
        <f t="shared" si="142"/>
        <v>0</v>
      </c>
      <c r="S383" s="1592">
        <f t="shared" si="142"/>
        <v>0</v>
      </c>
      <c r="T383" s="1592">
        <f t="shared" si="142"/>
        <v>0</v>
      </c>
      <c r="U383" s="1592">
        <f t="shared" si="142"/>
        <v>0</v>
      </c>
      <c r="V383" s="1592">
        <f t="shared" si="142"/>
        <v>0</v>
      </c>
      <c r="W383" s="1592">
        <f t="shared" si="142"/>
        <v>0</v>
      </c>
      <c r="X383" s="1592">
        <f t="shared" si="142"/>
        <v>0</v>
      </c>
      <c r="Y383" s="1592">
        <f t="shared" si="142"/>
        <v>0</v>
      </c>
      <c r="Z383" s="1592">
        <f t="shared" si="142"/>
        <v>0</v>
      </c>
      <c r="AA383" s="1592">
        <f t="shared" si="142"/>
        <v>0</v>
      </c>
      <c r="AB383" s="1592">
        <f t="shared" si="142"/>
        <v>0</v>
      </c>
      <c r="AC383" s="1592">
        <f t="shared" si="142"/>
        <v>0</v>
      </c>
      <c r="AD383" s="1592">
        <f t="shared" si="142"/>
        <v>0</v>
      </c>
      <c r="AE383" s="1592">
        <f t="shared" si="142"/>
        <v>0</v>
      </c>
      <c r="AF383" s="1592">
        <f t="shared" si="142"/>
        <v>0</v>
      </c>
      <c r="AG383" s="1592">
        <f t="shared" si="142"/>
        <v>0</v>
      </c>
      <c r="AH383" s="1592">
        <f t="shared" si="142"/>
        <v>0</v>
      </c>
      <c r="AI383" s="1592">
        <f t="shared" si="142"/>
        <v>0</v>
      </c>
      <c r="AJ383" s="1592">
        <f t="shared" si="142"/>
        <v>0</v>
      </c>
      <c r="AK383" s="1592">
        <f t="shared" si="142"/>
        <v>0</v>
      </c>
      <c r="AL383" s="1592">
        <f t="shared" si="142"/>
        <v>0</v>
      </c>
      <c r="AM383" s="1592">
        <f t="shared" si="142"/>
        <v>0</v>
      </c>
      <c r="AN383" s="1592">
        <f t="shared" ref="AN383:BE383" si="143">AM386</f>
        <v>0</v>
      </c>
      <c r="AO383" s="1592">
        <f t="shared" si="143"/>
        <v>0</v>
      </c>
      <c r="AP383" s="1592">
        <f t="shared" si="143"/>
        <v>0</v>
      </c>
      <c r="AQ383" s="1592">
        <f t="shared" si="143"/>
        <v>0</v>
      </c>
      <c r="AR383" s="1592">
        <f t="shared" si="143"/>
        <v>0</v>
      </c>
      <c r="AS383" s="1592">
        <f t="shared" si="143"/>
        <v>0</v>
      </c>
      <c r="AT383" s="1592">
        <f t="shared" si="143"/>
        <v>0</v>
      </c>
      <c r="AU383" s="1592">
        <f t="shared" si="143"/>
        <v>0</v>
      </c>
      <c r="AV383" s="1592">
        <f t="shared" si="143"/>
        <v>0</v>
      </c>
      <c r="AW383" s="1592">
        <f t="shared" si="143"/>
        <v>0</v>
      </c>
      <c r="AX383" s="1592">
        <f t="shared" si="143"/>
        <v>0</v>
      </c>
      <c r="AY383" s="1592">
        <f t="shared" si="143"/>
        <v>0</v>
      </c>
      <c r="AZ383" s="1592">
        <f t="shared" si="143"/>
        <v>0</v>
      </c>
      <c r="BA383" s="1592">
        <f t="shared" si="143"/>
        <v>0</v>
      </c>
      <c r="BB383" s="1592">
        <f t="shared" si="143"/>
        <v>0</v>
      </c>
      <c r="BC383" s="1592">
        <f t="shared" si="143"/>
        <v>0</v>
      </c>
      <c r="BD383" s="1592">
        <f t="shared" si="143"/>
        <v>0</v>
      </c>
      <c r="BE383" s="1593">
        <f t="shared" si="143"/>
        <v>0</v>
      </c>
      <c r="BF383" s="1548"/>
    </row>
    <row r="384" spans="1:58" x14ac:dyDescent="0.45">
      <c r="A384" s="695"/>
      <c r="B384" s="863"/>
      <c r="C384" s="864" t="s">
        <v>69</v>
      </c>
      <c r="D384" s="864"/>
      <c r="E384" s="864"/>
      <c r="F384" s="864"/>
      <c r="G384" s="1592">
        <f>G373</f>
        <v>0</v>
      </c>
      <c r="H384" s="1592">
        <v>0</v>
      </c>
      <c r="I384" s="1592">
        <v>0</v>
      </c>
      <c r="J384" s="1592">
        <v>0</v>
      </c>
      <c r="K384" s="1592">
        <v>0</v>
      </c>
      <c r="L384" s="1592">
        <v>0</v>
      </c>
      <c r="M384" s="1592">
        <v>0</v>
      </c>
      <c r="N384" s="1592">
        <v>0</v>
      </c>
      <c r="O384" s="1592">
        <v>0</v>
      </c>
      <c r="P384" s="1592">
        <v>0</v>
      </c>
      <c r="Q384" s="1592">
        <v>0</v>
      </c>
      <c r="R384" s="1592">
        <v>0</v>
      </c>
      <c r="S384" s="1592">
        <v>0</v>
      </c>
      <c r="T384" s="1592">
        <v>0</v>
      </c>
      <c r="U384" s="1592">
        <v>0</v>
      </c>
      <c r="V384" s="1592">
        <v>0</v>
      </c>
      <c r="W384" s="1592">
        <v>0</v>
      </c>
      <c r="X384" s="1592">
        <v>0</v>
      </c>
      <c r="Y384" s="1592">
        <v>0</v>
      </c>
      <c r="Z384" s="1592">
        <v>0</v>
      </c>
      <c r="AA384" s="1592">
        <v>0</v>
      </c>
      <c r="AB384" s="1592">
        <v>0</v>
      </c>
      <c r="AC384" s="1592">
        <v>0</v>
      </c>
      <c r="AD384" s="1592">
        <v>0</v>
      </c>
      <c r="AE384" s="1592">
        <v>0</v>
      </c>
      <c r="AF384" s="1592">
        <v>0</v>
      </c>
      <c r="AG384" s="1592">
        <v>0</v>
      </c>
      <c r="AH384" s="1592">
        <v>0</v>
      </c>
      <c r="AI384" s="1592">
        <v>0</v>
      </c>
      <c r="AJ384" s="1592">
        <v>0</v>
      </c>
      <c r="AK384" s="1592">
        <v>0</v>
      </c>
      <c r="AL384" s="1592">
        <v>0</v>
      </c>
      <c r="AM384" s="1592">
        <v>0</v>
      </c>
      <c r="AN384" s="1592">
        <v>0</v>
      </c>
      <c r="AO384" s="1592">
        <v>0</v>
      </c>
      <c r="AP384" s="1592">
        <v>0</v>
      </c>
      <c r="AQ384" s="1592">
        <v>0</v>
      </c>
      <c r="AR384" s="1592">
        <v>0</v>
      </c>
      <c r="AS384" s="1592">
        <v>0</v>
      </c>
      <c r="AT384" s="1592">
        <v>0</v>
      </c>
      <c r="AU384" s="1592">
        <v>0</v>
      </c>
      <c r="AV384" s="1592">
        <v>0</v>
      </c>
      <c r="AW384" s="1592">
        <v>0</v>
      </c>
      <c r="AX384" s="1592">
        <v>0</v>
      </c>
      <c r="AY384" s="1592">
        <v>0</v>
      </c>
      <c r="AZ384" s="1592">
        <v>0</v>
      </c>
      <c r="BA384" s="1592">
        <v>0</v>
      </c>
      <c r="BB384" s="1592">
        <v>0</v>
      </c>
      <c r="BC384" s="1592">
        <v>0</v>
      </c>
      <c r="BD384" s="1592">
        <v>0</v>
      </c>
      <c r="BE384" s="1593">
        <v>0</v>
      </c>
      <c r="BF384" s="1548"/>
    </row>
    <row r="385" spans="1:58" x14ac:dyDescent="0.45">
      <c r="A385" s="695"/>
      <c r="B385" s="863"/>
      <c r="C385" s="871" t="s">
        <v>70</v>
      </c>
      <c r="D385" s="871"/>
      <c r="E385" s="871"/>
      <c r="F385" s="871"/>
      <c r="G385" s="1594">
        <v>0</v>
      </c>
      <c r="H385" s="1594">
        <f t="shared" ref="H385:BE385" si="144">-H379</f>
        <v>0</v>
      </c>
      <c r="I385" s="1594">
        <f t="shared" si="144"/>
        <v>0</v>
      </c>
      <c r="J385" s="1594">
        <f t="shared" si="144"/>
        <v>0</v>
      </c>
      <c r="K385" s="1594">
        <f t="shared" si="144"/>
        <v>0</v>
      </c>
      <c r="L385" s="1594">
        <f t="shared" si="144"/>
        <v>0</v>
      </c>
      <c r="M385" s="1594">
        <f t="shared" si="144"/>
        <v>0</v>
      </c>
      <c r="N385" s="1594">
        <f t="shared" si="144"/>
        <v>0</v>
      </c>
      <c r="O385" s="1594">
        <f t="shared" si="144"/>
        <v>0</v>
      </c>
      <c r="P385" s="1594">
        <f t="shared" si="144"/>
        <v>0</v>
      </c>
      <c r="Q385" s="1594">
        <f t="shared" si="144"/>
        <v>0</v>
      </c>
      <c r="R385" s="1594">
        <f t="shared" si="144"/>
        <v>0</v>
      </c>
      <c r="S385" s="1594">
        <f t="shared" si="144"/>
        <v>0</v>
      </c>
      <c r="T385" s="1594">
        <f t="shared" si="144"/>
        <v>0</v>
      </c>
      <c r="U385" s="1594">
        <f t="shared" si="144"/>
        <v>0</v>
      </c>
      <c r="V385" s="1594">
        <f t="shared" si="144"/>
        <v>0</v>
      </c>
      <c r="W385" s="1594">
        <f t="shared" si="144"/>
        <v>0</v>
      </c>
      <c r="X385" s="1594">
        <f t="shared" si="144"/>
        <v>0</v>
      </c>
      <c r="Y385" s="1594">
        <f t="shared" si="144"/>
        <v>0</v>
      </c>
      <c r="Z385" s="1594">
        <f t="shared" si="144"/>
        <v>0</v>
      </c>
      <c r="AA385" s="1594">
        <f t="shared" si="144"/>
        <v>0</v>
      </c>
      <c r="AB385" s="1594">
        <f t="shared" si="144"/>
        <v>0</v>
      </c>
      <c r="AC385" s="1594">
        <f t="shared" si="144"/>
        <v>0</v>
      </c>
      <c r="AD385" s="1594">
        <f t="shared" si="144"/>
        <v>0</v>
      </c>
      <c r="AE385" s="1594">
        <f t="shared" si="144"/>
        <v>0</v>
      </c>
      <c r="AF385" s="1594">
        <f t="shared" si="144"/>
        <v>0</v>
      </c>
      <c r="AG385" s="1594">
        <f t="shared" si="144"/>
        <v>0</v>
      </c>
      <c r="AH385" s="1594">
        <f t="shared" si="144"/>
        <v>0</v>
      </c>
      <c r="AI385" s="1594">
        <f t="shared" si="144"/>
        <v>0</v>
      </c>
      <c r="AJ385" s="1594">
        <f t="shared" si="144"/>
        <v>0</v>
      </c>
      <c r="AK385" s="1594">
        <f t="shared" si="144"/>
        <v>0</v>
      </c>
      <c r="AL385" s="1594">
        <f t="shared" si="144"/>
        <v>0</v>
      </c>
      <c r="AM385" s="1594">
        <f t="shared" si="144"/>
        <v>0</v>
      </c>
      <c r="AN385" s="1594">
        <f t="shared" si="144"/>
        <v>0</v>
      </c>
      <c r="AO385" s="1594">
        <f t="shared" si="144"/>
        <v>0</v>
      </c>
      <c r="AP385" s="1594">
        <f t="shared" si="144"/>
        <v>0</v>
      </c>
      <c r="AQ385" s="1594">
        <f t="shared" si="144"/>
        <v>0</v>
      </c>
      <c r="AR385" s="1594">
        <f t="shared" si="144"/>
        <v>0</v>
      </c>
      <c r="AS385" s="1594">
        <f t="shared" si="144"/>
        <v>0</v>
      </c>
      <c r="AT385" s="1594">
        <f t="shared" si="144"/>
        <v>0</v>
      </c>
      <c r="AU385" s="1594">
        <f t="shared" si="144"/>
        <v>0</v>
      </c>
      <c r="AV385" s="1594">
        <f t="shared" si="144"/>
        <v>0</v>
      </c>
      <c r="AW385" s="1594">
        <f t="shared" si="144"/>
        <v>0</v>
      </c>
      <c r="AX385" s="1594">
        <f t="shared" si="144"/>
        <v>0</v>
      </c>
      <c r="AY385" s="1594">
        <f t="shared" si="144"/>
        <v>0</v>
      </c>
      <c r="AZ385" s="1594">
        <f t="shared" si="144"/>
        <v>0</v>
      </c>
      <c r="BA385" s="1594">
        <f t="shared" si="144"/>
        <v>0</v>
      </c>
      <c r="BB385" s="1594">
        <f t="shared" si="144"/>
        <v>0</v>
      </c>
      <c r="BC385" s="1594">
        <f t="shared" si="144"/>
        <v>0</v>
      </c>
      <c r="BD385" s="1594">
        <f t="shared" si="144"/>
        <v>0</v>
      </c>
      <c r="BE385" s="1595">
        <f t="shared" si="144"/>
        <v>0</v>
      </c>
      <c r="BF385" s="1548"/>
    </row>
    <row r="386" spans="1:58" x14ac:dyDescent="0.45">
      <c r="A386" s="695"/>
      <c r="B386" s="863"/>
      <c r="C386" s="864" t="s">
        <v>59</v>
      </c>
      <c r="D386" s="864"/>
      <c r="E386" s="864"/>
      <c r="F386" s="864"/>
      <c r="G386" s="1592">
        <f t="shared" ref="G386:BE386" si="145">SUM(G383:G385)</f>
        <v>0</v>
      </c>
      <c r="H386" s="1592">
        <f t="shared" si="145"/>
        <v>0</v>
      </c>
      <c r="I386" s="1592">
        <f t="shared" si="145"/>
        <v>0</v>
      </c>
      <c r="J386" s="1592">
        <f t="shared" si="145"/>
        <v>0</v>
      </c>
      <c r="K386" s="1592">
        <f t="shared" si="145"/>
        <v>0</v>
      </c>
      <c r="L386" s="1592">
        <f t="shared" si="145"/>
        <v>0</v>
      </c>
      <c r="M386" s="1592">
        <f t="shared" si="145"/>
        <v>0</v>
      </c>
      <c r="N386" s="1592">
        <f t="shared" si="145"/>
        <v>0</v>
      </c>
      <c r="O386" s="1592">
        <f t="shared" si="145"/>
        <v>0</v>
      </c>
      <c r="P386" s="1592">
        <f t="shared" si="145"/>
        <v>0</v>
      </c>
      <c r="Q386" s="1592">
        <f t="shared" si="145"/>
        <v>0</v>
      </c>
      <c r="R386" s="1592">
        <f t="shared" si="145"/>
        <v>0</v>
      </c>
      <c r="S386" s="1592">
        <f t="shared" si="145"/>
        <v>0</v>
      </c>
      <c r="T386" s="1592">
        <f t="shared" si="145"/>
        <v>0</v>
      </c>
      <c r="U386" s="1592">
        <f t="shared" si="145"/>
        <v>0</v>
      </c>
      <c r="V386" s="1592">
        <f t="shared" si="145"/>
        <v>0</v>
      </c>
      <c r="W386" s="1592">
        <f t="shared" si="145"/>
        <v>0</v>
      </c>
      <c r="X386" s="1592">
        <f t="shared" si="145"/>
        <v>0</v>
      </c>
      <c r="Y386" s="1592">
        <f t="shared" si="145"/>
        <v>0</v>
      </c>
      <c r="Z386" s="1592">
        <f t="shared" si="145"/>
        <v>0</v>
      </c>
      <c r="AA386" s="1592">
        <f t="shared" si="145"/>
        <v>0</v>
      </c>
      <c r="AB386" s="1592">
        <f t="shared" si="145"/>
        <v>0</v>
      </c>
      <c r="AC386" s="1592">
        <f t="shared" si="145"/>
        <v>0</v>
      </c>
      <c r="AD386" s="1592">
        <f t="shared" si="145"/>
        <v>0</v>
      </c>
      <c r="AE386" s="1592">
        <f t="shared" si="145"/>
        <v>0</v>
      </c>
      <c r="AF386" s="1592">
        <f t="shared" si="145"/>
        <v>0</v>
      </c>
      <c r="AG386" s="1592">
        <f t="shared" si="145"/>
        <v>0</v>
      </c>
      <c r="AH386" s="1592">
        <f t="shared" si="145"/>
        <v>0</v>
      </c>
      <c r="AI386" s="1592">
        <f t="shared" si="145"/>
        <v>0</v>
      </c>
      <c r="AJ386" s="1592">
        <f t="shared" si="145"/>
        <v>0</v>
      </c>
      <c r="AK386" s="1592">
        <f t="shared" si="145"/>
        <v>0</v>
      </c>
      <c r="AL386" s="1592">
        <f t="shared" si="145"/>
        <v>0</v>
      </c>
      <c r="AM386" s="1592">
        <f t="shared" si="145"/>
        <v>0</v>
      </c>
      <c r="AN386" s="1592">
        <f t="shared" si="145"/>
        <v>0</v>
      </c>
      <c r="AO386" s="1592">
        <f t="shared" si="145"/>
        <v>0</v>
      </c>
      <c r="AP386" s="1592">
        <f t="shared" si="145"/>
        <v>0</v>
      </c>
      <c r="AQ386" s="1592">
        <f t="shared" si="145"/>
        <v>0</v>
      </c>
      <c r="AR386" s="1592">
        <f t="shared" si="145"/>
        <v>0</v>
      </c>
      <c r="AS386" s="1592">
        <f t="shared" si="145"/>
        <v>0</v>
      </c>
      <c r="AT386" s="1592">
        <f t="shared" si="145"/>
        <v>0</v>
      </c>
      <c r="AU386" s="1592">
        <f t="shared" si="145"/>
        <v>0</v>
      </c>
      <c r="AV386" s="1592">
        <f t="shared" si="145"/>
        <v>0</v>
      </c>
      <c r="AW386" s="1592">
        <f t="shared" si="145"/>
        <v>0</v>
      </c>
      <c r="AX386" s="1592">
        <f t="shared" si="145"/>
        <v>0</v>
      </c>
      <c r="AY386" s="1592">
        <f t="shared" si="145"/>
        <v>0</v>
      </c>
      <c r="AZ386" s="1592">
        <f t="shared" si="145"/>
        <v>0</v>
      </c>
      <c r="BA386" s="1592">
        <f t="shared" si="145"/>
        <v>0</v>
      </c>
      <c r="BB386" s="1592">
        <f t="shared" si="145"/>
        <v>0</v>
      </c>
      <c r="BC386" s="1592">
        <f t="shared" si="145"/>
        <v>0</v>
      </c>
      <c r="BD386" s="1592">
        <f t="shared" si="145"/>
        <v>0</v>
      </c>
      <c r="BE386" s="1593">
        <f t="shared" si="145"/>
        <v>0</v>
      </c>
      <c r="BF386" s="1548"/>
    </row>
    <row r="387" spans="1:58" x14ac:dyDescent="0.45">
      <c r="A387" s="695"/>
      <c r="B387" s="863"/>
      <c r="C387" s="864"/>
      <c r="D387" s="864"/>
      <c r="E387" s="864"/>
      <c r="F387" s="864"/>
      <c r="G387" s="1592"/>
      <c r="H387" s="1592"/>
      <c r="I387" s="1592"/>
      <c r="J387" s="1592"/>
      <c r="K387" s="1592"/>
      <c r="L387" s="1592"/>
      <c r="M387" s="1592"/>
      <c r="N387" s="1592"/>
      <c r="O387" s="1592"/>
      <c r="P387" s="1592"/>
      <c r="Q387" s="1592"/>
      <c r="R387" s="1592"/>
      <c r="S387" s="1592"/>
      <c r="T387" s="1592"/>
      <c r="U387" s="1592"/>
      <c r="V387" s="1592"/>
      <c r="W387" s="1592"/>
      <c r="X387" s="1592"/>
      <c r="Y387" s="1592"/>
      <c r="Z387" s="1592"/>
      <c r="AA387" s="1592"/>
      <c r="AB387" s="1592"/>
      <c r="AC387" s="1592"/>
      <c r="AD387" s="1592"/>
      <c r="AE387" s="1592"/>
      <c r="AF387" s="1592"/>
      <c r="AG387" s="1592"/>
      <c r="AH387" s="1592"/>
      <c r="AI387" s="1592"/>
      <c r="AJ387" s="1592"/>
      <c r="AK387" s="1592"/>
      <c r="AL387" s="1592"/>
      <c r="AM387" s="1592"/>
      <c r="AN387" s="1592"/>
      <c r="AO387" s="1592"/>
      <c r="AP387" s="1592"/>
      <c r="AQ387" s="1592"/>
      <c r="AR387" s="1592"/>
      <c r="AS387" s="1592"/>
      <c r="AT387" s="1592"/>
      <c r="AU387" s="1592"/>
      <c r="AV387" s="1592"/>
      <c r="AW387" s="1592"/>
      <c r="AX387" s="1592"/>
      <c r="AY387" s="1592"/>
      <c r="AZ387" s="1592"/>
      <c r="BA387" s="1592"/>
      <c r="BB387" s="1592"/>
      <c r="BC387" s="1592"/>
      <c r="BD387" s="1592"/>
      <c r="BE387" s="1593"/>
      <c r="BF387" s="1548"/>
    </row>
    <row r="388" spans="1:58" x14ac:dyDescent="0.45">
      <c r="A388" s="695"/>
      <c r="B388" s="863"/>
      <c r="C388" s="1023" t="s">
        <v>64</v>
      </c>
      <c r="D388" s="864"/>
      <c r="E388" s="864"/>
      <c r="F388" s="864"/>
      <c r="G388" s="1592"/>
      <c r="H388" s="1592"/>
      <c r="I388" s="1592"/>
      <c r="J388" s="1592"/>
      <c r="K388" s="1592"/>
      <c r="L388" s="1592"/>
      <c r="M388" s="1592"/>
      <c r="N388" s="1592"/>
      <c r="O388" s="1592"/>
      <c r="P388" s="1592"/>
      <c r="Q388" s="1592"/>
      <c r="R388" s="1592"/>
      <c r="S388" s="1592"/>
      <c r="T388" s="1592"/>
      <c r="U388" s="1592"/>
      <c r="V388" s="1592"/>
      <c r="W388" s="1592"/>
      <c r="X388" s="1592"/>
      <c r="Y388" s="1592"/>
      <c r="Z388" s="1592"/>
      <c r="AA388" s="1592"/>
      <c r="AB388" s="1592"/>
      <c r="AC388" s="1592"/>
      <c r="AD388" s="1592"/>
      <c r="AE388" s="1592"/>
      <c r="AF388" s="1592"/>
      <c r="AG388" s="1592"/>
      <c r="AH388" s="1592"/>
      <c r="AI388" s="1592"/>
      <c r="AJ388" s="1592"/>
      <c r="AK388" s="1592"/>
      <c r="AL388" s="1592"/>
      <c r="AM388" s="1592"/>
      <c r="AN388" s="1592"/>
      <c r="AO388" s="1592"/>
      <c r="AP388" s="1592"/>
      <c r="AQ388" s="1592"/>
      <c r="AR388" s="1592"/>
      <c r="AS388" s="1592"/>
      <c r="AT388" s="1592"/>
      <c r="AU388" s="1592"/>
      <c r="AV388" s="1592"/>
      <c r="AW388" s="1592"/>
      <c r="AX388" s="1592"/>
      <c r="AY388" s="1592"/>
      <c r="AZ388" s="1592"/>
      <c r="BA388" s="1592"/>
      <c r="BB388" s="1592"/>
      <c r="BC388" s="1592"/>
      <c r="BD388" s="1592"/>
      <c r="BE388" s="1593"/>
      <c r="BF388" s="1548"/>
    </row>
    <row r="389" spans="1:58" x14ac:dyDescent="0.45">
      <c r="A389" s="695"/>
      <c r="B389" s="863"/>
      <c r="C389" s="864" t="str">
        <f>'II. Inputs, Baseline Energy Mix'!$E$78</f>
        <v>Front-end Fee</v>
      </c>
      <c r="D389" s="864"/>
      <c r="E389" s="864"/>
      <c r="F389" s="864"/>
      <c r="G389" s="1592"/>
      <c r="H389" s="1592">
        <f>IF($G373&gt;0, $G$373*'II. Inputs, Baseline Energy Mix'!$O$78/10000,0)</f>
        <v>0</v>
      </c>
      <c r="I389" s="1592">
        <v>0</v>
      </c>
      <c r="J389" s="1592">
        <v>0</v>
      </c>
      <c r="K389" s="1592">
        <v>0</v>
      </c>
      <c r="L389" s="1592">
        <v>0</v>
      </c>
      <c r="M389" s="1592">
        <v>0</v>
      </c>
      <c r="N389" s="1592">
        <v>0</v>
      </c>
      <c r="O389" s="1592">
        <v>0</v>
      </c>
      <c r="P389" s="1592">
        <v>0</v>
      </c>
      <c r="Q389" s="1592">
        <v>0</v>
      </c>
      <c r="R389" s="1592">
        <v>0</v>
      </c>
      <c r="S389" s="1592">
        <v>0</v>
      </c>
      <c r="T389" s="1592">
        <v>0</v>
      </c>
      <c r="U389" s="1592">
        <v>0</v>
      </c>
      <c r="V389" s="1592">
        <v>0</v>
      </c>
      <c r="W389" s="1592">
        <v>0</v>
      </c>
      <c r="X389" s="1592">
        <v>0</v>
      </c>
      <c r="Y389" s="1592">
        <v>0</v>
      </c>
      <c r="Z389" s="1592">
        <v>0</v>
      </c>
      <c r="AA389" s="1592">
        <v>0</v>
      </c>
      <c r="AB389" s="1592">
        <v>0</v>
      </c>
      <c r="AC389" s="1592">
        <v>0</v>
      </c>
      <c r="AD389" s="1592">
        <v>0</v>
      </c>
      <c r="AE389" s="1592">
        <v>0</v>
      </c>
      <c r="AF389" s="1592">
        <v>0</v>
      </c>
      <c r="AG389" s="1592">
        <v>0</v>
      </c>
      <c r="AH389" s="1592">
        <v>0</v>
      </c>
      <c r="AI389" s="1592">
        <v>0</v>
      </c>
      <c r="AJ389" s="1592">
        <v>0</v>
      </c>
      <c r="AK389" s="1592">
        <v>0</v>
      </c>
      <c r="AL389" s="1592">
        <v>0</v>
      </c>
      <c r="AM389" s="1592">
        <v>0</v>
      </c>
      <c r="AN389" s="1592">
        <v>0</v>
      </c>
      <c r="AO389" s="1592">
        <v>0</v>
      </c>
      <c r="AP389" s="1592">
        <v>0</v>
      </c>
      <c r="AQ389" s="1592">
        <v>0</v>
      </c>
      <c r="AR389" s="1592">
        <v>0</v>
      </c>
      <c r="AS389" s="1592">
        <v>0</v>
      </c>
      <c r="AT389" s="1592">
        <v>0</v>
      </c>
      <c r="AU389" s="1592">
        <v>0</v>
      </c>
      <c r="AV389" s="1592">
        <v>0</v>
      </c>
      <c r="AW389" s="1592">
        <v>0</v>
      </c>
      <c r="AX389" s="1592">
        <v>0</v>
      </c>
      <c r="AY389" s="1592">
        <v>0</v>
      </c>
      <c r="AZ389" s="1592">
        <v>0</v>
      </c>
      <c r="BA389" s="1592">
        <v>0</v>
      </c>
      <c r="BB389" s="1592">
        <v>0</v>
      </c>
      <c r="BC389" s="1592">
        <v>0</v>
      </c>
      <c r="BD389" s="1592">
        <v>0</v>
      </c>
      <c r="BE389" s="1593">
        <v>0</v>
      </c>
      <c r="BF389" s="1548"/>
    </row>
    <row r="390" spans="1:58" x14ac:dyDescent="0.45">
      <c r="A390" s="695"/>
      <c r="B390" s="863"/>
      <c r="C390" s="864"/>
      <c r="D390" s="864"/>
      <c r="E390" s="864"/>
      <c r="F390" s="864"/>
      <c r="G390" s="1017"/>
      <c r="H390" s="1017"/>
      <c r="I390" s="1017"/>
      <c r="J390" s="1017"/>
      <c r="K390" s="1017"/>
      <c r="L390" s="1017"/>
      <c r="M390" s="1017"/>
      <c r="N390" s="1017"/>
      <c r="O390" s="1017"/>
      <c r="P390" s="1017"/>
      <c r="Q390" s="1017"/>
      <c r="R390" s="1017"/>
      <c r="S390" s="1017"/>
      <c r="T390" s="1017"/>
      <c r="U390" s="1017"/>
      <c r="V390" s="1017"/>
      <c r="W390" s="1017"/>
      <c r="X390" s="1017"/>
      <c r="Y390" s="1017"/>
      <c r="Z390" s="1017"/>
      <c r="AA390" s="1017"/>
      <c r="AB390" s="1017"/>
      <c r="AC390" s="1017"/>
      <c r="AD390" s="1017"/>
      <c r="AE390" s="1017"/>
      <c r="AF390" s="1017"/>
      <c r="AG390" s="1017"/>
      <c r="AH390" s="1017"/>
      <c r="AI390" s="1017"/>
      <c r="AJ390" s="1017"/>
      <c r="AK390" s="1017"/>
      <c r="AL390" s="1017"/>
      <c r="AM390" s="1017"/>
      <c r="AN390" s="1017"/>
      <c r="AO390" s="1017"/>
      <c r="AP390" s="1017"/>
      <c r="AQ390" s="1017"/>
      <c r="AR390" s="1017"/>
      <c r="AS390" s="1017"/>
      <c r="AT390" s="1017"/>
      <c r="AU390" s="1017"/>
      <c r="AV390" s="1017"/>
      <c r="AW390" s="1017"/>
      <c r="AX390" s="1017"/>
      <c r="AY390" s="1017"/>
      <c r="AZ390" s="1017"/>
      <c r="BA390" s="1017"/>
      <c r="BB390" s="1017"/>
      <c r="BC390" s="1017"/>
      <c r="BD390" s="1017"/>
      <c r="BE390" s="1018"/>
      <c r="BF390" s="695"/>
    </row>
    <row r="391" spans="1:58" ht="13.15" x14ac:dyDescent="0.45">
      <c r="A391" s="695"/>
      <c r="B391" s="876" t="s">
        <v>151</v>
      </c>
      <c r="C391" s="864"/>
      <c r="D391" s="864"/>
      <c r="E391" s="864"/>
      <c r="F391" s="864"/>
      <c r="G391" s="1017"/>
      <c r="H391" s="1017"/>
      <c r="I391" s="1017"/>
      <c r="J391" s="1017"/>
      <c r="K391" s="1017"/>
      <c r="L391" s="1017"/>
      <c r="M391" s="1017"/>
      <c r="N391" s="1017"/>
      <c r="O391" s="1017"/>
      <c r="P391" s="1017"/>
      <c r="Q391" s="1017"/>
      <c r="R391" s="1017"/>
      <c r="S391" s="1017"/>
      <c r="T391" s="1017"/>
      <c r="U391" s="1017"/>
      <c r="V391" s="1017"/>
      <c r="W391" s="1017"/>
      <c r="X391" s="1017"/>
      <c r="Y391" s="1017"/>
      <c r="Z391" s="1017"/>
      <c r="AA391" s="1017"/>
      <c r="AB391" s="1017"/>
      <c r="AC391" s="1017"/>
      <c r="AD391" s="1017"/>
      <c r="AE391" s="1017"/>
      <c r="AF391" s="1017"/>
      <c r="AG391" s="1017"/>
      <c r="AH391" s="1017"/>
      <c r="AI391" s="1017"/>
      <c r="AJ391" s="1017"/>
      <c r="AK391" s="1017"/>
      <c r="AL391" s="1017"/>
      <c r="AM391" s="1017"/>
      <c r="AN391" s="1017"/>
      <c r="AO391" s="1017"/>
      <c r="AP391" s="1017"/>
      <c r="AQ391" s="1017"/>
      <c r="AR391" s="1017"/>
      <c r="AS391" s="1017"/>
      <c r="AT391" s="1017"/>
      <c r="AU391" s="1017"/>
      <c r="AV391" s="1017"/>
      <c r="AW391" s="1017"/>
      <c r="AX391" s="1017"/>
      <c r="AY391" s="1017"/>
      <c r="AZ391" s="1017"/>
      <c r="BA391" s="1017"/>
      <c r="BB391" s="1017"/>
      <c r="BC391" s="1017"/>
      <c r="BD391" s="1017"/>
      <c r="BE391" s="1018"/>
      <c r="BF391" s="695"/>
    </row>
    <row r="392" spans="1:58" x14ac:dyDescent="0.45">
      <c r="A392" s="695"/>
      <c r="B392" s="863"/>
      <c r="C392" s="1019" t="s">
        <v>61</v>
      </c>
      <c r="D392" s="867" t="s">
        <v>748</v>
      </c>
      <c r="E392" s="864"/>
      <c r="F392" s="864"/>
      <c r="G392" s="1592">
        <f>IF('II. Inputs, Baseline Energy Mix'!$O$19&gt;0,('II. Inputs, Baseline Energy Mix'!$O$20*'II. Inputs, Baseline Energy Mix'!$O$21*'II. Inputs, Baseline Energy Mix'!$O$36*'II. Inputs, Baseline Energy Mix'!$O$39),0)</f>
        <v>0</v>
      </c>
      <c r="H392" s="1017"/>
      <c r="I392" s="1017"/>
      <c r="J392" s="1017"/>
      <c r="K392" s="1017"/>
      <c r="L392" s="1017"/>
      <c r="M392" s="1017"/>
      <c r="N392" s="1017"/>
      <c r="O392" s="1017"/>
      <c r="P392" s="1017"/>
      <c r="Q392" s="1017"/>
      <c r="R392" s="1017"/>
      <c r="S392" s="1017"/>
      <c r="T392" s="1017"/>
      <c r="U392" s="1017"/>
      <c r="V392" s="1017"/>
      <c r="W392" s="1017"/>
      <c r="X392" s="1017"/>
      <c r="Y392" s="1017"/>
      <c r="Z392" s="1017"/>
      <c r="AA392" s="1017"/>
      <c r="AB392" s="1017"/>
      <c r="AC392" s="1017"/>
      <c r="AD392" s="1017"/>
      <c r="AE392" s="1017"/>
      <c r="AF392" s="1017"/>
      <c r="AG392" s="1017"/>
      <c r="AH392" s="1017"/>
      <c r="AI392" s="1017"/>
      <c r="AJ392" s="1017"/>
      <c r="AK392" s="1017"/>
      <c r="AL392" s="1017"/>
      <c r="AM392" s="1017"/>
      <c r="AN392" s="1017"/>
      <c r="AO392" s="1017"/>
      <c r="AP392" s="1017"/>
      <c r="AQ392" s="1017"/>
      <c r="AR392" s="1017"/>
      <c r="AS392" s="1017"/>
      <c r="AT392" s="1017"/>
      <c r="AU392" s="1017"/>
      <c r="AV392" s="1017"/>
      <c r="AW392" s="1017"/>
      <c r="AX392" s="1017"/>
      <c r="AY392" s="1017"/>
      <c r="AZ392" s="1017"/>
      <c r="BA392" s="1017"/>
      <c r="BB392" s="1017"/>
      <c r="BC392" s="1017"/>
      <c r="BD392" s="1017"/>
      <c r="BE392" s="1018"/>
      <c r="BF392" s="695"/>
    </row>
    <row r="393" spans="1:58" x14ac:dyDescent="0.45">
      <c r="A393" s="695"/>
      <c r="B393" s="863"/>
      <c r="C393" s="1019" t="s">
        <v>62</v>
      </c>
      <c r="D393" s="867" t="s">
        <v>18</v>
      </c>
      <c r="E393" s="864"/>
      <c r="F393" s="864"/>
      <c r="G393" s="1020">
        <f>SUM('II. Inputs, Baseline Energy Mix'!$O$81)</f>
        <v>0</v>
      </c>
      <c r="H393" s="1017"/>
      <c r="I393" s="1017"/>
      <c r="J393" s="1017"/>
      <c r="K393" s="1017"/>
      <c r="L393" s="1017"/>
      <c r="M393" s="1017"/>
      <c r="N393" s="1017"/>
      <c r="O393" s="1017"/>
      <c r="P393" s="1017"/>
      <c r="Q393" s="1017"/>
      <c r="R393" s="1017"/>
      <c r="S393" s="1017"/>
      <c r="T393" s="1017"/>
      <c r="U393" s="1017"/>
      <c r="V393" s="1017"/>
      <c r="W393" s="1017"/>
      <c r="X393" s="1017"/>
      <c r="Y393" s="1017"/>
      <c r="Z393" s="1017"/>
      <c r="AA393" s="1017"/>
      <c r="AB393" s="1017"/>
      <c r="AC393" s="1017"/>
      <c r="AD393" s="1017"/>
      <c r="AE393" s="1017"/>
      <c r="AF393" s="1017"/>
      <c r="AG393" s="1017"/>
      <c r="AH393" s="1017"/>
      <c r="AI393" s="1017"/>
      <c r="AJ393" s="1017"/>
      <c r="AK393" s="1017"/>
      <c r="AL393" s="1017"/>
      <c r="AM393" s="1017"/>
      <c r="AN393" s="1017"/>
      <c r="AO393" s="1017"/>
      <c r="AP393" s="1017"/>
      <c r="AQ393" s="1017"/>
      <c r="AR393" s="1017"/>
      <c r="AS393" s="1017"/>
      <c r="AT393" s="1017"/>
      <c r="AU393" s="1017"/>
      <c r="AV393" s="1017"/>
      <c r="AW393" s="1017"/>
      <c r="AX393" s="1017"/>
      <c r="AY393" s="1017"/>
      <c r="AZ393" s="1017"/>
      <c r="BA393" s="1017"/>
      <c r="BB393" s="1017"/>
      <c r="BC393" s="1017"/>
      <c r="BD393" s="1017"/>
      <c r="BE393" s="1018"/>
      <c r="BF393" s="695"/>
    </row>
    <row r="394" spans="1:58" x14ac:dyDescent="0.45">
      <c r="A394" s="695"/>
      <c r="B394" s="863"/>
      <c r="C394" s="1019" t="s">
        <v>63</v>
      </c>
      <c r="D394" s="867" t="s">
        <v>14</v>
      </c>
      <c r="E394" s="864"/>
      <c r="F394" s="864"/>
      <c r="G394" s="1021">
        <f>SUM('II. Inputs, Baseline Energy Mix'!$O$80)</f>
        <v>0</v>
      </c>
      <c r="H394" s="1017"/>
      <c r="I394" s="1017"/>
      <c r="J394" s="1017"/>
      <c r="K394" s="1017"/>
      <c r="L394" s="1017"/>
      <c r="M394" s="1017"/>
      <c r="N394" s="1017"/>
      <c r="O394" s="1017"/>
      <c r="P394" s="1017"/>
      <c r="Q394" s="1017"/>
      <c r="R394" s="1017"/>
      <c r="S394" s="1017"/>
      <c r="T394" s="1017"/>
      <c r="U394" s="1017"/>
      <c r="V394" s="1017"/>
      <c r="W394" s="1017"/>
      <c r="X394" s="1017"/>
      <c r="Y394" s="1017"/>
      <c r="Z394" s="1017"/>
      <c r="AA394" s="1017"/>
      <c r="AB394" s="1017"/>
      <c r="AC394" s="1017"/>
      <c r="AD394" s="1017"/>
      <c r="AE394" s="1017"/>
      <c r="AF394" s="1017"/>
      <c r="AG394" s="1017"/>
      <c r="AH394" s="1017"/>
      <c r="AI394" s="1017"/>
      <c r="AJ394" s="1017"/>
      <c r="AK394" s="1017"/>
      <c r="AL394" s="1017"/>
      <c r="AM394" s="1017"/>
      <c r="AN394" s="1017"/>
      <c r="AO394" s="1017"/>
      <c r="AP394" s="1017"/>
      <c r="AQ394" s="1017"/>
      <c r="AR394" s="1017"/>
      <c r="AS394" s="1017"/>
      <c r="AT394" s="1017"/>
      <c r="AU394" s="1017"/>
      <c r="AV394" s="1017"/>
      <c r="AW394" s="1017"/>
      <c r="AX394" s="1017"/>
      <c r="AY394" s="1017"/>
      <c r="AZ394" s="1017"/>
      <c r="BA394" s="1017"/>
      <c r="BB394" s="1017"/>
      <c r="BC394" s="1017"/>
      <c r="BD394" s="1017"/>
      <c r="BE394" s="1018"/>
      <c r="BF394" s="695"/>
    </row>
    <row r="395" spans="1:58" x14ac:dyDescent="0.45">
      <c r="A395" s="695"/>
      <c r="B395" s="863"/>
      <c r="C395" s="1019" t="str">
        <f>'II. Inputs, Baseline Energy Mix'!$E$83</f>
        <v>Guarantee Coverage, as a % of Commercial Loan Value</v>
      </c>
      <c r="D395" s="867" t="s">
        <v>14</v>
      </c>
      <c r="E395" s="864"/>
      <c r="F395" s="864"/>
      <c r="G395" s="1024">
        <f>SUM('II. Inputs, Baseline Energy Mix'!$O$83)</f>
        <v>0</v>
      </c>
      <c r="H395" s="1017"/>
      <c r="I395" s="1017"/>
      <c r="J395" s="1017"/>
      <c r="K395" s="1017"/>
      <c r="L395" s="1017"/>
      <c r="M395" s="1017"/>
      <c r="N395" s="1017"/>
      <c r="O395" s="1017"/>
      <c r="P395" s="1017"/>
      <c r="Q395" s="1017"/>
      <c r="R395" s="1017"/>
      <c r="S395" s="1017"/>
      <c r="T395" s="1017"/>
      <c r="U395" s="1017"/>
      <c r="V395" s="1017"/>
      <c r="W395" s="1017"/>
      <c r="X395" s="1017"/>
      <c r="Y395" s="1017"/>
      <c r="Z395" s="1017"/>
      <c r="AA395" s="1017"/>
      <c r="AB395" s="1017"/>
      <c r="AC395" s="1017"/>
      <c r="AD395" s="1017"/>
      <c r="AE395" s="1017"/>
      <c r="AF395" s="1017"/>
      <c r="AG395" s="1017"/>
      <c r="AH395" s="1017"/>
      <c r="AI395" s="1017"/>
      <c r="AJ395" s="1017"/>
      <c r="AK395" s="1017"/>
      <c r="AL395" s="1017"/>
      <c r="AM395" s="1017"/>
      <c r="AN395" s="1017"/>
      <c r="AO395" s="1017"/>
      <c r="AP395" s="1017"/>
      <c r="AQ395" s="1017"/>
      <c r="AR395" s="1017"/>
      <c r="AS395" s="1017"/>
      <c r="AT395" s="1017"/>
      <c r="AU395" s="1017"/>
      <c r="AV395" s="1017"/>
      <c r="AW395" s="1017"/>
      <c r="AX395" s="1017"/>
      <c r="AY395" s="1017"/>
      <c r="AZ395" s="1017"/>
      <c r="BA395" s="1017"/>
      <c r="BB395" s="1017"/>
      <c r="BC395" s="1017"/>
      <c r="BD395" s="1017"/>
      <c r="BE395" s="1018"/>
      <c r="BF395" s="695"/>
    </row>
    <row r="396" spans="1:58" x14ac:dyDescent="0.45">
      <c r="A396" s="695"/>
      <c r="B396" s="863"/>
      <c r="C396" s="1019" t="str">
        <f>'II. Inputs, Baseline Energy Mix'!$E$84</f>
        <v xml:space="preserve">Term of Public Guarantee Coverage </v>
      </c>
      <c r="D396" s="867" t="s">
        <v>18</v>
      </c>
      <c r="E396" s="864"/>
      <c r="F396" s="864"/>
      <c r="G396" s="1020">
        <f>'II. Inputs, Baseline Energy Mix'!$O$84</f>
        <v>0</v>
      </c>
      <c r="H396" s="1017"/>
      <c r="I396" s="1017"/>
      <c r="J396" s="1017"/>
      <c r="K396" s="1017"/>
      <c r="L396" s="1017"/>
      <c r="M396" s="1017"/>
      <c r="N396" s="1017"/>
      <c r="O396" s="1017"/>
      <c r="P396" s="1017"/>
      <c r="Q396" s="1017"/>
      <c r="R396" s="1017"/>
      <c r="S396" s="1017"/>
      <c r="T396" s="1017"/>
      <c r="U396" s="1017"/>
      <c r="V396" s="1017"/>
      <c r="W396" s="1017"/>
      <c r="X396" s="1017"/>
      <c r="Y396" s="1017"/>
      <c r="Z396" s="1017"/>
      <c r="AA396" s="1017"/>
      <c r="AB396" s="1017"/>
      <c r="AC396" s="1017"/>
      <c r="AD396" s="1017"/>
      <c r="AE396" s="1017"/>
      <c r="AF396" s="1017"/>
      <c r="AG396" s="1017"/>
      <c r="AH396" s="1017"/>
      <c r="AI396" s="1017"/>
      <c r="AJ396" s="1017"/>
      <c r="AK396" s="1017"/>
      <c r="AL396" s="1017"/>
      <c r="AM396" s="1017"/>
      <c r="AN396" s="1017"/>
      <c r="AO396" s="1017"/>
      <c r="AP396" s="1017"/>
      <c r="AQ396" s="1017"/>
      <c r="AR396" s="1017"/>
      <c r="AS396" s="1017"/>
      <c r="AT396" s="1017"/>
      <c r="AU396" s="1017"/>
      <c r="AV396" s="1017"/>
      <c r="AW396" s="1017"/>
      <c r="AX396" s="1017"/>
      <c r="AY396" s="1017"/>
      <c r="AZ396" s="1017"/>
      <c r="BA396" s="1017"/>
      <c r="BB396" s="1017"/>
      <c r="BC396" s="1017"/>
      <c r="BD396" s="1017"/>
      <c r="BE396" s="1018"/>
      <c r="BF396" s="695"/>
    </row>
    <row r="397" spans="1:58" x14ac:dyDescent="0.45">
      <c r="A397" s="695"/>
      <c r="B397" s="863"/>
      <c r="C397" s="864"/>
      <c r="D397" s="864"/>
      <c r="E397" s="864"/>
      <c r="F397" s="864"/>
      <c r="G397" s="1017"/>
      <c r="H397" s="1017"/>
      <c r="I397" s="1017"/>
      <c r="J397" s="1017"/>
      <c r="K397" s="1017"/>
      <c r="L397" s="1017"/>
      <c r="M397" s="1017"/>
      <c r="N397" s="1017"/>
      <c r="O397" s="1017"/>
      <c r="P397" s="1017"/>
      <c r="Q397" s="1017"/>
      <c r="R397" s="1017"/>
      <c r="S397" s="1017"/>
      <c r="T397" s="1017"/>
      <c r="U397" s="1017"/>
      <c r="V397" s="1017"/>
      <c r="W397" s="1017"/>
      <c r="X397" s="1017"/>
      <c r="Y397" s="1017"/>
      <c r="Z397" s="1017"/>
      <c r="AA397" s="1017"/>
      <c r="AB397" s="1017"/>
      <c r="AC397" s="1017"/>
      <c r="AD397" s="1017"/>
      <c r="AE397" s="1017"/>
      <c r="AF397" s="1017"/>
      <c r="AG397" s="1017"/>
      <c r="AH397" s="1017"/>
      <c r="AI397" s="1017"/>
      <c r="AJ397" s="1017"/>
      <c r="AK397" s="1017"/>
      <c r="AL397" s="1017"/>
      <c r="AM397" s="1017"/>
      <c r="AN397" s="1017"/>
      <c r="AO397" s="1017"/>
      <c r="AP397" s="1017"/>
      <c r="AQ397" s="1017"/>
      <c r="AR397" s="1017"/>
      <c r="AS397" s="1017"/>
      <c r="AT397" s="1017"/>
      <c r="AU397" s="1017"/>
      <c r="AV397" s="1017"/>
      <c r="AW397" s="1017"/>
      <c r="AX397" s="1017"/>
      <c r="AY397" s="1017"/>
      <c r="AZ397" s="1017"/>
      <c r="BA397" s="1017"/>
      <c r="BB397" s="1017"/>
      <c r="BC397" s="1017"/>
      <c r="BD397" s="1017"/>
      <c r="BE397" s="1018"/>
      <c r="BF397" s="695"/>
    </row>
    <row r="398" spans="1:58" x14ac:dyDescent="0.45">
      <c r="A398" s="695"/>
      <c r="B398" s="863"/>
      <c r="C398" s="1022" t="s">
        <v>60</v>
      </c>
      <c r="D398" s="864"/>
      <c r="E398" s="864"/>
      <c r="F398" s="864"/>
      <c r="G398" s="1025"/>
      <c r="H398" s="1025"/>
      <c r="I398" s="1025"/>
      <c r="J398" s="1025"/>
      <c r="K398" s="1025"/>
      <c r="L398" s="1025"/>
      <c r="M398" s="1025"/>
      <c r="N398" s="1025"/>
      <c r="O398" s="1025"/>
      <c r="P398" s="1025"/>
      <c r="Q398" s="1025"/>
      <c r="R398" s="1025"/>
      <c r="S398" s="1025"/>
      <c r="T398" s="1025"/>
      <c r="U398" s="1025"/>
      <c r="V398" s="1025"/>
      <c r="W398" s="1025"/>
      <c r="X398" s="1025"/>
      <c r="Y398" s="1025"/>
      <c r="Z398" s="1025"/>
      <c r="AA398" s="1025"/>
      <c r="AB398" s="1025"/>
      <c r="AC398" s="1025"/>
      <c r="AD398" s="1025"/>
      <c r="AE398" s="1025"/>
      <c r="AF398" s="1025"/>
      <c r="AG398" s="1025"/>
      <c r="AH398" s="1025"/>
      <c r="AI398" s="1025"/>
      <c r="AJ398" s="1025"/>
      <c r="AK398" s="1025"/>
      <c r="AL398" s="1025"/>
      <c r="AM398" s="1025"/>
      <c r="AN398" s="1025"/>
      <c r="AO398" s="1025"/>
      <c r="AP398" s="1025"/>
      <c r="AQ398" s="1025"/>
      <c r="AR398" s="1025"/>
      <c r="AS398" s="1025"/>
      <c r="AT398" s="1025"/>
      <c r="AU398" s="1025"/>
      <c r="AV398" s="1025"/>
      <c r="AW398" s="1025"/>
      <c r="AX398" s="1025"/>
      <c r="AY398" s="1025"/>
      <c r="AZ398" s="1025"/>
      <c r="BA398" s="1025"/>
      <c r="BB398" s="1025"/>
      <c r="BC398" s="1025"/>
      <c r="BD398" s="1025"/>
      <c r="BE398" s="1026"/>
      <c r="BF398" s="1168"/>
    </row>
    <row r="399" spans="1:58" x14ac:dyDescent="0.45">
      <c r="A399" s="695"/>
      <c r="B399" s="863"/>
      <c r="C399" s="864" t="s">
        <v>66</v>
      </c>
      <c r="D399" s="864"/>
      <c r="E399" s="864"/>
      <c r="F399" s="864"/>
      <c r="G399" s="1592"/>
      <c r="H399" s="1592">
        <f>IF(H$292&gt;$G393,0,IPMT($G394,H$292,$G393,-$G392))</f>
        <v>0</v>
      </c>
      <c r="I399" s="1592">
        <f t="shared" ref="I399:BE399" si="146">IF(I$292&gt;$G393,0,IPMT($G394,I$292,$G393,-$G392))</f>
        <v>0</v>
      </c>
      <c r="J399" s="1592">
        <f t="shared" si="146"/>
        <v>0</v>
      </c>
      <c r="K399" s="1592">
        <f t="shared" si="146"/>
        <v>0</v>
      </c>
      <c r="L399" s="1592">
        <f t="shared" si="146"/>
        <v>0</v>
      </c>
      <c r="M399" s="1592">
        <f t="shared" si="146"/>
        <v>0</v>
      </c>
      <c r="N399" s="1592">
        <f t="shared" si="146"/>
        <v>0</v>
      </c>
      <c r="O399" s="1592">
        <f t="shared" si="146"/>
        <v>0</v>
      </c>
      <c r="P399" s="1592">
        <f t="shared" si="146"/>
        <v>0</v>
      </c>
      <c r="Q399" s="1592">
        <f t="shared" si="146"/>
        <v>0</v>
      </c>
      <c r="R399" s="1592">
        <f t="shared" si="146"/>
        <v>0</v>
      </c>
      <c r="S399" s="1592">
        <f t="shared" si="146"/>
        <v>0</v>
      </c>
      <c r="T399" s="1592">
        <f t="shared" si="146"/>
        <v>0</v>
      </c>
      <c r="U399" s="1592">
        <f t="shared" si="146"/>
        <v>0</v>
      </c>
      <c r="V399" s="1592">
        <f t="shared" si="146"/>
        <v>0</v>
      </c>
      <c r="W399" s="1592">
        <f t="shared" si="146"/>
        <v>0</v>
      </c>
      <c r="X399" s="1592">
        <f t="shared" si="146"/>
        <v>0</v>
      </c>
      <c r="Y399" s="1592">
        <f t="shared" si="146"/>
        <v>0</v>
      </c>
      <c r="Z399" s="1592">
        <f t="shared" si="146"/>
        <v>0</v>
      </c>
      <c r="AA399" s="1592">
        <f t="shared" si="146"/>
        <v>0</v>
      </c>
      <c r="AB399" s="1592">
        <f t="shared" si="146"/>
        <v>0</v>
      </c>
      <c r="AC399" s="1592">
        <f t="shared" si="146"/>
        <v>0</v>
      </c>
      <c r="AD399" s="1592">
        <f t="shared" si="146"/>
        <v>0</v>
      </c>
      <c r="AE399" s="1592">
        <f t="shared" si="146"/>
        <v>0</v>
      </c>
      <c r="AF399" s="1592">
        <f t="shared" si="146"/>
        <v>0</v>
      </c>
      <c r="AG399" s="1592">
        <f t="shared" si="146"/>
        <v>0</v>
      </c>
      <c r="AH399" s="1592">
        <f t="shared" si="146"/>
        <v>0</v>
      </c>
      <c r="AI399" s="1592">
        <f t="shared" si="146"/>
        <v>0</v>
      </c>
      <c r="AJ399" s="1592">
        <f t="shared" si="146"/>
        <v>0</v>
      </c>
      <c r="AK399" s="1592">
        <f t="shared" si="146"/>
        <v>0</v>
      </c>
      <c r="AL399" s="1592">
        <f t="shared" si="146"/>
        <v>0</v>
      </c>
      <c r="AM399" s="1592">
        <f t="shared" si="146"/>
        <v>0</v>
      </c>
      <c r="AN399" s="1592">
        <f t="shared" si="146"/>
        <v>0</v>
      </c>
      <c r="AO399" s="1592">
        <f t="shared" si="146"/>
        <v>0</v>
      </c>
      <c r="AP399" s="1592">
        <f t="shared" si="146"/>
        <v>0</v>
      </c>
      <c r="AQ399" s="1592">
        <f t="shared" si="146"/>
        <v>0</v>
      </c>
      <c r="AR399" s="1592">
        <f t="shared" si="146"/>
        <v>0</v>
      </c>
      <c r="AS399" s="1592">
        <f t="shared" si="146"/>
        <v>0</v>
      </c>
      <c r="AT399" s="1592">
        <f t="shared" si="146"/>
        <v>0</v>
      </c>
      <c r="AU399" s="1592">
        <f t="shared" si="146"/>
        <v>0</v>
      </c>
      <c r="AV399" s="1592">
        <f t="shared" si="146"/>
        <v>0</v>
      </c>
      <c r="AW399" s="1592">
        <f t="shared" si="146"/>
        <v>0</v>
      </c>
      <c r="AX399" s="1592">
        <f t="shared" si="146"/>
        <v>0</v>
      </c>
      <c r="AY399" s="1592">
        <f t="shared" si="146"/>
        <v>0</v>
      </c>
      <c r="AZ399" s="1592">
        <f t="shared" si="146"/>
        <v>0</v>
      </c>
      <c r="BA399" s="1592">
        <f t="shared" si="146"/>
        <v>0</v>
      </c>
      <c r="BB399" s="1592">
        <f t="shared" si="146"/>
        <v>0</v>
      </c>
      <c r="BC399" s="1592">
        <f t="shared" si="146"/>
        <v>0</v>
      </c>
      <c r="BD399" s="1592">
        <f t="shared" si="146"/>
        <v>0</v>
      </c>
      <c r="BE399" s="1593">
        <f t="shared" si="146"/>
        <v>0</v>
      </c>
      <c r="BF399" s="1168"/>
    </row>
    <row r="400" spans="1:58" x14ac:dyDescent="0.45">
      <c r="A400" s="695"/>
      <c r="B400" s="863"/>
      <c r="C400" s="871" t="s">
        <v>65</v>
      </c>
      <c r="D400" s="871"/>
      <c r="E400" s="871"/>
      <c r="F400" s="871"/>
      <c r="G400" s="1594"/>
      <c r="H400" s="1594">
        <f>IF(H$292&gt;$G393,0,PPMT($G394,H$292,$G393,-$G392))</f>
        <v>0</v>
      </c>
      <c r="I400" s="1594">
        <f t="shared" ref="I400:BE400" si="147">IF(I$292&gt;$G393,0,PPMT($G394,I$292,$G393,-$G392))</f>
        <v>0</v>
      </c>
      <c r="J400" s="1594">
        <f t="shared" si="147"/>
        <v>0</v>
      </c>
      <c r="K400" s="1594">
        <f t="shared" si="147"/>
        <v>0</v>
      </c>
      <c r="L400" s="1594">
        <f t="shared" si="147"/>
        <v>0</v>
      </c>
      <c r="M400" s="1594">
        <f t="shared" si="147"/>
        <v>0</v>
      </c>
      <c r="N400" s="1594">
        <f t="shared" si="147"/>
        <v>0</v>
      </c>
      <c r="O400" s="1594">
        <f t="shared" si="147"/>
        <v>0</v>
      </c>
      <c r="P400" s="1594">
        <f t="shared" si="147"/>
        <v>0</v>
      </c>
      <c r="Q400" s="1594">
        <f t="shared" si="147"/>
        <v>0</v>
      </c>
      <c r="R400" s="1594">
        <f t="shared" si="147"/>
        <v>0</v>
      </c>
      <c r="S400" s="1594">
        <f t="shared" si="147"/>
        <v>0</v>
      </c>
      <c r="T400" s="1594">
        <f t="shared" si="147"/>
        <v>0</v>
      </c>
      <c r="U400" s="1594">
        <f t="shared" si="147"/>
        <v>0</v>
      </c>
      <c r="V400" s="1594">
        <f t="shared" si="147"/>
        <v>0</v>
      </c>
      <c r="W400" s="1594">
        <f t="shared" si="147"/>
        <v>0</v>
      </c>
      <c r="X400" s="1594">
        <f t="shared" si="147"/>
        <v>0</v>
      </c>
      <c r="Y400" s="1594">
        <f t="shared" si="147"/>
        <v>0</v>
      </c>
      <c r="Z400" s="1594">
        <f t="shared" si="147"/>
        <v>0</v>
      </c>
      <c r="AA400" s="1594">
        <f t="shared" si="147"/>
        <v>0</v>
      </c>
      <c r="AB400" s="1594">
        <f t="shared" si="147"/>
        <v>0</v>
      </c>
      <c r="AC400" s="1594">
        <f t="shared" si="147"/>
        <v>0</v>
      </c>
      <c r="AD400" s="1594">
        <f t="shared" si="147"/>
        <v>0</v>
      </c>
      <c r="AE400" s="1594">
        <f t="shared" si="147"/>
        <v>0</v>
      </c>
      <c r="AF400" s="1594">
        <f t="shared" si="147"/>
        <v>0</v>
      </c>
      <c r="AG400" s="1594">
        <f t="shared" si="147"/>
        <v>0</v>
      </c>
      <c r="AH400" s="1594">
        <f t="shared" si="147"/>
        <v>0</v>
      </c>
      <c r="AI400" s="1594">
        <f t="shared" si="147"/>
        <v>0</v>
      </c>
      <c r="AJ400" s="1594">
        <f t="shared" si="147"/>
        <v>0</v>
      </c>
      <c r="AK400" s="1594">
        <f t="shared" si="147"/>
        <v>0</v>
      </c>
      <c r="AL400" s="1594">
        <f t="shared" si="147"/>
        <v>0</v>
      </c>
      <c r="AM400" s="1594">
        <f t="shared" si="147"/>
        <v>0</v>
      </c>
      <c r="AN400" s="1594">
        <f t="shared" si="147"/>
        <v>0</v>
      </c>
      <c r="AO400" s="1594">
        <f t="shared" si="147"/>
        <v>0</v>
      </c>
      <c r="AP400" s="1594">
        <f t="shared" si="147"/>
        <v>0</v>
      </c>
      <c r="AQ400" s="1594">
        <f t="shared" si="147"/>
        <v>0</v>
      </c>
      <c r="AR400" s="1594">
        <f t="shared" si="147"/>
        <v>0</v>
      </c>
      <c r="AS400" s="1594">
        <f t="shared" si="147"/>
        <v>0</v>
      </c>
      <c r="AT400" s="1594">
        <f t="shared" si="147"/>
        <v>0</v>
      </c>
      <c r="AU400" s="1594">
        <f t="shared" si="147"/>
        <v>0</v>
      </c>
      <c r="AV400" s="1594">
        <f t="shared" si="147"/>
        <v>0</v>
      </c>
      <c r="AW400" s="1594">
        <f t="shared" si="147"/>
        <v>0</v>
      </c>
      <c r="AX400" s="1594">
        <f t="shared" si="147"/>
        <v>0</v>
      </c>
      <c r="AY400" s="1594">
        <f t="shared" si="147"/>
        <v>0</v>
      </c>
      <c r="AZ400" s="1594">
        <f t="shared" si="147"/>
        <v>0</v>
      </c>
      <c r="BA400" s="1594">
        <f t="shared" si="147"/>
        <v>0</v>
      </c>
      <c r="BB400" s="1594">
        <f t="shared" si="147"/>
        <v>0</v>
      </c>
      <c r="BC400" s="1594">
        <f t="shared" si="147"/>
        <v>0</v>
      </c>
      <c r="BD400" s="1594">
        <f t="shared" si="147"/>
        <v>0</v>
      </c>
      <c r="BE400" s="1595">
        <f t="shared" si="147"/>
        <v>0</v>
      </c>
      <c r="BF400" s="1168"/>
    </row>
    <row r="401" spans="1:58" x14ac:dyDescent="0.45">
      <c r="A401" s="695"/>
      <c r="B401" s="863"/>
      <c r="C401" s="864" t="s">
        <v>67</v>
      </c>
      <c r="D401" s="864"/>
      <c r="E401" s="864"/>
      <c r="F401" s="864"/>
      <c r="G401" s="1592"/>
      <c r="H401" s="1592">
        <f>SUM(H399:H400)</f>
        <v>0</v>
      </c>
      <c r="I401" s="1592">
        <f t="shared" ref="I401:BE401" si="148">SUM(I399:I400)</f>
        <v>0</v>
      </c>
      <c r="J401" s="1592">
        <f t="shared" si="148"/>
        <v>0</v>
      </c>
      <c r="K401" s="1592">
        <f t="shared" si="148"/>
        <v>0</v>
      </c>
      <c r="L401" s="1592">
        <f t="shared" si="148"/>
        <v>0</v>
      </c>
      <c r="M401" s="1592">
        <f t="shared" si="148"/>
        <v>0</v>
      </c>
      <c r="N401" s="1592">
        <f t="shared" si="148"/>
        <v>0</v>
      </c>
      <c r="O401" s="1592">
        <f t="shared" si="148"/>
        <v>0</v>
      </c>
      <c r="P401" s="1592">
        <f t="shared" si="148"/>
        <v>0</v>
      </c>
      <c r="Q401" s="1592">
        <f t="shared" si="148"/>
        <v>0</v>
      </c>
      <c r="R401" s="1592">
        <f t="shared" si="148"/>
        <v>0</v>
      </c>
      <c r="S401" s="1592">
        <f t="shared" si="148"/>
        <v>0</v>
      </c>
      <c r="T401" s="1592">
        <f t="shared" si="148"/>
        <v>0</v>
      </c>
      <c r="U401" s="1592">
        <f t="shared" si="148"/>
        <v>0</v>
      </c>
      <c r="V401" s="1592">
        <f t="shared" si="148"/>
        <v>0</v>
      </c>
      <c r="W401" s="1592">
        <f t="shared" si="148"/>
        <v>0</v>
      </c>
      <c r="X401" s="1592">
        <f t="shared" si="148"/>
        <v>0</v>
      </c>
      <c r="Y401" s="1592">
        <f t="shared" si="148"/>
        <v>0</v>
      </c>
      <c r="Z401" s="1592">
        <f t="shared" si="148"/>
        <v>0</v>
      </c>
      <c r="AA401" s="1592">
        <f t="shared" si="148"/>
        <v>0</v>
      </c>
      <c r="AB401" s="1592">
        <f t="shared" si="148"/>
        <v>0</v>
      </c>
      <c r="AC401" s="1592">
        <f t="shared" si="148"/>
        <v>0</v>
      </c>
      <c r="AD401" s="1592">
        <f t="shared" si="148"/>
        <v>0</v>
      </c>
      <c r="AE401" s="1592">
        <f t="shared" si="148"/>
        <v>0</v>
      </c>
      <c r="AF401" s="1592">
        <f t="shared" si="148"/>
        <v>0</v>
      </c>
      <c r="AG401" s="1592">
        <f t="shared" si="148"/>
        <v>0</v>
      </c>
      <c r="AH401" s="1592">
        <f t="shared" si="148"/>
        <v>0</v>
      </c>
      <c r="AI401" s="1592">
        <f t="shared" si="148"/>
        <v>0</v>
      </c>
      <c r="AJ401" s="1592">
        <f t="shared" si="148"/>
        <v>0</v>
      </c>
      <c r="AK401" s="1592">
        <f t="shared" si="148"/>
        <v>0</v>
      </c>
      <c r="AL401" s="1592">
        <f t="shared" si="148"/>
        <v>0</v>
      </c>
      <c r="AM401" s="1592">
        <f t="shared" si="148"/>
        <v>0</v>
      </c>
      <c r="AN401" s="1592">
        <f t="shared" si="148"/>
        <v>0</v>
      </c>
      <c r="AO401" s="1592">
        <f t="shared" si="148"/>
        <v>0</v>
      </c>
      <c r="AP401" s="1592">
        <f t="shared" si="148"/>
        <v>0</v>
      </c>
      <c r="AQ401" s="1592">
        <f t="shared" si="148"/>
        <v>0</v>
      </c>
      <c r="AR401" s="1592">
        <f t="shared" si="148"/>
        <v>0</v>
      </c>
      <c r="AS401" s="1592">
        <f t="shared" si="148"/>
        <v>0</v>
      </c>
      <c r="AT401" s="1592">
        <f t="shared" si="148"/>
        <v>0</v>
      </c>
      <c r="AU401" s="1592">
        <f t="shared" si="148"/>
        <v>0</v>
      </c>
      <c r="AV401" s="1592">
        <f t="shared" si="148"/>
        <v>0</v>
      </c>
      <c r="AW401" s="1592">
        <f t="shared" si="148"/>
        <v>0</v>
      </c>
      <c r="AX401" s="1592">
        <f t="shared" si="148"/>
        <v>0</v>
      </c>
      <c r="AY401" s="1592">
        <f t="shared" si="148"/>
        <v>0</v>
      </c>
      <c r="AZ401" s="1592">
        <f t="shared" si="148"/>
        <v>0</v>
      </c>
      <c r="BA401" s="1592">
        <f t="shared" si="148"/>
        <v>0</v>
      </c>
      <c r="BB401" s="1592">
        <f t="shared" si="148"/>
        <v>0</v>
      </c>
      <c r="BC401" s="1592">
        <f t="shared" si="148"/>
        <v>0</v>
      </c>
      <c r="BD401" s="1592">
        <f t="shared" si="148"/>
        <v>0</v>
      </c>
      <c r="BE401" s="1593">
        <f t="shared" si="148"/>
        <v>0</v>
      </c>
      <c r="BF401" s="1168"/>
    </row>
    <row r="402" spans="1:58" x14ac:dyDescent="0.45">
      <c r="A402" s="695"/>
      <c r="B402" s="863"/>
      <c r="C402" s="864"/>
      <c r="D402" s="864"/>
      <c r="E402" s="864"/>
      <c r="F402" s="864"/>
      <c r="G402" s="1592"/>
      <c r="H402" s="1592"/>
      <c r="I402" s="1592"/>
      <c r="J402" s="1592"/>
      <c r="K402" s="1592"/>
      <c r="L402" s="1592"/>
      <c r="M402" s="1592"/>
      <c r="N402" s="1592"/>
      <c r="O402" s="1592"/>
      <c r="P402" s="1592"/>
      <c r="Q402" s="1592"/>
      <c r="R402" s="1592"/>
      <c r="S402" s="1592"/>
      <c r="T402" s="1592"/>
      <c r="U402" s="1592"/>
      <c r="V402" s="1592"/>
      <c r="W402" s="1592"/>
      <c r="X402" s="1592"/>
      <c r="Y402" s="1592"/>
      <c r="Z402" s="1592"/>
      <c r="AA402" s="1592"/>
      <c r="AB402" s="1592"/>
      <c r="AC402" s="1592"/>
      <c r="AD402" s="1592"/>
      <c r="AE402" s="1592"/>
      <c r="AF402" s="1592"/>
      <c r="AG402" s="1592"/>
      <c r="AH402" s="1592"/>
      <c r="AI402" s="1592"/>
      <c r="AJ402" s="1592"/>
      <c r="AK402" s="1592"/>
      <c r="AL402" s="1592"/>
      <c r="AM402" s="1592"/>
      <c r="AN402" s="1592"/>
      <c r="AO402" s="1592"/>
      <c r="AP402" s="1592"/>
      <c r="AQ402" s="1592"/>
      <c r="AR402" s="1592"/>
      <c r="AS402" s="1592"/>
      <c r="AT402" s="1592"/>
      <c r="AU402" s="1592"/>
      <c r="AV402" s="1592"/>
      <c r="AW402" s="1592"/>
      <c r="AX402" s="1592"/>
      <c r="AY402" s="1592"/>
      <c r="AZ402" s="1592"/>
      <c r="BA402" s="1592"/>
      <c r="BB402" s="1592"/>
      <c r="BC402" s="1592"/>
      <c r="BD402" s="1592"/>
      <c r="BE402" s="1593"/>
      <c r="BF402" s="1168"/>
    </row>
    <row r="403" spans="1:58" x14ac:dyDescent="0.45">
      <c r="A403" s="695"/>
      <c r="B403" s="863"/>
      <c r="C403" s="1023" t="s">
        <v>58</v>
      </c>
      <c r="D403" s="864"/>
      <c r="E403" s="864"/>
      <c r="F403" s="864"/>
      <c r="G403" s="1592"/>
      <c r="H403" s="1592"/>
      <c r="I403" s="1592"/>
      <c r="J403" s="1592"/>
      <c r="K403" s="1592"/>
      <c r="L403" s="1592"/>
      <c r="M403" s="1592"/>
      <c r="N403" s="1592"/>
      <c r="O403" s="1592"/>
      <c r="P403" s="1592"/>
      <c r="Q403" s="1592"/>
      <c r="R403" s="1592"/>
      <c r="S403" s="1592"/>
      <c r="T403" s="1592"/>
      <c r="U403" s="1592"/>
      <c r="V403" s="1592"/>
      <c r="W403" s="1592"/>
      <c r="X403" s="1592"/>
      <c r="Y403" s="1592"/>
      <c r="Z403" s="1592"/>
      <c r="AA403" s="1592"/>
      <c r="AB403" s="1592"/>
      <c r="AC403" s="1592"/>
      <c r="AD403" s="1592"/>
      <c r="AE403" s="1592"/>
      <c r="AF403" s="1592"/>
      <c r="AG403" s="1592"/>
      <c r="AH403" s="1592"/>
      <c r="AI403" s="1592"/>
      <c r="AJ403" s="1592"/>
      <c r="AK403" s="1592"/>
      <c r="AL403" s="1592"/>
      <c r="AM403" s="1592"/>
      <c r="AN403" s="1592"/>
      <c r="AO403" s="1592"/>
      <c r="AP403" s="1592"/>
      <c r="AQ403" s="1592"/>
      <c r="AR403" s="1592"/>
      <c r="AS403" s="1592"/>
      <c r="AT403" s="1592"/>
      <c r="AU403" s="1592"/>
      <c r="AV403" s="1592"/>
      <c r="AW403" s="1592"/>
      <c r="AX403" s="1592"/>
      <c r="AY403" s="1592"/>
      <c r="AZ403" s="1592"/>
      <c r="BA403" s="1592"/>
      <c r="BB403" s="1592"/>
      <c r="BC403" s="1592"/>
      <c r="BD403" s="1592"/>
      <c r="BE403" s="1593"/>
      <c r="BF403" s="1168"/>
    </row>
    <row r="404" spans="1:58" x14ac:dyDescent="0.45">
      <c r="A404" s="695"/>
      <c r="B404" s="863"/>
      <c r="C404" s="864" t="s">
        <v>68</v>
      </c>
      <c r="D404" s="864"/>
      <c r="E404" s="864"/>
      <c r="F404" s="864"/>
      <c r="G404" s="1592">
        <v>0</v>
      </c>
      <c r="H404" s="1592">
        <f t="shared" ref="H404:AM404" si="149">G407</f>
        <v>0</v>
      </c>
      <c r="I404" s="1592">
        <f t="shared" si="149"/>
        <v>0</v>
      </c>
      <c r="J404" s="1592">
        <f t="shared" si="149"/>
        <v>0</v>
      </c>
      <c r="K404" s="1592">
        <f t="shared" si="149"/>
        <v>0</v>
      </c>
      <c r="L404" s="1592">
        <f t="shared" si="149"/>
        <v>0</v>
      </c>
      <c r="M404" s="1592">
        <f t="shared" si="149"/>
        <v>0</v>
      </c>
      <c r="N404" s="1592">
        <f t="shared" si="149"/>
        <v>0</v>
      </c>
      <c r="O404" s="1592">
        <f t="shared" si="149"/>
        <v>0</v>
      </c>
      <c r="P404" s="1592">
        <f t="shared" si="149"/>
        <v>0</v>
      </c>
      <c r="Q404" s="1592">
        <f t="shared" si="149"/>
        <v>0</v>
      </c>
      <c r="R404" s="1592">
        <f t="shared" si="149"/>
        <v>0</v>
      </c>
      <c r="S404" s="1592">
        <f t="shared" si="149"/>
        <v>0</v>
      </c>
      <c r="T404" s="1592">
        <f t="shared" si="149"/>
        <v>0</v>
      </c>
      <c r="U404" s="1592">
        <f t="shared" si="149"/>
        <v>0</v>
      </c>
      <c r="V404" s="1592">
        <f t="shared" si="149"/>
        <v>0</v>
      </c>
      <c r="W404" s="1592">
        <f t="shared" si="149"/>
        <v>0</v>
      </c>
      <c r="X404" s="1592">
        <f t="shared" si="149"/>
        <v>0</v>
      </c>
      <c r="Y404" s="1592">
        <f t="shared" si="149"/>
        <v>0</v>
      </c>
      <c r="Z404" s="1592">
        <f t="shared" si="149"/>
        <v>0</v>
      </c>
      <c r="AA404" s="1592">
        <f t="shared" si="149"/>
        <v>0</v>
      </c>
      <c r="AB404" s="1592">
        <f t="shared" si="149"/>
        <v>0</v>
      </c>
      <c r="AC404" s="1592">
        <f t="shared" si="149"/>
        <v>0</v>
      </c>
      <c r="AD404" s="1592">
        <f t="shared" si="149"/>
        <v>0</v>
      </c>
      <c r="AE404" s="1592">
        <f t="shared" si="149"/>
        <v>0</v>
      </c>
      <c r="AF404" s="1592">
        <f t="shared" si="149"/>
        <v>0</v>
      </c>
      <c r="AG404" s="1592">
        <f t="shared" si="149"/>
        <v>0</v>
      </c>
      <c r="AH404" s="1592">
        <f t="shared" si="149"/>
        <v>0</v>
      </c>
      <c r="AI404" s="1592">
        <f t="shared" si="149"/>
        <v>0</v>
      </c>
      <c r="AJ404" s="1592">
        <f t="shared" si="149"/>
        <v>0</v>
      </c>
      <c r="AK404" s="1592">
        <f t="shared" si="149"/>
        <v>0</v>
      </c>
      <c r="AL404" s="1592">
        <f t="shared" si="149"/>
        <v>0</v>
      </c>
      <c r="AM404" s="1592">
        <f t="shared" si="149"/>
        <v>0</v>
      </c>
      <c r="AN404" s="1592">
        <f t="shared" ref="AN404:BE404" si="150">AM407</f>
        <v>0</v>
      </c>
      <c r="AO404" s="1592">
        <f t="shared" si="150"/>
        <v>0</v>
      </c>
      <c r="AP404" s="1592">
        <f t="shared" si="150"/>
        <v>0</v>
      </c>
      <c r="AQ404" s="1592">
        <f t="shared" si="150"/>
        <v>0</v>
      </c>
      <c r="AR404" s="1592">
        <f t="shared" si="150"/>
        <v>0</v>
      </c>
      <c r="AS404" s="1592">
        <f t="shared" si="150"/>
        <v>0</v>
      </c>
      <c r="AT404" s="1592">
        <f t="shared" si="150"/>
        <v>0</v>
      </c>
      <c r="AU404" s="1592">
        <f t="shared" si="150"/>
        <v>0</v>
      </c>
      <c r="AV404" s="1592">
        <f t="shared" si="150"/>
        <v>0</v>
      </c>
      <c r="AW404" s="1592">
        <f t="shared" si="150"/>
        <v>0</v>
      </c>
      <c r="AX404" s="1592">
        <f t="shared" si="150"/>
        <v>0</v>
      </c>
      <c r="AY404" s="1592">
        <f t="shared" si="150"/>
        <v>0</v>
      </c>
      <c r="AZ404" s="1592">
        <f t="shared" si="150"/>
        <v>0</v>
      </c>
      <c r="BA404" s="1592">
        <f t="shared" si="150"/>
        <v>0</v>
      </c>
      <c r="BB404" s="1592">
        <f t="shared" si="150"/>
        <v>0</v>
      </c>
      <c r="BC404" s="1592">
        <f t="shared" si="150"/>
        <v>0</v>
      </c>
      <c r="BD404" s="1592">
        <f t="shared" si="150"/>
        <v>0</v>
      </c>
      <c r="BE404" s="1593">
        <f t="shared" si="150"/>
        <v>0</v>
      </c>
      <c r="BF404" s="1168"/>
    </row>
    <row r="405" spans="1:58" x14ac:dyDescent="0.45">
      <c r="A405" s="695"/>
      <c r="B405" s="863"/>
      <c r="C405" s="864" t="s">
        <v>69</v>
      </c>
      <c r="D405" s="864"/>
      <c r="E405" s="864"/>
      <c r="F405" s="864"/>
      <c r="G405" s="1592">
        <f>G392</f>
        <v>0</v>
      </c>
      <c r="H405" s="1592">
        <v>0</v>
      </c>
      <c r="I405" s="1592">
        <v>0</v>
      </c>
      <c r="J405" s="1592">
        <v>0</v>
      </c>
      <c r="K405" s="1592">
        <v>0</v>
      </c>
      <c r="L405" s="1592">
        <v>0</v>
      </c>
      <c r="M405" s="1592">
        <v>0</v>
      </c>
      <c r="N405" s="1592">
        <v>0</v>
      </c>
      <c r="O405" s="1592">
        <v>0</v>
      </c>
      <c r="P405" s="1592">
        <v>0</v>
      </c>
      <c r="Q405" s="1592">
        <v>0</v>
      </c>
      <c r="R405" s="1592">
        <v>0</v>
      </c>
      <c r="S405" s="1592">
        <v>0</v>
      </c>
      <c r="T405" s="1592">
        <v>0</v>
      </c>
      <c r="U405" s="1592">
        <v>0</v>
      </c>
      <c r="V405" s="1592">
        <v>0</v>
      </c>
      <c r="W405" s="1592">
        <v>0</v>
      </c>
      <c r="X405" s="1592">
        <v>0</v>
      </c>
      <c r="Y405" s="1592">
        <v>0</v>
      </c>
      <c r="Z405" s="1592">
        <v>0</v>
      </c>
      <c r="AA405" s="1592">
        <v>0</v>
      </c>
      <c r="AB405" s="1592">
        <v>0</v>
      </c>
      <c r="AC405" s="1592">
        <v>0</v>
      </c>
      <c r="AD405" s="1592">
        <v>0</v>
      </c>
      <c r="AE405" s="1592">
        <v>0</v>
      </c>
      <c r="AF405" s="1592">
        <v>0</v>
      </c>
      <c r="AG405" s="1592">
        <v>0</v>
      </c>
      <c r="AH405" s="1592">
        <v>0</v>
      </c>
      <c r="AI405" s="1592">
        <v>0</v>
      </c>
      <c r="AJ405" s="1592">
        <v>0</v>
      </c>
      <c r="AK405" s="1592">
        <v>0</v>
      </c>
      <c r="AL405" s="1592">
        <v>0</v>
      </c>
      <c r="AM405" s="1592">
        <v>0</v>
      </c>
      <c r="AN405" s="1592">
        <v>0</v>
      </c>
      <c r="AO405" s="1592">
        <v>0</v>
      </c>
      <c r="AP405" s="1592">
        <v>0</v>
      </c>
      <c r="AQ405" s="1592">
        <v>0</v>
      </c>
      <c r="AR405" s="1592">
        <v>0</v>
      </c>
      <c r="AS405" s="1592">
        <v>0</v>
      </c>
      <c r="AT405" s="1592">
        <v>0</v>
      </c>
      <c r="AU405" s="1592">
        <v>0</v>
      </c>
      <c r="AV405" s="1592">
        <v>0</v>
      </c>
      <c r="AW405" s="1592">
        <v>0</v>
      </c>
      <c r="AX405" s="1592">
        <v>0</v>
      </c>
      <c r="AY405" s="1592">
        <v>0</v>
      </c>
      <c r="AZ405" s="1592">
        <v>0</v>
      </c>
      <c r="BA405" s="1592">
        <v>0</v>
      </c>
      <c r="BB405" s="1592">
        <v>0</v>
      </c>
      <c r="BC405" s="1592">
        <v>0</v>
      </c>
      <c r="BD405" s="1592">
        <v>0</v>
      </c>
      <c r="BE405" s="1593">
        <v>0</v>
      </c>
      <c r="BF405" s="1168"/>
    </row>
    <row r="406" spans="1:58" x14ac:dyDescent="0.45">
      <c r="A406" s="695"/>
      <c r="B406" s="863"/>
      <c r="C406" s="871" t="s">
        <v>70</v>
      </c>
      <c r="D406" s="871"/>
      <c r="E406" s="871"/>
      <c r="F406" s="871"/>
      <c r="G406" s="1594">
        <v>0</v>
      </c>
      <c r="H406" s="1594">
        <f>-H400</f>
        <v>0</v>
      </c>
      <c r="I406" s="1594">
        <f t="shared" ref="I406:BE406" si="151">-I400</f>
        <v>0</v>
      </c>
      <c r="J406" s="1594">
        <f t="shared" si="151"/>
        <v>0</v>
      </c>
      <c r="K406" s="1594">
        <f t="shared" si="151"/>
        <v>0</v>
      </c>
      <c r="L406" s="1594">
        <f t="shared" si="151"/>
        <v>0</v>
      </c>
      <c r="M406" s="1594">
        <f t="shared" si="151"/>
        <v>0</v>
      </c>
      <c r="N406" s="1594">
        <f t="shared" si="151"/>
        <v>0</v>
      </c>
      <c r="O406" s="1594">
        <f t="shared" si="151"/>
        <v>0</v>
      </c>
      <c r="P406" s="1594">
        <f t="shared" si="151"/>
        <v>0</v>
      </c>
      <c r="Q406" s="1594">
        <f t="shared" si="151"/>
        <v>0</v>
      </c>
      <c r="R406" s="1594">
        <f t="shared" si="151"/>
        <v>0</v>
      </c>
      <c r="S406" s="1594">
        <f t="shared" si="151"/>
        <v>0</v>
      </c>
      <c r="T406" s="1594">
        <f t="shared" si="151"/>
        <v>0</v>
      </c>
      <c r="U406" s="1594">
        <f t="shared" si="151"/>
        <v>0</v>
      </c>
      <c r="V406" s="1594">
        <f t="shared" si="151"/>
        <v>0</v>
      </c>
      <c r="W406" s="1594">
        <f t="shared" si="151"/>
        <v>0</v>
      </c>
      <c r="X406" s="1594">
        <f t="shared" si="151"/>
        <v>0</v>
      </c>
      <c r="Y406" s="1594">
        <f t="shared" si="151"/>
        <v>0</v>
      </c>
      <c r="Z406" s="1594">
        <f t="shared" si="151"/>
        <v>0</v>
      </c>
      <c r="AA406" s="1594">
        <f t="shared" si="151"/>
        <v>0</v>
      </c>
      <c r="AB406" s="1594">
        <f t="shared" si="151"/>
        <v>0</v>
      </c>
      <c r="AC406" s="1594">
        <f t="shared" si="151"/>
        <v>0</v>
      </c>
      <c r="AD406" s="1594">
        <f t="shared" si="151"/>
        <v>0</v>
      </c>
      <c r="AE406" s="1594">
        <f t="shared" si="151"/>
        <v>0</v>
      </c>
      <c r="AF406" s="1594">
        <f t="shared" si="151"/>
        <v>0</v>
      </c>
      <c r="AG406" s="1594">
        <f t="shared" si="151"/>
        <v>0</v>
      </c>
      <c r="AH406" s="1594">
        <f t="shared" si="151"/>
        <v>0</v>
      </c>
      <c r="AI406" s="1594">
        <f t="shared" si="151"/>
        <v>0</v>
      </c>
      <c r="AJ406" s="1594">
        <f t="shared" si="151"/>
        <v>0</v>
      </c>
      <c r="AK406" s="1594">
        <f t="shared" si="151"/>
        <v>0</v>
      </c>
      <c r="AL406" s="1594">
        <f t="shared" si="151"/>
        <v>0</v>
      </c>
      <c r="AM406" s="1594">
        <f t="shared" si="151"/>
        <v>0</v>
      </c>
      <c r="AN406" s="1594">
        <f t="shared" si="151"/>
        <v>0</v>
      </c>
      <c r="AO406" s="1594">
        <f t="shared" si="151"/>
        <v>0</v>
      </c>
      <c r="AP406" s="1594">
        <f t="shared" si="151"/>
        <v>0</v>
      </c>
      <c r="AQ406" s="1594">
        <f t="shared" si="151"/>
        <v>0</v>
      </c>
      <c r="AR406" s="1594">
        <f t="shared" si="151"/>
        <v>0</v>
      </c>
      <c r="AS406" s="1594">
        <f t="shared" si="151"/>
        <v>0</v>
      </c>
      <c r="AT406" s="1594">
        <f t="shared" si="151"/>
        <v>0</v>
      </c>
      <c r="AU406" s="1594">
        <f t="shared" si="151"/>
        <v>0</v>
      </c>
      <c r="AV406" s="1594">
        <f t="shared" si="151"/>
        <v>0</v>
      </c>
      <c r="AW406" s="1594">
        <f t="shared" si="151"/>
        <v>0</v>
      </c>
      <c r="AX406" s="1594">
        <f t="shared" si="151"/>
        <v>0</v>
      </c>
      <c r="AY406" s="1594">
        <f t="shared" si="151"/>
        <v>0</v>
      </c>
      <c r="AZ406" s="1594">
        <f t="shared" si="151"/>
        <v>0</v>
      </c>
      <c r="BA406" s="1594">
        <f t="shared" si="151"/>
        <v>0</v>
      </c>
      <c r="BB406" s="1594">
        <f t="shared" si="151"/>
        <v>0</v>
      </c>
      <c r="BC406" s="1594">
        <f t="shared" si="151"/>
        <v>0</v>
      </c>
      <c r="BD406" s="1594">
        <f t="shared" si="151"/>
        <v>0</v>
      </c>
      <c r="BE406" s="1595">
        <f t="shared" si="151"/>
        <v>0</v>
      </c>
      <c r="BF406" s="1168"/>
    </row>
    <row r="407" spans="1:58" x14ac:dyDescent="0.45">
      <c r="A407" s="695"/>
      <c r="B407" s="863"/>
      <c r="C407" s="864" t="s">
        <v>59</v>
      </c>
      <c r="D407" s="864"/>
      <c r="E407" s="864"/>
      <c r="F407" s="864"/>
      <c r="G407" s="1592">
        <f>SUM(G404:G406)</f>
        <v>0</v>
      </c>
      <c r="H407" s="1592">
        <f>SUM(H404:H406)</f>
        <v>0</v>
      </c>
      <c r="I407" s="1592">
        <f t="shared" ref="I407:BE407" si="152">SUM(I404:I406)</f>
        <v>0</v>
      </c>
      <c r="J407" s="1592">
        <f t="shared" si="152"/>
        <v>0</v>
      </c>
      <c r="K407" s="1592">
        <f t="shared" si="152"/>
        <v>0</v>
      </c>
      <c r="L407" s="1592">
        <f t="shared" si="152"/>
        <v>0</v>
      </c>
      <c r="M407" s="1592">
        <f t="shared" si="152"/>
        <v>0</v>
      </c>
      <c r="N407" s="1592">
        <f t="shared" si="152"/>
        <v>0</v>
      </c>
      <c r="O407" s="1592">
        <f t="shared" si="152"/>
        <v>0</v>
      </c>
      <c r="P407" s="1592">
        <f t="shared" si="152"/>
        <v>0</v>
      </c>
      <c r="Q407" s="1592">
        <f t="shared" si="152"/>
        <v>0</v>
      </c>
      <c r="R407" s="1592">
        <f t="shared" si="152"/>
        <v>0</v>
      </c>
      <c r="S407" s="1592">
        <f t="shared" si="152"/>
        <v>0</v>
      </c>
      <c r="T407" s="1592">
        <f t="shared" si="152"/>
        <v>0</v>
      </c>
      <c r="U407" s="1592">
        <f t="shared" si="152"/>
        <v>0</v>
      </c>
      <c r="V407" s="1592">
        <f t="shared" si="152"/>
        <v>0</v>
      </c>
      <c r="W407" s="1592">
        <f t="shared" si="152"/>
        <v>0</v>
      </c>
      <c r="X407" s="1592">
        <f t="shared" si="152"/>
        <v>0</v>
      </c>
      <c r="Y407" s="1592">
        <f t="shared" si="152"/>
        <v>0</v>
      </c>
      <c r="Z407" s="1592">
        <f t="shared" si="152"/>
        <v>0</v>
      </c>
      <c r="AA407" s="1592">
        <f t="shared" si="152"/>
        <v>0</v>
      </c>
      <c r="AB407" s="1592">
        <f t="shared" si="152"/>
        <v>0</v>
      </c>
      <c r="AC407" s="1592">
        <f t="shared" si="152"/>
        <v>0</v>
      </c>
      <c r="AD407" s="1592">
        <f t="shared" si="152"/>
        <v>0</v>
      </c>
      <c r="AE407" s="1592">
        <f t="shared" si="152"/>
        <v>0</v>
      </c>
      <c r="AF407" s="1592">
        <f t="shared" si="152"/>
        <v>0</v>
      </c>
      <c r="AG407" s="1592">
        <f t="shared" si="152"/>
        <v>0</v>
      </c>
      <c r="AH407" s="1592">
        <f t="shared" si="152"/>
        <v>0</v>
      </c>
      <c r="AI407" s="1592">
        <f t="shared" si="152"/>
        <v>0</v>
      </c>
      <c r="AJ407" s="1592">
        <f t="shared" si="152"/>
        <v>0</v>
      </c>
      <c r="AK407" s="1592">
        <f t="shared" si="152"/>
        <v>0</v>
      </c>
      <c r="AL407" s="1592">
        <f t="shared" si="152"/>
        <v>0</v>
      </c>
      <c r="AM407" s="1592">
        <f t="shared" si="152"/>
        <v>0</v>
      </c>
      <c r="AN407" s="1592">
        <f t="shared" si="152"/>
        <v>0</v>
      </c>
      <c r="AO407" s="1592">
        <f t="shared" si="152"/>
        <v>0</v>
      </c>
      <c r="AP407" s="1592">
        <f t="shared" si="152"/>
        <v>0</v>
      </c>
      <c r="AQ407" s="1592">
        <f t="shared" si="152"/>
        <v>0</v>
      </c>
      <c r="AR407" s="1592">
        <f t="shared" si="152"/>
        <v>0</v>
      </c>
      <c r="AS407" s="1592">
        <f t="shared" si="152"/>
        <v>0</v>
      </c>
      <c r="AT407" s="1592">
        <f t="shared" si="152"/>
        <v>0</v>
      </c>
      <c r="AU407" s="1592">
        <f t="shared" si="152"/>
        <v>0</v>
      </c>
      <c r="AV407" s="1592">
        <f t="shared" si="152"/>
        <v>0</v>
      </c>
      <c r="AW407" s="1592">
        <f t="shared" si="152"/>
        <v>0</v>
      </c>
      <c r="AX407" s="1592">
        <f t="shared" si="152"/>
        <v>0</v>
      </c>
      <c r="AY407" s="1592">
        <f t="shared" si="152"/>
        <v>0</v>
      </c>
      <c r="AZ407" s="1592">
        <f t="shared" si="152"/>
        <v>0</v>
      </c>
      <c r="BA407" s="1592">
        <f t="shared" si="152"/>
        <v>0</v>
      </c>
      <c r="BB407" s="1592">
        <f t="shared" si="152"/>
        <v>0</v>
      </c>
      <c r="BC407" s="1592">
        <f t="shared" si="152"/>
        <v>0</v>
      </c>
      <c r="BD407" s="1592">
        <f t="shared" si="152"/>
        <v>0</v>
      </c>
      <c r="BE407" s="1593">
        <f t="shared" si="152"/>
        <v>0</v>
      </c>
      <c r="BF407" s="1168"/>
    </row>
    <row r="408" spans="1:58" x14ac:dyDescent="0.45">
      <c r="A408" s="695"/>
      <c r="B408" s="863"/>
      <c r="C408" s="864"/>
      <c r="D408" s="864"/>
      <c r="E408" s="864"/>
      <c r="F408" s="864"/>
      <c r="G408" s="1592"/>
      <c r="H408" s="1592"/>
      <c r="I408" s="1592"/>
      <c r="J408" s="1592"/>
      <c r="K408" s="1592"/>
      <c r="L408" s="1592"/>
      <c r="M408" s="1592"/>
      <c r="N408" s="1592"/>
      <c r="O408" s="1592"/>
      <c r="P408" s="1592"/>
      <c r="Q408" s="1592"/>
      <c r="R408" s="1592"/>
      <c r="S408" s="1592"/>
      <c r="T408" s="1592"/>
      <c r="U408" s="1592"/>
      <c r="V408" s="1592"/>
      <c r="W408" s="1592"/>
      <c r="X408" s="1592"/>
      <c r="Y408" s="1592"/>
      <c r="Z408" s="1592"/>
      <c r="AA408" s="1592"/>
      <c r="AB408" s="1592"/>
      <c r="AC408" s="1592"/>
      <c r="AD408" s="1592"/>
      <c r="AE408" s="1592"/>
      <c r="AF408" s="1592"/>
      <c r="AG408" s="1592"/>
      <c r="AH408" s="1592"/>
      <c r="AI408" s="1592"/>
      <c r="AJ408" s="1592"/>
      <c r="AK408" s="1592"/>
      <c r="AL408" s="1592"/>
      <c r="AM408" s="1592"/>
      <c r="AN408" s="1592"/>
      <c r="AO408" s="1592"/>
      <c r="AP408" s="1592"/>
      <c r="AQ408" s="1592"/>
      <c r="AR408" s="1592"/>
      <c r="AS408" s="1592"/>
      <c r="AT408" s="1592"/>
      <c r="AU408" s="1592"/>
      <c r="AV408" s="1592"/>
      <c r="AW408" s="1592"/>
      <c r="AX408" s="1592"/>
      <c r="AY408" s="1592"/>
      <c r="AZ408" s="1592"/>
      <c r="BA408" s="1592"/>
      <c r="BB408" s="1592"/>
      <c r="BC408" s="1592"/>
      <c r="BD408" s="1592"/>
      <c r="BE408" s="1593"/>
      <c r="BF408" s="1168"/>
    </row>
    <row r="409" spans="1:58" x14ac:dyDescent="0.45">
      <c r="A409" s="695"/>
      <c r="B409" s="863"/>
      <c r="C409" s="1023" t="s">
        <v>64</v>
      </c>
      <c r="D409" s="864"/>
      <c r="E409" s="864"/>
      <c r="F409" s="864"/>
      <c r="G409" s="1592"/>
      <c r="H409" s="1592"/>
      <c r="I409" s="1592"/>
      <c r="J409" s="1592"/>
      <c r="K409" s="1592"/>
      <c r="L409" s="1592"/>
      <c r="M409" s="1592"/>
      <c r="N409" s="1592"/>
      <c r="O409" s="1592"/>
      <c r="P409" s="1592"/>
      <c r="Q409" s="1592"/>
      <c r="R409" s="1592"/>
      <c r="S409" s="1592"/>
      <c r="T409" s="1592"/>
      <c r="U409" s="1592"/>
      <c r="V409" s="1592"/>
      <c r="W409" s="1592"/>
      <c r="X409" s="1592"/>
      <c r="Y409" s="1592"/>
      <c r="Z409" s="1592"/>
      <c r="AA409" s="1592"/>
      <c r="AB409" s="1592"/>
      <c r="AC409" s="1592"/>
      <c r="AD409" s="1592"/>
      <c r="AE409" s="1592"/>
      <c r="AF409" s="1592"/>
      <c r="AG409" s="1592"/>
      <c r="AH409" s="1592"/>
      <c r="AI409" s="1592"/>
      <c r="AJ409" s="1592"/>
      <c r="AK409" s="1592"/>
      <c r="AL409" s="1592"/>
      <c r="AM409" s="1592"/>
      <c r="AN409" s="1592"/>
      <c r="AO409" s="1592"/>
      <c r="AP409" s="1592"/>
      <c r="AQ409" s="1592"/>
      <c r="AR409" s="1592"/>
      <c r="AS409" s="1592"/>
      <c r="AT409" s="1592"/>
      <c r="AU409" s="1592"/>
      <c r="AV409" s="1592"/>
      <c r="AW409" s="1592"/>
      <c r="AX409" s="1592"/>
      <c r="AY409" s="1592"/>
      <c r="AZ409" s="1592"/>
      <c r="BA409" s="1592"/>
      <c r="BB409" s="1592"/>
      <c r="BC409" s="1592"/>
      <c r="BD409" s="1592"/>
      <c r="BE409" s="1593"/>
      <c r="BF409" s="1168"/>
    </row>
    <row r="410" spans="1:58" x14ac:dyDescent="0.45">
      <c r="A410" s="695"/>
      <c r="B410" s="863"/>
      <c r="C410" s="864" t="s">
        <v>202</v>
      </c>
      <c r="D410" s="864"/>
      <c r="E410" s="864"/>
      <c r="F410" s="864"/>
      <c r="G410" s="1592"/>
      <c r="H410" s="1592">
        <f>IF($G392&gt;0, $G392*'II. Inputs, Baseline Energy Mix'!$O$82/10000,0)</f>
        <v>0</v>
      </c>
      <c r="I410" s="1592">
        <v>0</v>
      </c>
      <c r="J410" s="1592">
        <v>0</v>
      </c>
      <c r="K410" s="1592">
        <v>0</v>
      </c>
      <c r="L410" s="1592">
        <v>0</v>
      </c>
      <c r="M410" s="1592">
        <v>0</v>
      </c>
      <c r="N410" s="1592">
        <v>0</v>
      </c>
      <c r="O410" s="1592">
        <v>0</v>
      </c>
      <c r="P410" s="1592">
        <v>0</v>
      </c>
      <c r="Q410" s="1592">
        <v>0</v>
      </c>
      <c r="R410" s="1592">
        <v>0</v>
      </c>
      <c r="S410" s="1592">
        <v>0</v>
      </c>
      <c r="T410" s="1592">
        <v>0</v>
      </c>
      <c r="U410" s="1592">
        <v>0</v>
      </c>
      <c r="V410" s="1592">
        <v>0</v>
      </c>
      <c r="W410" s="1592">
        <v>0</v>
      </c>
      <c r="X410" s="1592">
        <v>0</v>
      </c>
      <c r="Y410" s="1592">
        <v>0</v>
      </c>
      <c r="Z410" s="1592">
        <v>0</v>
      </c>
      <c r="AA410" s="1592">
        <v>0</v>
      </c>
      <c r="AB410" s="1592">
        <v>0</v>
      </c>
      <c r="AC410" s="1592">
        <v>0</v>
      </c>
      <c r="AD410" s="1592">
        <v>0</v>
      </c>
      <c r="AE410" s="1592">
        <v>0</v>
      </c>
      <c r="AF410" s="1592">
        <v>0</v>
      </c>
      <c r="AG410" s="1592">
        <v>0</v>
      </c>
      <c r="AH410" s="1592">
        <v>0</v>
      </c>
      <c r="AI410" s="1592">
        <v>0</v>
      </c>
      <c r="AJ410" s="1592">
        <v>0</v>
      </c>
      <c r="AK410" s="1592">
        <v>0</v>
      </c>
      <c r="AL410" s="1592">
        <v>0</v>
      </c>
      <c r="AM410" s="1592">
        <v>0</v>
      </c>
      <c r="AN410" s="1592">
        <v>0</v>
      </c>
      <c r="AO410" s="1592">
        <v>0</v>
      </c>
      <c r="AP410" s="1592">
        <v>0</v>
      </c>
      <c r="AQ410" s="1592">
        <v>0</v>
      </c>
      <c r="AR410" s="1592">
        <v>0</v>
      </c>
      <c r="AS410" s="1592">
        <v>0</v>
      </c>
      <c r="AT410" s="1592">
        <v>0</v>
      </c>
      <c r="AU410" s="1592">
        <v>0</v>
      </c>
      <c r="AV410" s="1592">
        <v>0</v>
      </c>
      <c r="AW410" s="1592">
        <v>0</v>
      </c>
      <c r="AX410" s="1592">
        <v>0</v>
      </c>
      <c r="AY410" s="1592">
        <v>0</v>
      </c>
      <c r="AZ410" s="1592">
        <v>0</v>
      </c>
      <c r="BA410" s="1592">
        <v>0</v>
      </c>
      <c r="BB410" s="1592">
        <v>0</v>
      </c>
      <c r="BC410" s="1592">
        <v>0</v>
      </c>
      <c r="BD410" s="1592">
        <v>0</v>
      </c>
      <c r="BE410" s="1593">
        <v>0</v>
      </c>
      <c r="BF410" s="1168"/>
    </row>
    <row r="411" spans="1:58" x14ac:dyDescent="0.45">
      <c r="A411" s="695"/>
      <c r="B411" s="863"/>
      <c r="C411" s="864" t="str">
        <f>'II. Inputs, Baseline Energy Mix'!$E$85</f>
        <v>Front-end Fee, Public Guarantee</v>
      </c>
      <c r="D411" s="864"/>
      <c r="E411" s="864"/>
      <c r="F411" s="864"/>
      <c r="G411" s="1592"/>
      <c r="H411" s="1592">
        <f>IF($G392&gt;0, $G392*$G395*'II. Inputs, Baseline Energy Mix'!$O$85/10000,0)</f>
        <v>0</v>
      </c>
      <c r="I411" s="1592">
        <v>0</v>
      </c>
      <c r="J411" s="1592">
        <v>0</v>
      </c>
      <c r="K411" s="1592">
        <v>0</v>
      </c>
      <c r="L411" s="1592">
        <v>0</v>
      </c>
      <c r="M411" s="1592">
        <v>0</v>
      </c>
      <c r="N411" s="1592">
        <v>0</v>
      </c>
      <c r="O411" s="1592">
        <v>0</v>
      </c>
      <c r="P411" s="1592">
        <v>0</v>
      </c>
      <c r="Q411" s="1592">
        <v>0</v>
      </c>
      <c r="R411" s="1592">
        <v>0</v>
      </c>
      <c r="S411" s="1592">
        <v>0</v>
      </c>
      <c r="T411" s="1592">
        <v>0</v>
      </c>
      <c r="U411" s="1592">
        <v>0</v>
      </c>
      <c r="V411" s="1592">
        <v>0</v>
      </c>
      <c r="W411" s="1592">
        <v>0</v>
      </c>
      <c r="X411" s="1592">
        <v>0</v>
      </c>
      <c r="Y411" s="1592">
        <v>0</v>
      </c>
      <c r="Z411" s="1592">
        <v>0</v>
      </c>
      <c r="AA411" s="1592">
        <v>0</v>
      </c>
      <c r="AB411" s="1592">
        <v>0</v>
      </c>
      <c r="AC411" s="1592">
        <v>0</v>
      </c>
      <c r="AD411" s="1592">
        <v>0</v>
      </c>
      <c r="AE411" s="1592">
        <v>0</v>
      </c>
      <c r="AF411" s="1592">
        <v>0</v>
      </c>
      <c r="AG411" s="1592">
        <v>0</v>
      </c>
      <c r="AH411" s="1592">
        <v>0</v>
      </c>
      <c r="AI411" s="1592">
        <v>0</v>
      </c>
      <c r="AJ411" s="1592">
        <v>0</v>
      </c>
      <c r="AK411" s="1592">
        <v>0</v>
      </c>
      <c r="AL411" s="1592">
        <v>0</v>
      </c>
      <c r="AM411" s="1592">
        <v>0</v>
      </c>
      <c r="AN411" s="1592">
        <v>0</v>
      </c>
      <c r="AO411" s="1592">
        <v>0</v>
      </c>
      <c r="AP411" s="1592">
        <v>0</v>
      </c>
      <c r="AQ411" s="1592">
        <v>0</v>
      </c>
      <c r="AR411" s="1592">
        <v>0</v>
      </c>
      <c r="AS411" s="1592">
        <v>0</v>
      </c>
      <c r="AT411" s="1592">
        <v>0</v>
      </c>
      <c r="AU411" s="1592">
        <v>0</v>
      </c>
      <c r="AV411" s="1592">
        <v>0</v>
      </c>
      <c r="AW411" s="1592">
        <v>0</v>
      </c>
      <c r="AX411" s="1592">
        <v>0</v>
      </c>
      <c r="AY411" s="1592">
        <v>0</v>
      </c>
      <c r="AZ411" s="1592">
        <v>0</v>
      </c>
      <c r="BA411" s="1592">
        <v>0</v>
      </c>
      <c r="BB411" s="1592">
        <v>0</v>
      </c>
      <c r="BC411" s="1592">
        <v>0</v>
      </c>
      <c r="BD411" s="1592">
        <v>0</v>
      </c>
      <c r="BE411" s="1593">
        <v>0</v>
      </c>
      <c r="BF411" s="1168"/>
    </row>
    <row r="412" spans="1:58" x14ac:dyDescent="0.45">
      <c r="A412" s="695"/>
      <c r="B412" s="863"/>
      <c r="C412" s="864" t="str">
        <f>'II. Inputs, Baseline Energy Mix'!$E$86</f>
        <v xml:space="preserve">Annual Public Guarantee Fee </v>
      </c>
      <c r="D412" s="864"/>
      <c r="E412" s="864"/>
      <c r="F412" s="864"/>
      <c r="G412" s="1592"/>
      <c r="H412" s="1592">
        <f>IF(H$292&gt;$G396,0,((H404+H407)/2)*$G395*'II. Inputs, Baseline Energy Mix'!$O$86/10000)</f>
        <v>0</v>
      </c>
      <c r="I412" s="1592">
        <f>IF(I$292&gt;$G396,0,((I404+I407)/2)*$G395*'II. Inputs, Baseline Energy Mix'!$O$86/10000)</f>
        <v>0</v>
      </c>
      <c r="J412" s="1592">
        <f>IF(J$292&gt;$G396,0,((J404+J407)/2)*$G395*'II. Inputs, Baseline Energy Mix'!$O$86/10000)</f>
        <v>0</v>
      </c>
      <c r="K412" s="1592">
        <f>IF(K$292&gt;$G396,0,((K404+K407)/2)*$G395*'II. Inputs, Baseline Energy Mix'!$O$86/10000)</f>
        <v>0</v>
      </c>
      <c r="L412" s="1592">
        <f>IF(L$292&gt;$G396,0,((L404+L407)/2)*$G395*'II. Inputs, Baseline Energy Mix'!$O$86/10000)</f>
        <v>0</v>
      </c>
      <c r="M412" s="1592">
        <f>IF(M$292&gt;$G396,0,((M404+M407)/2)*$G395*'II. Inputs, Baseline Energy Mix'!$O$86/10000)</f>
        <v>0</v>
      </c>
      <c r="N412" s="1592">
        <f>IF(N$292&gt;$G396,0,((N404+N407)/2)*$G395*'II. Inputs, Baseline Energy Mix'!$O$86/10000)</f>
        <v>0</v>
      </c>
      <c r="O412" s="1592">
        <f>IF(O$292&gt;$G396,0,((O404+O407)/2)*$G395*'II. Inputs, Baseline Energy Mix'!$O$86/10000)</f>
        <v>0</v>
      </c>
      <c r="P412" s="1592">
        <f>IF(P$292&gt;$G396,0,((P404+P407)/2)*$G395*'II. Inputs, Baseline Energy Mix'!$O$86/10000)</f>
        <v>0</v>
      </c>
      <c r="Q412" s="1592">
        <f>IF(Q$292&gt;$G396,0,((Q404+Q407)/2)*$G395*'II. Inputs, Baseline Energy Mix'!$O$86/10000)</f>
        <v>0</v>
      </c>
      <c r="R412" s="1592">
        <f>IF(R$292&gt;$G396,0,((R404+R407)/2)*$G395*'II. Inputs, Baseline Energy Mix'!$O$86/10000)</f>
        <v>0</v>
      </c>
      <c r="S412" s="1592">
        <f>IF(S$292&gt;$G396,0,((S404+S407)/2)*$G395*'II. Inputs, Baseline Energy Mix'!$O$86/10000)</f>
        <v>0</v>
      </c>
      <c r="T412" s="1592">
        <f>IF(T$292&gt;$G396,0,((T404+T407)/2)*$G395*'II. Inputs, Baseline Energy Mix'!$O$86/10000)</f>
        <v>0</v>
      </c>
      <c r="U412" s="1592">
        <f>IF(U$292&gt;$G396,0,((U404+U407)/2)*$G395*'II. Inputs, Baseline Energy Mix'!$O$86/10000)</f>
        <v>0</v>
      </c>
      <c r="V412" s="1592">
        <f>IF(V$292&gt;$G396,0,((V404+V407)/2)*$G395*'II. Inputs, Baseline Energy Mix'!$O$86/10000)</f>
        <v>0</v>
      </c>
      <c r="W412" s="1592">
        <f>IF(W$292&gt;$G396,0,((W404+W407)/2)*$G395*'II. Inputs, Baseline Energy Mix'!$O$86/10000)</f>
        <v>0</v>
      </c>
      <c r="X412" s="1592">
        <f>IF(X$292&gt;$G396,0,((X404+X407)/2)*$G395*'II. Inputs, Baseline Energy Mix'!$O$86/10000)</f>
        <v>0</v>
      </c>
      <c r="Y412" s="1592">
        <f>IF(Y$292&gt;$G396,0,((Y404+Y407)/2)*$G395*'II. Inputs, Baseline Energy Mix'!$O$86/10000)</f>
        <v>0</v>
      </c>
      <c r="Z412" s="1592">
        <f>IF(Z$292&gt;$G396,0,((Z404+Z407)/2)*$G395*'II. Inputs, Baseline Energy Mix'!$O$86/10000)</f>
        <v>0</v>
      </c>
      <c r="AA412" s="1592">
        <f>IF(AA$292&gt;$G396,0,((AA404+AA407)/2)*$G395*'II. Inputs, Baseline Energy Mix'!$O$86/10000)</f>
        <v>0</v>
      </c>
      <c r="AB412" s="1592">
        <f>IF(AB$292&gt;$G396,0,((AB404+AB407)/2)*$G395*'II. Inputs, Baseline Energy Mix'!$O$86/10000)</f>
        <v>0</v>
      </c>
      <c r="AC412" s="1592">
        <f>IF(AC$292&gt;$G396,0,((AC404+AC407)/2)*$G395*'II. Inputs, Baseline Energy Mix'!$O$86/10000)</f>
        <v>0</v>
      </c>
      <c r="AD412" s="1592">
        <f>IF(AD$292&gt;$G396,0,((AD404+AD407)/2)*$G395*'II. Inputs, Baseline Energy Mix'!$O$86/10000)</f>
        <v>0</v>
      </c>
      <c r="AE412" s="1592">
        <f>IF(AE$292&gt;$G396,0,((AE404+AE407)/2)*$G395*'II. Inputs, Baseline Energy Mix'!$O$86/10000)</f>
        <v>0</v>
      </c>
      <c r="AF412" s="1592">
        <f>IF(AF$292&gt;$G396,0,((AF404+AF407)/2)*$G395*'II. Inputs, Baseline Energy Mix'!$O$86/10000)</f>
        <v>0</v>
      </c>
      <c r="AG412" s="1592">
        <f>IF(AG$292&gt;$G396,0,((AG404+AG407)/2)*$G395*'II. Inputs, Baseline Energy Mix'!$O$86/10000)</f>
        <v>0</v>
      </c>
      <c r="AH412" s="1592">
        <f>IF(AH$292&gt;$G396,0,((AH404+AH407)/2)*$G395*'II. Inputs, Baseline Energy Mix'!$O$86/10000)</f>
        <v>0</v>
      </c>
      <c r="AI412" s="1592">
        <f>IF(AI$292&gt;$G396,0,((AI404+AI407)/2)*$G395*'II. Inputs, Baseline Energy Mix'!$O$86/10000)</f>
        <v>0</v>
      </c>
      <c r="AJ412" s="1592">
        <f>IF(AJ$292&gt;$G396,0,((AJ404+AJ407)/2)*$G395*'II. Inputs, Baseline Energy Mix'!$O$86/10000)</f>
        <v>0</v>
      </c>
      <c r="AK412" s="1592">
        <f>IF(AK$292&gt;$G396,0,((AK404+AK407)/2)*$G395*'II. Inputs, Baseline Energy Mix'!$O$86/10000)</f>
        <v>0</v>
      </c>
      <c r="AL412" s="1592">
        <f>IF(AL$292&gt;$G396,0,((AL404+AL407)/2)*$G395*'II. Inputs, Baseline Energy Mix'!$O$86/10000)</f>
        <v>0</v>
      </c>
      <c r="AM412" s="1592">
        <f>IF(AM$292&gt;$G396,0,((AM404+AM407)/2)*$G395*'II. Inputs, Baseline Energy Mix'!$O$86/10000)</f>
        <v>0</v>
      </c>
      <c r="AN412" s="1592">
        <f>IF(AN$292&gt;$G396,0,((AN404+AN407)/2)*$G395*'II. Inputs, Baseline Energy Mix'!$O$86/10000)</f>
        <v>0</v>
      </c>
      <c r="AO412" s="1592">
        <f>IF(AO$292&gt;$G396,0,((AO404+AO407)/2)*$G395*'II. Inputs, Baseline Energy Mix'!$O$86/10000)</f>
        <v>0</v>
      </c>
      <c r="AP412" s="1592">
        <f>IF(AP$292&gt;$G396,0,((AP404+AP407)/2)*$G395*'II. Inputs, Baseline Energy Mix'!$O$86/10000)</f>
        <v>0</v>
      </c>
      <c r="AQ412" s="1592">
        <f>IF(AQ$292&gt;$G396,0,((AQ404+AQ407)/2)*$G395*'II. Inputs, Baseline Energy Mix'!$O$86/10000)</f>
        <v>0</v>
      </c>
      <c r="AR412" s="1592">
        <f>IF(AR$292&gt;$G396,0,((AR404+AR407)/2)*$G395*'II. Inputs, Baseline Energy Mix'!$O$86/10000)</f>
        <v>0</v>
      </c>
      <c r="AS412" s="1592">
        <f>IF(AS$292&gt;$G396,0,((AS404+AS407)/2)*$G395*'II. Inputs, Baseline Energy Mix'!$O$86/10000)</f>
        <v>0</v>
      </c>
      <c r="AT412" s="1592">
        <f>IF(AT$292&gt;$G396,0,((AT404+AT407)/2)*$G395*'II. Inputs, Baseline Energy Mix'!$O$86/10000)</f>
        <v>0</v>
      </c>
      <c r="AU412" s="1592">
        <f>IF(AU$292&gt;$G396,0,((AU404+AU407)/2)*$G395*'II. Inputs, Baseline Energy Mix'!$O$86/10000)</f>
        <v>0</v>
      </c>
      <c r="AV412" s="1592">
        <f>IF(AV$292&gt;$G396,0,((AV404+AV407)/2)*$G395*'II. Inputs, Baseline Energy Mix'!$O$86/10000)</f>
        <v>0</v>
      </c>
      <c r="AW412" s="1592">
        <f>IF(AW$292&gt;$G396,0,((AW404+AW407)/2)*$G395*'II. Inputs, Baseline Energy Mix'!$O$86/10000)</f>
        <v>0</v>
      </c>
      <c r="AX412" s="1592">
        <f>IF(AX$292&gt;$G396,0,((AX404+AX407)/2)*$G395*'II. Inputs, Baseline Energy Mix'!$O$86/10000)</f>
        <v>0</v>
      </c>
      <c r="AY412" s="1592">
        <f>IF(AY$292&gt;$G396,0,((AY404+AY407)/2)*$G395*'II. Inputs, Baseline Energy Mix'!$O$86/10000)</f>
        <v>0</v>
      </c>
      <c r="AZ412" s="1592">
        <f>IF(AZ$292&gt;$G396,0,((AZ404+AZ407)/2)*$G395*'II. Inputs, Baseline Energy Mix'!$O$86/10000)</f>
        <v>0</v>
      </c>
      <c r="BA412" s="1592">
        <f>IF(BA$292&gt;$G396,0,((BA404+BA407)/2)*$G395*'II. Inputs, Baseline Energy Mix'!$O$86/10000)</f>
        <v>0</v>
      </c>
      <c r="BB412" s="1592">
        <f>IF(BB$292&gt;$G396,0,((BB404+BB407)/2)*$G395*'II. Inputs, Baseline Energy Mix'!$O$86/10000)</f>
        <v>0</v>
      </c>
      <c r="BC412" s="1592">
        <f>IF(BC$292&gt;$G396,0,((BC404+BC407)/2)*$G395*'II. Inputs, Baseline Energy Mix'!$O$86/10000)</f>
        <v>0</v>
      </c>
      <c r="BD412" s="1592">
        <f>IF(BD$292&gt;$G396,0,((BD404+BD407)/2)*$G395*'II. Inputs, Baseline Energy Mix'!$O$86/10000)</f>
        <v>0</v>
      </c>
      <c r="BE412" s="1593">
        <f>IF(BE$292&gt;$G396,0,((BE404+BE407)/2)*$G395*'II. Inputs, Baseline Energy Mix'!$O$86/10000)</f>
        <v>0</v>
      </c>
      <c r="BF412" s="1168"/>
    </row>
    <row r="413" spans="1:58" x14ac:dyDescent="0.45">
      <c r="A413" s="695"/>
      <c r="B413" s="863"/>
      <c r="C413" s="864"/>
      <c r="D413" s="864"/>
      <c r="E413" s="864"/>
      <c r="F413" s="864"/>
      <c r="G413" s="1017"/>
      <c r="H413" s="1017"/>
      <c r="I413" s="1017"/>
      <c r="J413" s="1017"/>
      <c r="K413" s="1017"/>
      <c r="L413" s="1017"/>
      <c r="M413" s="1017"/>
      <c r="N413" s="1017"/>
      <c r="O413" s="1017"/>
      <c r="P413" s="1017"/>
      <c r="Q413" s="1017"/>
      <c r="R413" s="1017"/>
      <c r="S413" s="1017"/>
      <c r="T413" s="1017"/>
      <c r="U413" s="1017"/>
      <c r="V413" s="1017"/>
      <c r="W413" s="1017"/>
      <c r="X413" s="1017"/>
      <c r="Y413" s="1017"/>
      <c r="Z413" s="1017"/>
      <c r="AA413" s="1017"/>
      <c r="AB413" s="1017"/>
      <c r="AC413" s="1017"/>
      <c r="AD413" s="1017"/>
      <c r="AE413" s="1017"/>
      <c r="AF413" s="1017"/>
      <c r="AG413" s="1017"/>
      <c r="AH413" s="1017"/>
      <c r="AI413" s="1017"/>
      <c r="AJ413" s="1017"/>
      <c r="AK413" s="1017"/>
      <c r="AL413" s="1017"/>
      <c r="AM413" s="1017"/>
      <c r="AN413" s="1017"/>
      <c r="AO413" s="1017"/>
      <c r="AP413" s="1017"/>
      <c r="AQ413" s="1017"/>
      <c r="AR413" s="1017"/>
      <c r="AS413" s="1017"/>
      <c r="AT413" s="1017"/>
      <c r="AU413" s="1017"/>
      <c r="AV413" s="1017"/>
      <c r="AW413" s="1017"/>
      <c r="AX413" s="1017"/>
      <c r="AY413" s="1017"/>
      <c r="AZ413" s="1017"/>
      <c r="BA413" s="1017"/>
      <c r="BB413" s="1017"/>
      <c r="BC413" s="1017"/>
      <c r="BD413" s="1017"/>
      <c r="BE413" s="1018"/>
      <c r="BF413" s="695"/>
    </row>
    <row r="414" spans="1:58" ht="13.15" x14ac:dyDescent="0.45">
      <c r="A414" s="695"/>
      <c r="B414" s="876" t="s">
        <v>152</v>
      </c>
      <c r="C414" s="864"/>
      <c r="D414" s="864"/>
      <c r="E414" s="864"/>
      <c r="F414" s="864"/>
      <c r="G414" s="1017"/>
      <c r="H414" s="1017"/>
      <c r="I414" s="1017"/>
      <c r="J414" s="1017"/>
      <c r="K414" s="1017"/>
      <c r="L414" s="1017"/>
      <c r="M414" s="1017"/>
      <c r="N414" s="1017"/>
      <c r="O414" s="1017"/>
      <c r="P414" s="1017"/>
      <c r="Q414" s="1017"/>
      <c r="R414" s="1017"/>
      <c r="S414" s="1017"/>
      <c r="T414" s="1017"/>
      <c r="U414" s="1017"/>
      <c r="V414" s="1017"/>
      <c r="W414" s="1017"/>
      <c r="X414" s="1017"/>
      <c r="Y414" s="1017"/>
      <c r="Z414" s="1017"/>
      <c r="AA414" s="1017"/>
      <c r="AB414" s="1017"/>
      <c r="AC414" s="1017"/>
      <c r="AD414" s="1017"/>
      <c r="AE414" s="1017"/>
      <c r="AF414" s="1017"/>
      <c r="AG414" s="1017"/>
      <c r="AH414" s="1017"/>
      <c r="AI414" s="1017"/>
      <c r="AJ414" s="1017"/>
      <c r="AK414" s="1017"/>
      <c r="AL414" s="1017"/>
      <c r="AM414" s="1017"/>
      <c r="AN414" s="1017"/>
      <c r="AO414" s="1017"/>
      <c r="AP414" s="1017"/>
      <c r="AQ414" s="1017"/>
      <c r="AR414" s="1017"/>
      <c r="AS414" s="1017"/>
      <c r="AT414" s="1017"/>
      <c r="AU414" s="1017"/>
      <c r="AV414" s="1017"/>
      <c r="AW414" s="1017"/>
      <c r="AX414" s="1017"/>
      <c r="AY414" s="1017"/>
      <c r="AZ414" s="1017"/>
      <c r="BA414" s="1017"/>
      <c r="BB414" s="1017"/>
      <c r="BC414" s="1017"/>
      <c r="BD414" s="1017"/>
      <c r="BE414" s="1018"/>
      <c r="BF414" s="695"/>
    </row>
    <row r="415" spans="1:58" x14ac:dyDescent="0.45">
      <c r="A415" s="695"/>
      <c r="B415" s="863"/>
      <c r="C415" s="1019" t="s">
        <v>61</v>
      </c>
      <c r="D415" s="864"/>
      <c r="E415" s="864"/>
      <c r="F415" s="864"/>
      <c r="G415" s="1592">
        <f>IF('II. Inputs, Baseline Energy Mix'!$O$19&gt;0,('II. Inputs, Baseline Energy Mix'!$O$20*'II. Inputs, Baseline Energy Mix'!$O$21*'II. Inputs, Baseline Energy Mix'!$O$36*'II. Inputs, Baseline Energy Mix'!$O$40),0)</f>
        <v>0</v>
      </c>
      <c r="H415" s="1017"/>
      <c r="I415" s="1017"/>
      <c r="J415" s="1017"/>
      <c r="K415" s="1017"/>
      <c r="L415" s="1017"/>
      <c r="M415" s="1017"/>
      <c r="N415" s="1017"/>
      <c r="O415" s="1017"/>
      <c r="P415" s="1017"/>
      <c r="Q415" s="1017"/>
      <c r="R415" s="1017"/>
      <c r="S415" s="1017"/>
      <c r="T415" s="1017"/>
      <c r="U415" s="1017"/>
      <c r="V415" s="1017"/>
      <c r="W415" s="1017"/>
      <c r="X415" s="1017"/>
      <c r="Y415" s="1017"/>
      <c r="Z415" s="1017"/>
      <c r="AA415" s="1017"/>
      <c r="AB415" s="1017"/>
      <c r="AC415" s="1017"/>
      <c r="AD415" s="1017"/>
      <c r="AE415" s="1017"/>
      <c r="AF415" s="1017"/>
      <c r="AG415" s="1017"/>
      <c r="AH415" s="1017"/>
      <c r="AI415" s="1017"/>
      <c r="AJ415" s="1017"/>
      <c r="AK415" s="1017"/>
      <c r="AL415" s="1017"/>
      <c r="AM415" s="1017"/>
      <c r="AN415" s="1017"/>
      <c r="AO415" s="1017"/>
      <c r="AP415" s="1017"/>
      <c r="AQ415" s="1017"/>
      <c r="AR415" s="1017"/>
      <c r="AS415" s="1017"/>
      <c r="AT415" s="1017"/>
      <c r="AU415" s="1017"/>
      <c r="AV415" s="1017"/>
      <c r="AW415" s="1017"/>
      <c r="AX415" s="1017"/>
      <c r="AY415" s="1017"/>
      <c r="AZ415" s="1017"/>
      <c r="BA415" s="1017"/>
      <c r="BB415" s="1017"/>
      <c r="BC415" s="1017"/>
      <c r="BD415" s="1017"/>
      <c r="BE415" s="1018"/>
      <c r="BF415" s="695"/>
    </row>
    <row r="416" spans="1:58" x14ac:dyDescent="0.45">
      <c r="A416" s="695"/>
      <c r="B416" s="863"/>
      <c r="C416" s="1019" t="s">
        <v>62</v>
      </c>
      <c r="D416" s="864"/>
      <c r="E416" s="864"/>
      <c r="F416" s="864"/>
      <c r="G416" s="1020">
        <f>SUM('II. Inputs, Baseline Energy Mix'!$O$52)</f>
        <v>0</v>
      </c>
      <c r="H416" s="1017"/>
      <c r="I416" s="1017"/>
      <c r="J416" s="1017"/>
      <c r="K416" s="1017"/>
      <c r="L416" s="1017"/>
      <c r="M416" s="1017"/>
      <c r="N416" s="1017"/>
      <c r="O416" s="1017"/>
      <c r="P416" s="1017"/>
      <c r="Q416" s="1017"/>
      <c r="R416" s="1017"/>
      <c r="S416" s="1017"/>
      <c r="T416" s="1017"/>
      <c r="U416" s="1017"/>
      <c r="V416" s="1017"/>
      <c r="W416" s="1017"/>
      <c r="X416" s="1017"/>
      <c r="Y416" s="1017"/>
      <c r="Z416" s="1017"/>
      <c r="AA416" s="1017"/>
      <c r="AB416" s="1017"/>
      <c r="AC416" s="1017"/>
      <c r="AD416" s="1017"/>
      <c r="AE416" s="1017"/>
      <c r="AF416" s="1017"/>
      <c r="AG416" s="1017"/>
      <c r="AH416" s="1017"/>
      <c r="AI416" s="1017"/>
      <c r="AJ416" s="1017"/>
      <c r="AK416" s="1017"/>
      <c r="AL416" s="1017"/>
      <c r="AM416" s="1017"/>
      <c r="AN416" s="1017"/>
      <c r="AO416" s="1017"/>
      <c r="AP416" s="1017"/>
      <c r="AQ416" s="1017"/>
      <c r="AR416" s="1017"/>
      <c r="AS416" s="1017"/>
      <c r="AT416" s="1017"/>
      <c r="AU416" s="1017"/>
      <c r="AV416" s="1017"/>
      <c r="AW416" s="1017"/>
      <c r="AX416" s="1017"/>
      <c r="AY416" s="1017"/>
      <c r="AZ416" s="1017"/>
      <c r="BA416" s="1017"/>
      <c r="BB416" s="1017"/>
      <c r="BC416" s="1017"/>
      <c r="BD416" s="1017"/>
      <c r="BE416" s="1018"/>
      <c r="BF416" s="695"/>
    </row>
    <row r="417" spans="1:58" x14ac:dyDescent="0.45">
      <c r="A417" s="695"/>
      <c r="B417" s="863"/>
      <c r="C417" s="1019" t="s">
        <v>63</v>
      </c>
      <c r="D417" s="864"/>
      <c r="E417" s="864"/>
      <c r="F417" s="864"/>
      <c r="G417" s="1024">
        <f>SUM('II. Inputs, Baseline Energy Mix'!$O$47)</f>
        <v>0</v>
      </c>
      <c r="H417" s="1017"/>
      <c r="I417" s="1017"/>
      <c r="J417" s="1017"/>
      <c r="K417" s="1017"/>
      <c r="L417" s="1017"/>
      <c r="M417" s="1017"/>
      <c r="N417" s="1017"/>
      <c r="O417" s="1017"/>
      <c r="P417" s="1017"/>
      <c r="Q417" s="1017"/>
      <c r="R417" s="1017"/>
      <c r="S417" s="1017"/>
      <c r="T417" s="1017"/>
      <c r="U417" s="1017"/>
      <c r="V417" s="1017"/>
      <c r="W417" s="1017"/>
      <c r="X417" s="1017"/>
      <c r="Y417" s="1017"/>
      <c r="Z417" s="1017"/>
      <c r="AA417" s="1017"/>
      <c r="AB417" s="1017"/>
      <c r="AC417" s="1017"/>
      <c r="AD417" s="1017"/>
      <c r="AE417" s="1017"/>
      <c r="AF417" s="1017"/>
      <c r="AG417" s="1017"/>
      <c r="AH417" s="1017"/>
      <c r="AI417" s="1017"/>
      <c r="AJ417" s="1017"/>
      <c r="AK417" s="1017"/>
      <c r="AL417" s="1017"/>
      <c r="AM417" s="1017"/>
      <c r="AN417" s="1017"/>
      <c r="AO417" s="1017"/>
      <c r="AP417" s="1017"/>
      <c r="AQ417" s="1017"/>
      <c r="AR417" s="1017"/>
      <c r="AS417" s="1017"/>
      <c r="AT417" s="1017"/>
      <c r="AU417" s="1017"/>
      <c r="AV417" s="1017"/>
      <c r="AW417" s="1017"/>
      <c r="AX417" s="1017"/>
      <c r="AY417" s="1017"/>
      <c r="AZ417" s="1017"/>
      <c r="BA417" s="1017"/>
      <c r="BB417" s="1017"/>
      <c r="BC417" s="1017"/>
      <c r="BD417" s="1017"/>
      <c r="BE417" s="1018"/>
      <c r="BF417" s="695"/>
    </row>
    <row r="418" spans="1:58" x14ac:dyDescent="0.45">
      <c r="A418" s="695"/>
      <c r="B418" s="863"/>
      <c r="C418" s="864"/>
      <c r="D418" s="864"/>
      <c r="E418" s="864"/>
      <c r="F418" s="864"/>
      <c r="G418" s="1017"/>
      <c r="H418" s="1017"/>
      <c r="I418" s="1017"/>
      <c r="J418" s="1017"/>
      <c r="K418" s="1017"/>
      <c r="L418" s="1017"/>
      <c r="M418" s="1017"/>
      <c r="N418" s="1017"/>
      <c r="O418" s="1017"/>
      <c r="P418" s="1017"/>
      <c r="Q418" s="1017"/>
      <c r="R418" s="1017"/>
      <c r="S418" s="1017"/>
      <c r="T418" s="1017"/>
      <c r="U418" s="1017"/>
      <c r="V418" s="1017"/>
      <c r="W418" s="1017"/>
      <c r="X418" s="1017"/>
      <c r="Y418" s="1017"/>
      <c r="Z418" s="1017"/>
      <c r="AA418" s="1017"/>
      <c r="AB418" s="1017"/>
      <c r="AC418" s="1017"/>
      <c r="AD418" s="1017"/>
      <c r="AE418" s="1017"/>
      <c r="AF418" s="1017"/>
      <c r="AG418" s="1017"/>
      <c r="AH418" s="1017"/>
      <c r="AI418" s="1017"/>
      <c r="AJ418" s="1017"/>
      <c r="AK418" s="1017"/>
      <c r="AL418" s="1017"/>
      <c r="AM418" s="1017"/>
      <c r="AN418" s="1017"/>
      <c r="AO418" s="1017"/>
      <c r="AP418" s="1017"/>
      <c r="AQ418" s="1017"/>
      <c r="AR418" s="1017"/>
      <c r="AS418" s="1017"/>
      <c r="AT418" s="1017"/>
      <c r="AU418" s="1017"/>
      <c r="AV418" s="1017"/>
      <c r="AW418" s="1017"/>
      <c r="AX418" s="1017"/>
      <c r="AY418" s="1017"/>
      <c r="AZ418" s="1017"/>
      <c r="BA418" s="1017"/>
      <c r="BB418" s="1017"/>
      <c r="BC418" s="1017"/>
      <c r="BD418" s="1017"/>
      <c r="BE418" s="1018"/>
      <c r="BF418" s="695"/>
    </row>
    <row r="419" spans="1:58" x14ac:dyDescent="0.45">
      <c r="A419" s="695"/>
      <c r="B419" s="863"/>
      <c r="C419" s="1022" t="s">
        <v>60</v>
      </c>
      <c r="D419" s="864"/>
      <c r="E419" s="864"/>
      <c r="F419" s="864"/>
      <c r="G419" s="1017"/>
      <c r="H419" s="1017"/>
      <c r="I419" s="1017"/>
      <c r="J419" s="1017"/>
      <c r="K419" s="1017"/>
      <c r="L419" s="1017"/>
      <c r="M419" s="1017"/>
      <c r="N419" s="1017"/>
      <c r="O419" s="1017"/>
      <c r="P419" s="1017"/>
      <c r="Q419" s="1017"/>
      <c r="R419" s="1017"/>
      <c r="S419" s="1017"/>
      <c r="T419" s="1017"/>
      <c r="U419" s="1017"/>
      <c r="V419" s="1017"/>
      <c r="W419" s="1017"/>
      <c r="X419" s="1017"/>
      <c r="Y419" s="1017"/>
      <c r="Z419" s="1017"/>
      <c r="AA419" s="1017"/>
      <c r="AB419" s="1017"/>
      <c r="AC419" s="1017"/>
      <c r="AD419" s="1017"/>
      <c r="AE419" s="1017"/>
      <c r="AF419" s="1017"/>
      <c r="AG419" s="1017"/>
      <c r="AH419" s="1017"/>
      <c r="AI419" s="1017"/>
      <c r="AJ419" s="1017"/>
      <c r="AK419" s="1017"/>
      <c r="AL419" s="1017"/>
      <c r="AM419" s="1017"/>
      <c r="AN419" s="1017"/>
      <c r="AO419" s="1017"/>
      <c r="AP419" s="1017"/>
      <c r="AQ419" s="1017"/>
      <c r="AR419" s="1017"/>
      <c r="AS419" s="1017"/>
      <c r="AT419" s="1017"/>
      <c r="AU419" s="1017"/>
      <c r="AV419" s="1017"/>
      <c r="AW419" s="1017"/>
      <c r="AX419" s="1017"/>
      <c r="AY419" s="1017"/>
      <c r="AZ419" s="1017"/>
      <c r="BA419" s="1017"/>
      <c r="BB419" s="1017"/>
      <c r="BC419" s="1017"/>
      <c r="BD419" s="1017"/>
      <c r="BE419" s="1018"/>
      <c r="BF419" s="695"/>
    </row>
    <row r="420" spans="1:58" x14ac:dyDescent="0.45">
      <c r="A420" s="695"/>
      <c r="B420" s="863"/>
      <c r="C420" s="864" t="s">
        <v>66</v>
      </c>
      <c r="D420" s="864"/>
      <c r="E420" s="864"/>
      <c r="F420" s="864"/>
      <c r="G420" s="1592"/>
      <c r="H420" s="1592">
        <f>IF(H$292&gt;$G416,0,IPMT($G417,H$292,$G416,-$G415))</f>
        <v>0</v>
      </c>
      <c r="I420" s="1592">
        <f t="shared" ref="I420:BE420" si="153">IF(I$292&gt;$G416,0,IPMT($G417,I$292,$G416,-$G415))</f>
        <v>0</v>
      </c>
      <c r="J420" s="1592">
        <f t="shared" si="153"/>
        <v>0</v>
      </c>
      <c r="K420" s="1592">
        <f t="shared" si="153"/>
        <v>0</v>
      </c>
      <c r="L420" s="1592">
        <f t="shared" si="153"/>
        <v>0</v>
      </c>
      <c r="M420" s="1592">
        <f t="shared" si="153"/>
        <v>0</v>
      </c>
      <c r="N420" s="1592">
        <f t="shared" si="153"/>
        <v>0</v>
      </c>
      <c r="O420" s="1592">
        <f t="shared" si="153"/>
        <v>0</v>
      </c>
      <c r="P420" s="1592">
        <f t="shared" si="153"/>
        <v>0</v>
      </c>
      <c r="Q420" s="1592">
        <f t="shared" si="153"/>
        <v>0</v>
      </c>
      <c r="R420" s="1592">
        <f t="shared" si="153"/>
        <v>0</v>
      </c>
      <c r="S420" s="1592">
        <f t="shared" si="153"/>
        <v>0</v>
      </c>
      <c r="T420" s="1592">
        <f t="shared" si="153"/>
        <v>0</v>
      </c>
      <c r="U420" s="1592">
        <f t="shared" si="153"/>
        <v>0</v>
      </c>
      <c r="V420" s="1592">
        <f t="shared" si="153"/>
        <v>0</v>
      </c>
      <c r="W420" s="1592">
        <f t="shared" si="153"/>
        <v>0</v>
      </c>
      <c r="X420" s="1592">
        <f t="shared" si="153"/>
        <v>0</v>
      </c>
      <c r="Y420" s="1592">
        <f t="shared" si="153"/>
        <v>0</v>
      </c>
      <c r="Z420" s="1592">
        <f t="shared" si="153"/>
        <v>0</v>
      </c>
      <c r="AA420" s="1592">
        <f t="shared" si="153"/>
        <v>0</v>
      </c>
      <c r="AB420" s="1592">
        <f t="shared" si="153"/>
        <v>0</v>
      </c>
      <c r="AC420" s="1592">
        <f t="shared" si="153"/>
        <v>0</v>
      </c>
      <c r="AD420" s="1592">
        <f t="shared" si="153"/>
        <v>0</v>
      </c>
      <c r="AE420" s="1592">
        <f t="shared" si="153"/>
        <v>0</v>
      </c>
      <c r="AF420" s="1592">
        <f t="shared" si="153"/>
        <v>0</v>
      </c>
      <c r="AG420" s="1592">
        <f t="shared" si="153"/>
        <v>0</v>
      </c>
      <c r="AH420" s="1592">
        <f t="shared" si="153"/>
        <v>0</v>
      </c>
      <c r="AI420" s="1592">
        <f t="shared" si="153"/>
        <v>0</v>
      </c>
      <c r="AJ420" s="1592">
        <f t="shared" si="153"/>
        <v>0</v>
      </c>
      <c r="AK420" s="1592">
        <f t="shared" si="153"/>
        <v>0</v>
      </c>
      <c r="AL420" s="1592">
        <f t="shared" si="153"/>
        <v>0</v>
      </c>
      <c r="AM420" s="1592">
        <f t="shared" si="153"/>
        <v>0</v>
      </c>
      <c r="AN420" s="1592">
        <f t="shared" si="153"/>
        <v>0</v>
      </c>
      <c r="AO420" s="1592">
        <f t="shared" si="153"/>
        <v>0</v>
      </c>
      <c r="AP420" s="1592">
        <f t="shared" si="153"/>
        <v>0</v>
      </c>
      <c r="AQ420" s="1592">
        <f t="shared" si="153"/>
        <v>0</v>
      </c>
      <c r="AR420" s="1592">
        <f t="shared" si="153"/>
        <v>0</v>
      </c>
      <c r="AS420" s="1592">
        <f t="shared" si="153"/>
        <v>0</v>
      </c>
      <c r="AT420" s="1592">
        <f t="shared" si="153"/>
        <v>0</v>
      </c>
      <c r="AU420" s="1592">
        <f t="shared" si="153"/>
        <v>0</v>
      </c>
      <c r="AV420" s="1592">
        <f t="shared" si="153"/>
        <v>0</v>
      </c>
      <c r="AW420" s="1592">
        <f t="shared" si="153"/>
        <v>0</v>
      </c>
      <c r="AX420" s="1592">
        <f t="shared" si="153"/>
        <v>0</v>
      </c>
      <c r="AY420" s="1592">
        <f t="shared" si="153"/>
        <v>0</v>
      </c>
      <c r="AZ420" s="1592">
        <f t="shared" si="153"/>
        <v>0</v>
      </c>
      <c r="BA420" s="1592">
        <f t="shared" si="153"/>
        <v>0</v>
      </c>
      <c r="BB420" s="1592">
        <f t="shared" si="153"/>
        <v>0</v>
      </c>
      <c r="BC420" s="1592">
        <f t="shared" si="153"/>
        <v>0</v>
      </c>
      <c r="BD420" s="1592">
        <f t="shared" si="153"/>
        <v>0</v>
      </c>
      <c r="BE420" s="1593">
        <f t="shared" si="153"/>
        <v>0</v>
      </c>
      <c r="BF420" s="695"/>
    </row>
    <row r="421" spans="1:58" x14ac:dyDescent="0.45">
      <c r="A421" s="695"/>
      <c r="B421" s="863"/>
      <c r="C421" s="871" t="s">
        <v>65</v>
      </c>
      <c r="D421" s="871"/>
      <c r="E421" s="871"/>
      <c r="F421" s="871"/>
      <c r="G421" s="1594"/>
      <c r="H421" s="1594">
        <f>IF(H$292&gt;$G416,0,PPMT($G417,H$292,$G416,-$G415))</f>
        <v>0</v>
      </c>
      <c r="I421" s="1594">
        <f t="shared" ref="I421:BE421" si="154">IF(I$292&gt;$G416,0,PPMT($G417,I$292,$G416,-$G415))</f>
        <v>0</v>
      </c>
      <c r="J421" s="1594">
        <f t="shared" si="154"/>
        <v>0</v>
      </c>
      <c r="K421" s="1594">
        <f t="shared" si="154"/>
        <v>0</v>
      </c>
      <c r="L421" s="1594">
        <f t="shared" si="154"/>
        <v>0</v>
      </c>
      <c r="M421" s="1594">
        <f t="shared" si="154"/>
        <v>0</v>
      </c>
      <c r="N421" s="1594">
        <f t="shared" si="154"/>
        <v>0</v>
      </c>
      <c r="O421" s="1594">
        <f t="shared" si="154"/>
        <v>0</v>
      </c>
      <c r="P421" s="1594">
        <f t="shared" si="154"/>
        <v>0</v>
      </c>
      <c r="Q421" s="1594">
        <f t="shared" si="154"/>
        <v>0</v>
      </c>
      <c r="R421" s="1594">
        <f t="shared" si="154"/>
        <v>0</v>
      </c>
      <c r="S421" s="1594">
        <f t="shared" si="154"/>
        <v>0</v>
      </c>
      <c r="T421" s="1594">
        <f t="shared" si="154"/>
        <v>0</v>
      </c>
      <c r="U421" s="1594">
        <f t="shared" si="154"/>
        <v>0</v>
      </c>
      <c r="V421" s="1594">
        <f t="shared" si="154"/>
        <v>0</v>
      </c>
      <c r="W421" s="1594">
        <f t="shared" si="154"/>
        <v>0</v>
      </c>
      <c r="X421" s="1594">
        <f t="shared" si="154"/>
        <v>0</v>
      </c>
      <c r="Y421" s="1594">
        <f t="shared" si="154"/>
        <v>0</v>
      </c>
      <c r="Z421" s="1594">
        <f t="shared" si="154"/>
        <v>0</v>
      </c>
      <c r="AA421" s="1594">
        <f t="shared" si="154"/>
        <v>0</v>
      </c>
      <c r="AB421" s="1594">
        <f t="shared" si="154"/>
        <v>0</v>
      </c>
      <c r="AC421" s="1594">
        <f t="shared" si="154"/>
        <v>0</v>
      </c>
      <c r="AD421" s="1594">
        <f t="shared" si="154"/>
        <v>0</v>
      </c>
      <c r="AE421" s="1594">
        <f t="shared" si="154"/>
        <v>0</v>
      </c>
      <c r="AF421" s="1594">
        <f t="shared" si="154"/>
        <v>0</v>
      </c>
      <c r="AG421" s="1594">
        <f t="shared" si="154"/>
        <v>0</v>
      </c>
      <c r="AH421" s="1594">
        <f t="shared" si="154"/>
        <v>0</v>
      </c>
      <c r="AI421" s="1594">
        <f t="shared" si="154"/>
        <v>0</v>
      </c>
      <c r="AJ421" s="1594">
        <f t="shared" si="154"/>
        <v>0</v>
      </c>
      <c r="AK421" s="1594">
        <f t="shared" si="154"/>
        <v>0</v>
      </c>
      <c r="AL421" s="1594">
        <f t="shared" si="154"/>
        <v>0</v>
      </c>
      <c r="AM421" s="1594">
        <f t="shared" si="154"/>
        <v>0</v>
      </c>
      <c r="AN421" s="1594">
        <f t="shared" si="154"/>
        <v>0</v>
      </c>
      <c r="AO421" s="1594">
        <f t="shared" si="154"/>
        <v>0</v>
      </c>
      <c r="AP421" s="1594">
        <f t="shared" si="154"/>
        <v>0</v>
      </c>
      <c r="AQ421" s="1594">
        <f t="shared" si="154"/>
        <v>0</v>
      </c>
      <c r="AR421" s="1594">
        <f t="shared" si="154"/>
        <v>0</v>
      </c>
      <c r="AS421" s="1594">
        <f t="shared" si="154"/>
        <v>0</v>
      </c>
      <c r="AT421" s="1594">
        <f t="shared" si="154"/>
        <v>0</v>
      </c>
      <c r="AU421" s="1594">
        <f t="shared" si="154"/>
        <v>0</v>
      </c>
      <c r="AV421" s="1594">
        <f t="shared" si="154"/>
        <v>0</v>
      </c>
      <c r="AW421" s="1594">
        <f t="shared" si="154"/>
        <v>0</v>
      </c>
      <c r="AX421" s="1594">
        <f t="shared" si="154"/>
        <v>0</v>
      </c>
      <c r="AY421" s="1594">
        <f t="shared" si="154"/>
        <v>0</v>
      </c>
      <c r="AZ421" s="1594">
        <f t="shared" si="154"/>
        <v>0</v>
      </c>
      <c r="BA421" s="1594">
        <f t="shared" si="154"/>
        <v>0</v>
      </c>
      <c r="BB421" s="1594">
        <f t="shared" si="154"/>
        <v>0</v>
      </c>
      <c r="BC421" s="1594">
        <f t="shared" si="154"/>
        <v>0</v>
      </c>
      <c r="BD421" s="1594">
        <f t="shared" si="154"/>
        <v>0</v>
      </c>
      <c r="BE421" s="1595">
        <f t="shared" si="154"/>
        <v>0</v>
      </c>
      <c r="BF421" s="695"/>
    </row>
    <row r="422" spans="1:58" x14ac:dyDescent="0.45">
      <c r="A422" s="695"/>
      <c r="B422" s="863"/>
      <c r="C422" s="864" t="s">
        <v>67</v>
      </c>
      <c r="D422" s="864"/>
      <c r="E422" s="864"/>
      <c r="F422" s="864"/>
      <c r="G422" s="1592"/>
      <c r="H422" s="1592">
        <f>SUM(H420:H421)</f>
        <v>0</v>
      </c>
      <c r="I422" s="1592">
        <f t="shared" ref="I422:BE422" si="155">SUM(I420:I421)</f>
        <v>0</v>
      </c>
      <c r="J422" s="1592">
        <f t="shared" si="155"/>
        <v>0</v>
      </c>
      <c r="K422" s="1592">
        <f t="shared" si="155"/>
        <v>0</v>
      </c>
      <c r="L422" s="1592">
        <f t="shared" si="155"/>
        <v>0</v>
      </c>
      <c r="M422" s="1592">
        <f t="shared" si="155"/>
        <v>0</v>
      </c>
      <c r="N422" s="1592">
        <f t="shared" si="155"/>
        <v>0</v>
      </c>
      <c r="O422" s="1592">
        <f t="shared" si="155"/>
        <v>0</v>
      </c>
      <c r="P422" s="1592">
        <f t="shared" si="155"/>
        <v>0</v>
      </c>
      <c r="Q422" s="1592">
        <f t="shared" si="155"/>
        <v>0</v>
      </c>
      <c r="R422" s="1592">
        <f t="shared" si="155"/>
        <v>0</v>
      </c>
      <c r="S422" s="1592">
        <f t="shared" si="155"/>
        <v>0</v>
      </c>
      <c r="T422" s="1592">
        <f t="shared" si="155"/>
        <v>0</v>
      </c>
      <c r="U422" s="1592">
        <f t="shared" si="155"/>
        <v>0</v>
      </c>
      <c r="V422" s="1592">
        <f t="shared" si="155"/>
        <v>0</v>
      </c>
      <c r="W422" s="1592">
        <f t="shared" si="155"/>
        <v>0</v>
      </c>
      <c r="X422" s="1592">
        <f t="shared" si="155"/>
        <v>0</v>
      </c>
      <c r="Y422" s="1592">
        <f t="shared" si="155"/>
        <v>0</v>
      </c>
      <c r="Z422" s="1592">
        <f t="shared" si="155"/>
        <v>0</v>
      </c>
      <c r="AA422" s="1592">
        <f t="shared" si="155"/>
        <v>0</v>
      </c>
      <c r="AB422" s="1592">
        <f t="shared" si="155"/>
        <v>0</v>
      </c>
      <c r="AC422" s="1592">
        <f t="shared" si="155"/>
        <v>0</v>
      </c>
      <c r="AD422" s="1592">
        <f t="shared" si="155"/>
        <v>0</v>
      </c>
      <c r="AE422" s="1592">
        <f t="shared" si="155"/>
        <v>0</v>
      </c>
      <c r="AF422" s="1592">
        <f t="shared" si="155"/>
        <v>0</v>
      </c>
      <c r="AG422" s="1592">
        <f t="shared" si="155"/>
        <v>0</v>
      </c>
      <c r="AH422" s="1592">
        <f t="shared" si="155"/>
        <v>0</v>
      </c>
      <c r="AI422" s="1592">
        <f t="shared" si="155"/>
        <v>0</v>
      </c>
      <c r="AJ422" s="1592">
        <f t="shared" si="155"/>
        <v>0</v>
      </c>
      <c r="AK422" s="1592">
        <f t="shared" si="155"/>
        <v>0</v>
      </c>
      <c r="AL422" s="1592">
        <f t="shared" si="155"/>
        <v>0</v>
      </c>
      <c r="AM422" s="1592">
        <f t="shared" si="155"/>
        <v>0</v>
      </c>
      <c r="AN422" s="1592">
        <f t="shared" si="155"/>
        <v>0</v>
      </c>
      <c r="AO422" s="1592">
        <f t="shared" si="155"/>
        <v>0</v>
      </c>
      <c r="AP422" s="1592">
        <f t="shared" si="155"/>
        <v>0</v>
      </c>
      <c r="AQ422" s="1592">
        <f t="shared" si="155"/>
        <v>0</v>
      </c>
      <c r="AR422" s="1592">
        <f t="shared" si="155"/>
        <v>0</v>
      </c>
      <c r="AS422" s="1592">
        <f t="shared" si="155"/>
        <v>0</v>
      </c>
      <c r="AT422" s="1592">
        <f t="shared" si="155"/>
        <v>0</v>
      </c>
      <c r="AU422" s="1592">
        <f t="shared" si="155"/>
        <v>0</v>
      </c>
      <c r="AV422" s="1592">
        <f t="shared" si="155"/>
        <v>0</v>
      </c>
      <c r="AW422" s="1592">
        <f t="shared" si="155"/>
        <v>0</v>
      </c>
      <c r="AX422" s="1592">
        <f t="shared" si="155"/>
        <v>0</v>
      </c>
      <c r="AY422" s="1592">
        <f t="shared" si="155"/>
        <v>0</v>
      </c>
      <c r="AZ422" s="1592">
        <f t="shared" si="155"/>
        <v>0</v>
      </c>
      <c r="BA422" s="1592">
        <f t="shared" si="155"/>
        <v>0</v>
      </c>
      <c r="BB422" s="1592">
        <f t="shared" si="155"/>
        <v>0</v>
      </c>
      <c r="BC422" s="1592">
        <f t="shared" si="155"/>
        <v>0</v>
      </c>
      <c r="BD422" s="1592">
        <f t="shared" si="155"/>
        <v>0</v>
      </c>
      <c r="BE422" s="1593">
        <f t="shared" si="155"/>
        <v>0</v>
      </c>
      <c r="BF422" s="695"/>
    </row>
    <row r="423" spans="1:58" x14ac:dyDescent="0.45">
      <c r="A423" s="695"/>
      <c r="B423" s="863"/>
      <c r="C423" s="864"/>
      <c r="D423" s="864"/>
      <c r="E423" s="864"/>
      <c r="F423" s="864"/>
      <c r="G423" s="1592"/>
      <c r="H423" s="1592"/>
      <c r="I423" s="1592"/>
      <c r="J423" s="1592"/>
      <c r="K423" s="1592"/>
      <c r="L423" s="1592"/>
      <c r="M423" s="1592"/>
      <c r="N423" s="1592"/>
      <c r="O423" s="1592"/>
      <c r="P423" s="1592"/>
      <c r="Q423" s="1592"/>
      <c r="R423" s="1592"/>
      <c r="S423" s="1592"/>
      <c r="T423" s="1592"/>
      <c r="U423" s="1592"/>
      <c r="V423" s="1592"/>
      <c r="W423" s="1592"/>
      <c r="X423" s="1592"/>
      <c r="Y423" s="1592"/>
      <c r="Z423" s="1592"/>
      <c r="AA423" s="1592"/>
      <c r="AB423" s="1592"/>
      <c r="AC423" s="1592"/>
      <c r="AD423" s="1592"/>
      <c r="AE423" s="1592"/>
      <c r="AF423" s="1592"/>
      <c r="AG423" s="1592"/>
      <c r="AH423" s="1592"/>
      <c r="AI423" s="1592"/>
      <c r="AJ423" s="1592"/>
      <c r="AK423" s="1592"/>
      <c r="AL423" s="1592"/>
      <c r="AM423" s="1592"/>
      <c r="AN423" s="1592"/>
      <c r="AO423" s="1592"/>
      <c r="AP423" s="1592"/>
      <c r="AQ423" s="1592"/>
      <c r="AR423" s="1592"/>
      <c r="AS423" s="1592"/>
      <c r="AT423" s="1592"/>
      <c r="AU423" s="1592"/>
      <c r="AV423" s="1592"/>
      <c r="AW423" s="1592"/>
      <c r="AX423" s="1592"/>
      <c r="AY423" s="1592"/>
      <c r="AZ423" s="1592"/>
      <c r="BA423" s="1592"/>
      <c r="BB423" s="1592"/>
      <c r="BC423" s="1592"/>
      <c r="BD423" s="1592"/>
      <c r="BE423" s="1593"/>
      <c r="BF423" s="695"/>
    </row>
    <row r="424" spans="1:58" x14ac:dyDescent="0.45">
      <c r="A424" s="695"/>
      <c r="B424" s="863"/>
      <c r="C424" s="1023" t="s">
        <v>58</v>
      </c>
      <c r="D424" s="864"/>
      <c r="E424" s="864"/>
      <c r="F424" s="864"/>
      <c r="G424" s="1592"/>
      <c r="H424" s="1592"/>
      <c r="I424" s="1592"/>
      <c r="J424" s="1592"/>
      <c r="K424" s="1592"/>
      <c r="L424" s="1592"/>
      <c r="M424" s="1592"/>
      <c r="N424" s="1592"/>
      <c r="O424" s="1592"/>
      <c r="P424" s="1592"/>
      <c r="Q424" s="1592"/>
      <c r="R424" s="1592"/>
      <c r="S424" s="1592"/>
      <c r="T424" s="1592"/>
      <c r="U424" s="1592"/>
      <c r="V424" s="1592"/>
      <c r="W424" s="1592"/>
      <c r="X424" s="1592"/>
      <c r="Y424" s="1592"/>
      <c r="Z424" s="1592"/>
      <c r="AA424" s="1592"/>
      <c r="AB424" s="1592"/>
      <c r="AC424" s="1592"/>
      <c r="AD424" s="1592"/>
      <c r="AE424" s="1592"/>
      <c r="AF424" s="1592"/>
      <c r="AG424" s="1592"/>
      <c r="AH424" s="1592"/>
      <c r="AI424" s="1592"/>
      <c r="AJ424" s="1592"/>
      <c r="AK424" s="1592"/>
      <c r="AL424" s="1592"/>
      <c r="AM424" s="1592"/>
      <c r="AN424" s="1592"/>
      <c r="AO424" s="1592"/>
      <c r="AP424" s="1592"/>
      <c r="AQ424" s="1592"/>
      <c r="AR424" s="1592"/>
      <c r="AS424" s="1592"/>
      <c r="AT424" s="1592"/>
      <c r="AU424" s="1592"/>
      <c r="AV424" s="1592"/>
      <c r="AW424" s="1592"/>
      <c r="AX424" s="1592"/>
      <c r="AY424" s="1592"/>
      <c r="AZ424" s="1592"/>
      <c r="BA424" s="1592"/>
      <c r="BB424" s="1592"/>
      <c r="BC424" s="1592"/>
      <c r="BD424" s="1592"/>
      <c r="BE424" s="1593"/>
      <c r="BF424" s="695"/>
    </row>
    <row r="425" spans="1:58" x14ac:dyDescent="0.45">
      <c r="A425" s="695"/>
      <c r="B425" s="863"/>
      <c r="C425" s="864" t="s">
        <v>68</v>
      </c>
      <c r="D425" s="864"/>
      <c r="E425" s="864"/>
      <c r="F425" s="864"/>
      <c r="G425" s="1592">
        <v>0</v>
      </c>
      <c r="H425" s="1592">
        <f t="shared" ref="H425:AM425" si="156">G428</f>
        <v>0</v>
      </c>
      <c r="I425" s="1592">
        <f t="shared" si="156"/>
        <v>0</v>
      </c>
      <c r="J425" s="1592">
        <f t="shared" si="156"/>
        <v>0</v>
      </c>
      <c r="K425" s="1592">
        <f t="shared" si="156"/>
        <v>0</v>
      </c>
      <c r="L425" s="1592">
        <f t="shared" si="156"/>
        <v>0</v>
      </c>
      <c r="M425" s="1592">
        <f t="shared" si="156"/>
        <v>0</v>
      </c>
      <c r="N425" s="1592">
        <f t="shared" si="156"/>
        <v>0</v>
      </c>
      <c r="O425" s="1592">
        <f t="shared" si="156"/>
        <v>0</v>
      </c>
      <c r="P425" s="1592">
        <f t="shared" si="156"/>
        <v>0</v>
      </c>
      <c r="Q425" s="1592">
        <f t="shared" si="156"/>
        <v>0</v>
      </c>
      <c r="R425" s="1592">
        <f t="shared" si="156"/>
        <v>0</v>
      </c>
      <c r="S425" s="1592">
        <f t="shared" si="156"/>
        <v>0</v>
      </c>
      <c r="T425" s="1592">
        <f t="shared" si="156"/>
        <v>0</v>
      </c>
      <c r="U425" s="1592">
        <f t="shared" si="156"/>
        <v>0</v>
      </c>
      <c r="V425" s="1592">
        <f t="shared" si="156"/>
        <v>0</v>
      </c>
      <c r="W425" s="1592">
        <f t="shared" si="156"/>
        <v>0</v>
      </c>
      <c r="X425" s="1592">
        <f t="shared" si="156"/>
        <v>0</v>
      </c>
      <c r="Y425" s="1592">
        <f t="shared" si="156"/>
        <v>0</v>
      </c>
      <c r="Z425" s="1592">
        <f t="shared" si="156"/>
        <v>0</v>
      </c>
      <c r="AA425" s="1592">
        <f t="shared" si="156"/>
        <v>0</v>
      </c>
      <c r="AB425" s="1592">
        <f t="shared" si="156"/>
        <v>0</v>
      </c>
      <c r="AC425" s="1592">
        <f t="shared" si="156"/>
        <v>0</v>
      </c>
      <c r="AD425" s="1592">
        <f t="shared" si="156"/>
        <v>0</v>
      </c>
      <c r="AE425" s="1592">
        <f t="shared" si="156"/>
        <v>0</v>
      </c>
      <c r="AF425" s="1592">
        <f t="shared" si="156"/>
        <v>0</v>
      </c>
      <c r="AG425" s="1592">
        <f t="shared" si="156"/>
        <v>0</v>
      </c>
      <c r="AH425" s="1592">
        <f t="shared" si="156"/>
        <v>0</v>
      </c>
      <c r="AI425" s="1592">
        <f t="shared" si="156"/>
        <v>0</v>
      </c>
      <c r="AJ425" s="1592">
        <f t="shared" si="156"/>
        <v>0</v>
      </c>
      <c r="AK425" s="1592">
        <f t="shared" si="156"/>
        <v>0</v>
      </c>
      <c r="AL425" s="1592">
        <f t="shared" si="156"/>
        <v>0</v>
      </c>
      <c r="AM425" s="1592">
        <f t="shared" si="156"/>
        <v>0</v>
      </c>
      <c r="AN425" s="1592">
        <f t="shared" ref="AN425:BE425" si="157">AM428</f>
        <v>0</v>
      </c>
      <c r="AO425" s="1592">
        <f t="shared" si="157"/>
        <v>0</v>
      </c>
      <c r="AP425" s="1592">
        <f t="shared" si="157"/>
        <v>0</v>
      </c>
      <c r="AQ425" s="1592">
        <f t="shared" si="157"/>
        <v>0</v>
      </c>
      <c r="AR425" s="1592">
        <f t="shared" si="157"/>
        <v>0</v>
      </c>
      <c r="AS425" s="1592">
        <f t="shared" si="157"/>
        <v>0</v>
      </c>
      <c r="AT425" s="1592">
        <f t="shared" si="157"/>
        <v>0</v>
      </c>
      <c r="AU425" s="1592">
        <f t="shared" si="157"/>
        <v>0</v>
      </c>
      <c r="AV425" s="1592">
        <f t="shared" si="157"/>
        <v>0</v>
      </c>
      <c r="AW425" s="1592">
        <f t="shared" si="157"/>
        <v>0</v>
      </c>
      <c r="AX425" s="1592">
        <f t="shared" si="157"/>
        <v>0</v>
      </c>
      <c r="AY425" s="1592">
        <f t="shared" si="157"/>
        <v>0</v>
      </c>
      <c r="AZ425" s="1592">
        <f t="shared" si="157"/>
        <v>0</v>
      </c>
      <c r="BA425" s="1592">
        <f t="shared" si="157"/>
        <v>0</v>
      </c>
      <c r="BB425" s="1592">
        <f t="shared" si="157"/>
        <v>0</v>
      </c>
      <c r="BC425" s="1592">
        <f t="shared" si="157"/>
        <v>0</v>
      </c>
      <c r="BD425" s="1592">
        <f t="shared" si="157"/>
        <v>0</v>
      </c>
      <c r="BE425" s="1593">
        <f t="shared" si="157"/>
        <v>0</v>
      </c>
      <c r="BF425" s="695"/>
    </row>
    <row r="426" spans="1:58" x14ac:dyDescent="0.45">
      <c r="A426" s="695"/>
      <c r="B426" s="863"/>
      <c r="C426" s="864" t="s">
        <v>69</v>
      </c>
      <c r="D426" s="864"/>
      <c r="E426" s="864"/>
      <c r="F426" s="864"/>
      <c r="G426" s="1592">
        <f>G415</f>
        <v>0</v>
      </c>
      <c r="H426" s="1592">
        <v>0</v>
      </c>
      <c r="I426" s="1592">
        <v>0</v>
      </c>
      <c r="J426" s="1592">
        <v>0</v>
      </c>
      <c r="K426" s="1592">
        <v>0</v>
      </c>
      <c r="L426" s="1592">
        <v>0</v>
      </c>
      <c r="M426" s="1592">
        <v>0</v>
      </c>
      <c r="N426" s="1592">
        <v>0</v>
      </c>
      <c r="O426" s="1592">
        <v>0</v>
      </c>
      <c r="P426" s="1592">
        <v>0</v>
      </c>
      <c r="Q426" s="1592">
        <v>0</v>
      </c>
      <c r="R426" s="1592">
        <v>0</v>
      </c>
      <c r="S426" s="1592">
        <v>0</v>
      </c>
      <c r="T426" s="1592">
        <v>0</v>
      </c>
      <c r="U426" s="1592">
        <v>0</v>
      </c>
      <c r="V426" s="1592">
        <v>0</v>
      </c>
      <c r="W426" s="1592">
        <v>0</v>
      </c>
      <c r="X426" s="1592">
        <v>0</v>
      </c>
      <c r="Y426" s="1592">
        <v>0</v>
      </c>
      <c r="Z426" s="1592">
        <v>0</v>
      </c>
      <c r="AA426" s="1592">
        <v>0</v>
      </c>
      <c r="AB426" s="1592">
        <v>0</v>
      </c>
      <c r="AC426" s="1592">
        <v>0</v>
      </c>
      <c r="AD426" s="1592">
        <v>0</v>
      </c>
      <c r="AE426" s="1592">
        <v>0</v>
      </c>
      <c r="AF426" s="1592">
        <v>0</v>
      </c>
      <c r="AG426" s="1592">
        <v>0</v>
      </c>
      <c r="AH426" s="1592">
        <v>0</v>
      </c>
      <c r="AI426" s="1592">
        <v>0</v>
      </c>
      <c r="AJ426" s="1592">
        <v>0</v>
      </c>
      <c r="AK426" s="1592">
        <v>0</v>
      </c>
      <c r="AL426" s="1592">
        <v>0</v>
      </c>
      <c r="AM426" s="1592">
        <v>0</v>
      </c>
      <c r="AN426" s="1592">
        <v>0</v>
      </c>
      <c r="AO426" s="1592">
        <v>0</v>
      </c>
      <c r="AP426" s="1592">
        <v>0</v>
      </c>
      <c r="AQ426" s="1592">
        <v>0</v>
      </c>
      <c r="AR426" s="1592">
        <v>0</v>
      </c>
      <c r="AS426" s="1592">
        <v>0</v>
      </c>
      <c r="AT426" s="1592">
        <v>0</v>
      </c>
      <c r="AU426" s="1592">
        <v>0</v>
      </c>
      <c r="AV426" s="1592">
        <v>0</v>
      </c>
      <c r="AW426" s="1592">
        <v>0</v>
      </c>
      <c r="AX426" s="1592">
        <v>0</v>
      </c>
      <c r="AY426" s="1592">
        <v>0</v>
      </c>
      <c r="AZ426" s="1592">
        <v>0</v>
      </c>
      <c r="BA426" s="1592">
        <v>0</v>
      </c>
      <c r="BB426" s="1592">
        <v>0</v>
      </c>
      <c r="BC426" s="1592">
        <v>0</v>
      </c>
      <c r="BD426" s="1592">
        <v>0</v>
      </c>
      <c r="BE426" s="1593">
        <v>0</v>
      </c>
      <c r="BF426" s="695"/>
    </row>
    <row r="427" spans="1:58" x14ac:dyDescent="0.45">
      <c r="A427" s="695"/>
      <c r="B427" s="863"/>
      <c r="C427" s="871" t="s">
        <v>70</v>
      </c>
      <c r="D427" s="871"/>
      <c r="E427" s="871"/>
      <c r="F427" s="871"/>
      <c r="G427" s="1594">
        <v>0</v>
      </c>
      <c r="H427" s="1594">
        <f>-H421</f>
        <v>0</v>
      </c>
      <c r="I427" s="1594">
        <f t="shared" ref="I427:BE427" si="158">-I421</f>
        <v>0</v>
      </c>
      <c r="J427" s="1594">
        <f t="shared" si="158"/>
        <v>0</v>
      </c>
      <c r="K427" s="1594">
        <f t="shared" si="158"/>
        <v>0</v>
      </c>
      <c r="L427" s="1594">
        <f t="shared" si="158"/>
        <v>0</v>
      </c>
      <c r="M427" s="1594">
        <f t="shared" si="158"/>
        <v>0</v>
      </c>
      <c r="N427" s="1594">
        <f t="shared" si="158"/>
        <v>0</v>
      </c>
      <c r="O427" s="1594">
        <f t="shared" si="158"/>
        <v>0</v>
      </c>
      <c r="P427" s="1594">
        <f t="shared" si="158"/>
        <v>0</v>
      </c>
      <c r="Q427" s="1594">
        <f t="shared" si="158"/>
        <v>0</v>
      </c>
      <c r="R427" s="1594">
        <f t="shared" si="158"/>
        <v>0</v>
      </c>
      <c r="S427" s="1594">
        <f t="shared" si="158"/>
        <v>0</v>
      </c>
      <c r="T427" s="1594">
        <f t="shared" si="158"/>
        <v>0</v>
      </c>
      <c r="U427" s="1594">
        <f t="shared" si="158"/>
        <v>0</v>
      </c>
      <c r="V427" s="1594">
        <f t="shared" si="158"/>
        <v>0</v>
      </c>
      <c r="W427" s="1594">
        <f t="shared" si="158"/>
        <v>0</v>
      </c>
      <c r="X427" s="1594">
        <f t="shared" si="158"/>
        <v>0</v>
      </c>
      <c r="Y427" s="1594">
        <f t="shared" si="158"/>
        <v>0</v>
      </c>
      <c r="Z427" s="1594">
        <f t="shared" si="158"/>
        <v>0</v>
      </c>
      <c r="AA427" s="1594">
        <f t="shared" si="158"/>
        <v>0</v>
      </c>
      <c r="AB427" s="1594">
        <f t="shared" si="158"/>
        <v>0</v>
      </c>
      <c r="AC427" s="1594">
        <f t="shared" si="158"/>
        <v>0</v>
      </c>
      <c r="AD427" s="1594">
        <f t="shared" si="158"/>
        <v>0</v>
      </c>
      <c r="AE427" s="1594">
        <f t="shared" si="158"/>
        <v>0</v>
      </c>
      <c r="AF427" s="1594">
        <f t="shared" si="158"/>
        <v>0</v>
      </c>
      <c r="AG427" s="1594">
        <f t="shared" si="158"/>
        <v>0</v>
      </c>
      <c r="AH427" s="1594">
        <f t="shared" si="158"/>
        <v>0</v>
      </c>
      <c r="AI427" s="1594">
        <f t="shared" si="158"/>
        <v>0</v>
      </c>
      <c r="AJ427" s="1594">
        <f t="shared" si="158"/>
        <v>0</v>
      </c>
      <c r="AK427" s="1594">
        <f t="shared" si="158"/>
        <v>0</v>
      </c>
      <c r="AL427" s="1594">
        <f t="shared" si="158"/>
        <v>0</v>
      </c>
      <c r="AM427" s="1594">
        <f t="shared" si="158"/>
        <v>0</v>
      </c>
      <c r="AN427" s="1594">
        <f t="shared" si="158"/>
        <v>0</v>
      </c>
      <c r="AO427" s="1594">
        <f t="shared" si="158"/>
        <v>0</v>
      </c>
      <c r="AP427" s="1594">
        <f t="shared" si="158"/>
        <v>0</v>
      </c>
      <c r="AQ427" s="1594">
        <f t="shared" si="158"/>
        <v>0</v>
      </c>
      <c r="AR427" s="1594">
        <f t="shared" si="158"/>
        <v>0</v>
      </c>
      <c r="AS427" s="1594">
        <f t="shared" si="158"/>
        <v>0</v>
      </c>
      <c r="AT427" s="1594">
        <f t="shared" si="158"/>
        <v>0</v>
      </c>
      <c r="AU427" s="1594">
        <f t="shared" si="158"/>
        <v>0</v>
      </c>
      <c r="AV427" s="1594">
        <f t="shared" si="158"/>
        <v>0</v>
      </c>
      <c r="AW427" s="1594">
        <f t="shared" si="158"/>
        <v>0</v>
      </c>
      <c r="AX427" s="1594">
        <f t="shared" si="158"/>
        <v>0</v>
      </c>
      <c r="AY427" s="1594">
        <f t="shared" si="158"/>
        <v>0</v>
      </c>
      <c r="AZ427" s="1594">
        <f t="shared" si="158"/>
        <v>0</v>
      </c>
      <c r="BA427" s="1594">
        <f t="shared" si="158"/>
        <v>0</v>
      </c>
      <c r="BB427" s="1594">
        <f t="shared" si="158"/>
        <v>0</v>
      </c>
      <c r="BC427" s="1594">
        <f t="shared" si="158"/>
        <v>0</v>
      </c>
      <c r="BD427" s="1594">
        <f t="shared" si="158"/>
        <v>0</v>
      </c>
      <c r="BE427" s="1595">
        <f t="shared" si="158"/>
        <v>0</v>
      </c>
      <c r="BF427" s="695"/>
    </row>
    <row r="428" spans="1:58" x14ac:dyDescent="0.45">
      <c r="A428" s="695"/>
      <c r="B428" s="863"/>
      <c r="C428" s="864" t="s">
        <v>59</v>
      </c>
      <c r="D428" s="864"/>
      <c r="E428" s="864"/>
      <c r="F428" s="864"/>
      <c r="G428" s="1592">
        <f>SUM(G425:G427)</f>
        <v>0</v>
      </c>
      <c r="H428" s="1592">
        <f>SUM(H425:H427)</f>
        <v>0</v>
      </c>
      <c r="I428" s="1592">
        <f t="shared" ref="I428:BE428" si="159">SUM(I425:I427)</f>
        <v>0</v>
      </c>
      <c r="J428" s="1592">
        <f t="shared" si="159"/>
        <v>0</v>
      </c>
      <c r="K428" s="1592">
        <f t="shared" si="159"/>
        <v>0</v>
      </c>
      <c r="L428" s="1592">
        <f t="shared" si="159"/>
        <v>0</v>
      </c>
      <c r="M428" s="1592">
        <f t="shared" si="159"/>
        <v>0</v>
      </c>
      <c r="N428" s="1592">
        <f t="shared" si="159"/>
        <v>0</v>
      </c>
      <c r="O428" s="1592">
        <f t="shared" si="159"/>
        <v>0</v>
      </c>
      <c r="P428" s="1592">
        <f t="shared" si="159"/>
        <v>0</v>
      </c>
      <c r="Q428" s="1592">
        <f t="shared" si="159"/>
        <v>0</v>
      </c>
      <c r="R428" s="1592">
        <f t="shared" si="159"/>
        <v>0</v>
      </c>
      <c r="S428" s="1592">
        <f t="shared" si="159"/>
        <v>0</v>
      </c>
      <c r="T428" s="1592">
        <f t="shared" si="159"/>
        <v>0</v>
      </c>
      <c r="U428" s="1592">
        <f t="shared" si="159"/>
        <v>0</v>
      </c>
      <c r="V428" s="1592">
        <f t="shared" si="159"/>
        <v>0</v>
      </c>
      <c r="W428" s="1592">
        <f t="shared" si="159"/>
        <v>0</v>
      </c>
      <c r="X428" s="1592">
        <f t="shared" si="159"/>
        <v>0</v>
      </c>
      <c r="Y428" s="1592">
        <f t="shared" si="159"/>
        <v>0</v>
      </c>
      <c r="Z428" s="1592">
        <f t="shared" si="159"/>
        <v>0</v>
      </c>
      <c r="AA428" s="1592">
        <f t="shared" si="159"/>
        <v>0</v>
      </c>
      <c r="AB428" s="1592">
        <f t="shared" si="159"/>
        <v>0</v>
      </c>
      <c r="AC428" s="1592">
        <f t="shared" si="159"/>
        <v>0</v>
      </c>
      <c r="AD428" s="1592">
        <f t="shared" si="159"/>
        <v>0</v>
      </c>
      <c r="AE428" s="1592">
        <f t="shared" si="159"/>
        <v>0</v>
      </c>
      <c r="AF428" s="1592">
        <f t="shared" si="159"/>
        <v>0</v>
      </c>
      <c r="AG428" s="1592">
        <f t="shared" si="159"/>
        <v>0</v>
      </c>
      <c r="AH428" s="1592">
        <f t="shared" si="159"/>
        <v>0</v>
      </c>
      <c r="AI428" s="1592">
        <f t="shared" si="159"/>
        <v>0</v>
      </c>
      <c r="AJ428" s="1592">
        <f t="shared" si="159"/>
        <v>0</v>
      </c>
      <c r="AK428" s="1592">
        <f t="shared" si="159"/>
        <v>0</v>
      </c>
      <c r="AL428" s="1592">
        <f t="shared" si="159"/>
        <v>0</v>
      </c>
      <c r="AM428" s="1592">
        <f t="shared" si="159"/>
        <v>0</v>
      </c>
      <c r="AN428" s="1592">
        <f t="shared" si="159"/>
        <v>0</v>
      </c>
      <c r="AO428" s="1592">
        <f t="shared" si="159"/>
        <v>0</v>
      </c>
      <c r="AP428" s="1592">
        <f t="shared" si="159"/>
        <v>0</v>
      </c>
      <c r="AQ428" s="1592">
        <f t="shared" si="159"/>
        <v>0</v>
      </c>
      <c r="AR428" s="1592">
        <f t="shared" si="159"/>
        <v>0</v>
      </c>
      <c r="AS428" s="1592">
        <f t="shared" si="159"/>
        <v>0</v>
      </c>
      <c r="AT428" s="1592">
        <f t="shared" si="159"/>
        <v>0</v>
      </c>
      <c r="AU428" s="1592">
        <f t="shared" si="159"/>
        <v>0</v>
      </c>
      <c r="AV428" s="1592">
        <f t="shared" si="159"/>
        <v>0</v>
      </c>
      <c r="AW428" s="1592">
        <f t="shared" si="159"/>
        <v>0</v>
      </c>
      <c r="AX428" s="1592">
        <f t="shared" si="159"/>
        <v>0</v>
      </c>
      <c r="AY428" s="1592">
        <f t="shared" si="159"/>
        <v>0</v>
      </c>
      <c r="AZ428" s="1592">
        <f t="shared" si="159"/>
        <v>0</v>
      </c>
      <c r="BA428" s="1592">
        <f t="shared" si="159"/>
        <v>0</v>
      </c>
      <c r="BB428" s="1592">
        <f t="shared" si="159"/>
        <v>0</v>
      </c>
      <c r="BC428" s="1592">
        <f t="shared" si="159"/>
        <v>0</v>
      </c>
      <c r="BD428" s="1592">
        <f t="shared" si="159"/>
        <v>0</v>
      </c>
      <c r="BE428" s="1593">
        <f t="shared" si="159"/>
        <v>0</v>
      </c>
      <c r="BF428" s="695"/>
    </row>
    <row r="429" spans="1:58" x14ac:dyDescent="0.45">
      <c r="A429" s="695"/>
      <c r="B429" s="863"/>
      <c r="C429" s="864"/>
      <c r="D429" s="864"/>
      <c r="E429" s="864"/>
      <c r="F429" s="864"/>
      <c r="G429" s="1592"/>
      <c r="H429" s="1592"/>
      <c r="I429" s="1592"/>
      <c r="J429" s="1592"/>
      <c r="K429" s="1592"/>
      <c r="L429" s="1592"/>
      <c r="M429" s="1592"/>
      <c r="N429" s="1592"/>
      <c r="O429" s="1592"/>
      <c r="P429" s="1592"/>
      <c r="Q429" s="1592"/>
      <c r="R429" s="1592"/>
      <c r="S429" s="1592"/>
      <c r="T429" s="1592"/>
      <c r="U429" s="1592"/>
      <c r="V429" s="1592"/>
      <c r="W429" s="1592"/>
      <c r="X429" s="1592"/>
      <c r="Y429" s="1592"/>
      <c r="Z429" s="1592"/>
      <c r="AA429" s="1592"/>
      <c r="AB429" s="1592"/>
      <c r="AC429" s="1592"/>
      <c r="AD429" s="1592"/>
      <c r="AE429" s="1592"/>
      <c r="AF429" s="1592"/>
      <c r="AG429" s="1592"/>
      <c r="AH429" s="1592"/>
      <c r="AI429" s="1592"/>
      <c r="AJ429" s="1592"/>
      <c r="AK429" s="1592"/>
      <c r="AL429" s="1592"/>
      <c r="AM429" s="1592"/>
      <c r="AN429" s="1592"/>
      <c r="AO429" s="1592"/>
      <c r="AP429" s="1592"/>
      <c r="AQ429" s="1592"/>
      <c r="AR429" s="1592"/>
      <c r="AS429" s="1592"/>
      <c r="AT429" s="1592"/>
      <c r="AU429" s="1592"/>
      <c r="AV429" s="1592"/>
      <c r="AW429" s="1592"/>
      <c r="AX429" s="1592"/>
      <c r="AY429" s="1592"/>
      <c r="AZ429" s="1592"/>
      <c r="BA429" s="1592"/>
      <c r="BB429" s="1592"/>
      <c r="BC429" s="1592"/>
      <c r="BD429" s="1592"/>
      <c r="BE429" s="1593"/>
      <c r="BF429" s="695"/>
    </row>
    <row r="430" spans="1:58" x14ac:dyDescent="0.45">
      <c r="A430" s="695"/>
      <c r="B430" s="863"/>
      <c r="C430" s="1023" t="s">
        <v>64</v>
      </c>
      <c r="D430" s="864"/>
      <c r="E430" s="864"/>
      <c r="F430" s="864"/>
      <c r="G430" s="1592"/>
      <c r="H430" s="1592"/>
      <c r="I430" s="1592"/>
      <c r="J430" s="1592"/>
      <c r="K430" s="1592"/>
      <c r="L430" s="1592"/>
      <c r="M430" s="1592"/>
      <c r="N430" s="1592"/>
      <c r="O430" s="1592"/>
      <c r="P430" s="1592"/>
      <c r="Q430" s="1592"/>
      <c r="R430" s="1592"/>
      <c r="S430" s="1592"/>
      <c r="T430" s="1592"/>
      <c r="U430" s="1592"/>
      <c r="V430" s="1592"/>
      <c r="W430" s="1592"/>
      <c r="X430" s="1592"/>
      <c r="Y430" s="1592"/>
      <c r="Z430" s="1592"/>
      <c r="AA430" s="1592"/>
      <c r="AB430" s="1592"/>
      <c r="AC430" s="1592"/>
      <c r="AD430" s="1592"/>
      <c r="AE430" s="1592"/>
      <c r="AF430" s="1592"/>
      <c r="AG430" s="1592"/>
      <c r="AH430" s="1592"/>
      <c r="AI430" s="1592"/>
      <c r="AJ430" s="1592"/>
      <c r="AK430" s="1592"/>
      <c r="AL430" s="1592"/>
      <c r="AM430" s="1592"/>
      <c r="AN430" s="1592"/>
      <c r="AO430" s="1592"/>
      <c r="AP430" s="1592"/>
      <c r="AQ430" s="1592"/>
      <c r="AR430" s="1592"/>
      <c r="AS430" s="1592"/>
      <c r="AT430" s="1592"/>
      <c r="AU430" s="1592"/>
      <c r="AV430" s="1592"/>
      <c r="AW430" s="1592"/>
      <c r="AX430" s="1592"/>
      <c r="AY430" s="1592"/>
      <c r="AZ430" s="1592"/>
      <c r="BA430" s="1592"/>
      <c r="BB430" s="1592"/>
      <c r="BC430" s="1592"/>
      <c r="BD430" s="1592"/>
      <c r="BE430" s="1593"/>
      <c r="BF430" s="695"/>
    </row>
    <row r="431" spans="1:58" x14ac:dyDescent="0.45">
      <c r="A431" s="695"/>
      <c r="B431" s="863"/>
      <c r="C431" s="864" t="s">
        <v>205</v>
      </c>
      <c r="D431" s="864"/>
      <c r="E431" s="864"/>
      <c r="F431" s="864"/>
      <c r="G431" s="1592"/>
      <c r="H431" s="1592">
        <f>IF($G415&gt;0, $G415*'II. Inputs, Baseline Energy Mix'!$O$57/10000,0)</f>
        <v>0</v>
      </c>
      <c r="I431" s="1592">
        <v>0</v>
      </c>
      <c r="J431" s="1592">
        <v>0</v>
      </c>
      <c r="K431" s="1592">
        <v>0</v>
      </c>
      <c r="L431" s="1592">
        <v>0</v>
      </c>
      <c r="M431" s="1592">
        <v>0</v>
      </c>
      <c r="N431" s="1592">
        <v>0</v>
      </c>
      <c r="O431" s="1592">
        <v>0</v>
      </c>
      <c r="P431" s="1592">
        <v>0</v>
      </c>
      <c r="Q431" s="1592">
        <v>0</v>
      </c>
      <c r="R431" s="1592">
        <v>0</v>
      </c>
      <c r="S431" s="1592">
        <v>0</v>
      </c>
      <c r="T431" s="1592">
        <v>0</v>
      </c>
      <c r="U431" s="1592">
        <v>0</v>
      </c>
      <c r="V431" s="1592">
        <v>0</v>
      </c>
      <c r="W431" s="1592">
        <v>0</v>
      </c>
      <c r="X431" s="1592">
        <v>0</v>
      </c>
      <c r="Y431" s="1592">
        <v>0</v>
      </c>
      <c r="Z431" s="1592">
        <v>0</v>
      </c>
      <c r="AA431" s="1592">
        <v>0</v>
      </c>
      <c r="AB431" s="1592">
        <v>0</v>
      </c>
      <c r="AC431" s="1592">
        <v>0</v>
      </c>
      <c r="AD431" s="1592">
        <v>0</v>
      </c>
      <c r="AE431" s="1592">
        <v>0</v>
      </c>
      <c r="AF431" s="1592">
        <v>0</v>
      </c>
      <c r="AG431" s="1592">
        <v>0</v>
      </c>
      <c r="AH431" s="1592">
        <v>0</v>
      </c>
      <c r="AI431" s="1592">
        <v>0</v>
      </c>
      <c r="AJ431" s="1592">
        <v>0</v>
      </c>
      <c r="AK431" s="1592">
        <v>0</v>
      </c>
      <c r="AL431" s="1592">
        <v>0</v>
      </c>
      <c r="AM431" s="1592">
        <v>0</v>
      </c>
      <c r="AN431" s="1592">
        <v>0</v>
      </c>
      <c r="AO431" s="1592">
        <v>0</v>
      </c>
      <c r="AP431" s="1592">
        <v>0</v>
      </c>
      <c r="AQ431" s="1592">
        <v>0</v>
      </c>
      <c r="AR431" s="1592">
        <v>0</v>
      </c>
      <c r="AS431" s="1592">
        <v>0</v>
      </c>
      <c r="AT431" s="1592">
        <v>0</v>
      </c>
      <c r="AU431" s="1592">
        <v>0</v>
      </c>
      <c r="AV431" s="1592">
        <v>0</v>
      </c>
      <c r="AW431" s="1592">
        <v>0</v>
      </c>
      <c r="AX431" s="1592">
        <v>0</v>
      </c>
      <c r="AY431" s="1592">
        <v>0</v>
      </c>
      <c r="AZ431" s="1592">
        <v>0</v>
      </c>
      <c r="BA431" s="1592">
        <v>0</v>
      </c>
      <c r="BB431" s="1592">
        <v>0</v>
      </c>
      <c r="BC431" s="1592">
        <v>0</v>
      </c>
      <c r="BD431" s="1592">
        <v>0</v>
      </c>
      <c r="BE431" s="1593">
        <v>0</v>
      </c>
      <c r="BF431" s="695"/>
    </row>
    <row r="432" spans="1:58" x14ac:dyDescent="0.45">
      <c r="A432" s="695"/>
      <c r="B432" s="863"/>
      <c r="C432" s="864"/>
      <c r="D432" s="864"/>
      <c r="E432" s="864"/>
      <c r="F432" s="864"/>
      <c r="G432" s="1017"/>
      <c r="H432" s="1017"/>
      <c r="I432" s="1017"/>
      <c r="J432" s="1017"/>
      <c r="K432" s="1017"/>
      <c r="L432" s="1017"/>
      <c r="M432" s="1017"/>
      <c r="N432" s="1017"/>
      <c r="O432" s="1017"/>
      <c r="P432" s="1017"/>
      <c r="Q432" s="1017"/>
      <c r="R432" s="1017"/>
      <c r="S432" s="1017"/>
      <c r="T432" s="1017"/>
      <c r="U432" s="1017"/>
      <c r="V432" s="1017"/>
      <c r="W432" s="1017"/>
      <c r="X432" s="1017"/>
      <c r="Y432" s="1017"/>
      <c r="Z432" s="1017"/>
      <c r="AA432" s="1017"/>
      <c r="AB432" s="1017"/>
      <c r="AC432" s="1017"/>
      <c r="AD432" s="1017"/>
      <c r="AE432" s="1017"/>
      <c r="AF432" s="1017"/>
      <c r="AG432" s="1017"/>
      <c r="AH432" s="1017"/>
      <c r="AI432" s="1017"/>
      <c r="AJ432" s="1017"/>
      <c r="AK432" s="1017"/>
      <c r="AL432" s="1017"/>
      <c r="AM432" s="1017"/>
      <c r="AN432" s="1017"/>
      <c r="AO432" s="1017"/>
      <c r="AP432" s="1017"/>
      <c r="AQ432" s="1017"/>
      <c r="AR432" s="1017"/>
      <c r="AS432" s="1017"/>
      <c r="AT432" s="1017"/>
      <c r="AU432" s="1017"/>
      <c r="AV432" s="1017"/>
      <c r="AW432" s="1017"/>
      <c r="AX432" s="1017"/>
      <c r="AY432" s="1017"/>
      <c r="AZ432" s="1017"/>
      <c r="BA432" s="1017"/>
      <c r="BB432" s="1017"/>
      <c r="BC432" s="1017"/>
      <c r="BD432" s="1017"/>
      <c r="BE432" s="1018"/>
      <c r="BF432" s="695"/>
    </row>
    <row r="433" spans="1:58" x14ac:dyDescent="0.45">
      <c r="A433" s="695"/>
      <c r="B433" s="863"/>
      <c r="C433" s="864"/>
      <c r="D433" s="864"/>
      <c r="E433" s="864"/>
      <c r="F433" s="864"/>
      <c r="G433" s="1017"/>
      <c r="H433" s="1017"/>
      <c r="I433" s="1017"/>
      <c r="J433" s="1017"/>
      <c r="K433" s="1017"/>
      <c r="L433" s="1017"/>
      <c r="M433" s="1017"/>
      <c r="N433" s="1017"/>
      <c r="O433" s="1017"/>
      <c r="P433" s="1017"/>
      <c r="Q433" s="1017"/>
      <c r="R433" s="1017"/>
      <c r="S433" s="1017"/>
      <c r="T433" s="1017"/>
      <c r="U433" s="1017"/>
      <c r="V433" s="1017"/>
      <c r="W433" s="1017"/>
      <c r="X433" s="1017"/>
      <c r="Y433" s="1017"/>
      <c r="Z433" s="1017"/>
      <c r="AA433" s="1017"/>
      <c r="AB433" s="1017"/>
      <c r="AC433" s="1017"/>
      <c r="AD433" s="1017"/>
      <c r="AE433" s="1017"/>
      <c r="AF433" s="1017"/>
      <c r="AG433" s="1017"/>
      <c r="AH433" s="1017"/>
      <c r="AI433" s="1017"/>
      <c r="AJ433" s="1017"/>
      <c r="AK433" s="1017"/>
      <c r="AL433" s="1017"/>
      <c r="AM433" s="1017"/>
      <c r="AN433" s="1017"/>
      <c r="AO433" s="1017"/>
      <c r="AP433" s="1017"/>
      <c r="AQ433" s="1017"/>
      <c r="AR433" s="1017"/>
      <c r="AS433" s="1017"/>
      <c r="AT433" s="1017"/>
      <c r="AU433" s="1017"/>
      <c r="AV433" s="1017"/>
      <c r="AW433" s="1017"/>
      <c r="AX433" s="1017"/>
      <c r="AY433" s="1017"/>
      <c r="AZ433" s="1017"/>
      <c r="BA433" s="1017"/>
      <c r="BB433" s="1017"/>
      <c r="BC433" s="1017"/>
      <c r="BD433" s="1017"/>
      <c r="BE433" s="1018"/>
      <c r="BF433" s="695"/>
    </row>
    <row r="434" spans="1:58" ht="13.15" x14ac:dyDescent="0.45">
      <c r="A434" s="695"/>
      <c r="B434" s="876" t="s">
        <v>79</v>
      </c>
      <c r="C434" s="864"/>
      <c r="D434" s="864"/>
      <c r="E434" s="864"/>
      <c r="F434" s="864"/>
      <c r="G434" s="1017"/>
      <c r="H434" s="1017"/>
      <c r="I434" s="1017"/>
      <c r="J434" s="1017"/>
      <c r="K434" s="1017"/>
      <c r="L434" s="1017"/>
      <c r="M434" s="1017"/>
      <c r="N434" s="1017"/>
      <c r="O434" s="1017"/>
      <c r="P434" s="1017"/>
      <c r="Q434" s="1017"/>
      <c r="R434" s="1017"/>
      <c r="S434" s="1017"/>
      <c r="T434" s="1017"/>
      <c r="U434" s="1017"/>
      <c r="V434" s="1017"/>
      <c r="W434" s="1017"/>
      <c r="X434" s="1017"/>
      <c r="Y434" s="1017"/>
      <c r="Z434" s="1017"/>
      <c r="AA434" s="1017"/>
      <c r="AB434" s="1017"/>
      <c r="AC434" s="1017"/>
      <c r="AD434" s="1017"/>
      <c r="AE434" s="1017"/>
      <c r="AF434" s="1017"/>
      <c r="AG434" s="1017"/>
      <c r="AH434" s="1017"/>
      <c r="AI434" s="1017"/>
      <c r="AJ434" s="1017"/>
      <c r="AK434" s="1017"/>
      <c r="AL434" s="1017"/>
      <c r="AM434" s="1017"/>
      <c r="AN434" s="1017"/>
      <c r="AO434" s="1017"/>
      <c r="AP434" s="1017"/>
      <c r="AQ434" s="1017"/>
      <c r="AR434" s="1017"/>
      <c r="AS434" s="1017"/>
      <c r="AT434" s="1017"/>
      <c r="AU434" s="1017"/>
      <c r="AV434" s="1017"/>
      <c r="AW434" s="1017"/>
      <c r="AX434" s="1017"/>
      <c r="AY434" s="1017"/>
      <c r="AZ434" s="1017"/>
      <c r="BA434" s="1017"/>
      <c r="BB434" s="1017"/>
      <c r="BC434" s="1017"/>
      <c r="BD434" s="1017"/>
      <c r="BE434" s="1018"/>
      <c r="BF434" s="695"/>
    </row>
    <row r="435" spans="1:58" x14ac:dyDescent="0.45">
      <c r="A435" s="695"/>
      <c r="B435" s="863"/>
      <c r="C435" s="1019" t="s">
        <v>77</v>
      </c>
      <c r="D435" s="864"/>
      <c r="E435" s="864"/>
      <c r="F435" s="864"/>
      <c r="G435" s="1592">
        <f>IF('II. Inputs, Baseline Energy Mix'!$O$19&gt;0, ('II. Inputs, Baseline Energy Mix'!$O$20*'II. Inputs, Baseline Energy Mix'!$O$21*'II. Inputs, Baseline Energy Mix'!$O$35*'II. Inputs, Baseline Energy Mix'!$O$88),0)</f>
        <v>0</v>
      </c>
      <c r="H435" s="1017"/>
      <c r="I435" s="1017"/>
      <c r="J435" s="1017"/>
      <c r="K435" s="1017"/>
      <c r="L435" s="1017"/>
      <c r="M435" s="1017"/>
      <c r="N435" s="1017"/>
      <c r="O435" s="1017"/>
      <c r="P435" s="1017"/>
      <c r="Q435" s="1017"/>
      <c r="R435" s="1017"/>
      <c r="S435" s="1017"/>
      <c r="T435" s="1017"/>
      <c r="U435" s="1017"/>
      <c r="V435" s="1017"/>
      <c r="W435" s="1017"/>
      <c r="X435" s="1017"/>
      <c r="Y435" s="1017"/>
      <c r="Z435" s="1017"/>
      <c r="AA435" s="1017"/>
      <c r="AB435" s="1017"/>
      <c r="AC435" s="1017"/>
      <c r="AD435" s="1017"/>
      <c r="AE435" s="1017"/>
      <c r="AF435" s="1017"/>
      <c r="AG435" s="1017"/>
      <c r="AH435" s="1017"/>
      <c r="AI435" s="1017"/>
      <c r="AJ435" s="1017"/>
      <c r="AK435" s="1017"/>
      <c r="AL435" s="1017"/>
      <c r="AM435" s="1017"/>
      <c r="AN435" s="1017"/>
      <c r="AO435" s="1017"/>
      <c r="AP435" s="1017"/>
      <c r="AQ435" s="1017"/>
      <c r="AR435" s="1017"/>
      <c r="AS435" s="1017"/>
      <c r="AT435" s="1017"/>
      <c r="AU435" s="1017"/>
      <c r="AV435" s="1017"/>
      <c r="AW435" s="1017"/>
      <c r="AX435" s="1017"/>
      <c r="AY435" s="1017"/>
      <c r="AZ435" s="1017"/>
      <c r="BA435" s="1017"/>
      <c r="BB435" s="1017"/>
      <c r="BC435" s="1017"/>
      <c r="BD435" s="1017"/>
      <c r="BE435" s="1018"/>
      <c r="BF435" s="695"/>
    </row>
    <row r="436" spans="1:58" x14ac:dyDescent="0.45">
      <c r="A436" s="695"/>
      <c r="B436" s="863"/>
      <c r="C436" s="1019" t="str">
        <f>'II. Inputs, Baseline Energy Mix'!$E$89</f>
        <v xml:space="preserve">Term of Political Risk Insurance </v>
      </c>
      <c r="D436" s="864"/>
      <c r="E436" s="864"/>
      <c r="F436" s="864"/>
      <c r="G436" s="1020">
        <f>'II. Inputs, Baseline Energy Mix'!$O$89</f>
        <v>0</v>
      </c>
      <c r="H436" s="1017"/>
      <c r="I436" s="1017"/>
      <c r="J436" s="1017"/>
      <c r="K436" s="1017"/>
      <c r="L436" s="1017"/>
      <c r="M436" s="1017"/>
      <c r="N436" s="1017"/>
      <c r="O436" s="1017"/>
      <c r="P436" s="1017"/>
      <c r="Q436" s="1017"/>
      <c r="R436" s="1017"/>
      <c r="S436" s="1017"/>
      <c r="T436" s="1017"/>
      <c r="U436" s="1017"/>
      <c r="V436" s="1017"/>
      <c r="W436" s="1017"/>
      <c r="X436" s="1017"/>
      <c r="Y436" s="1017"/>
      <c r="Z436" s="1017"/>
      <c r="AA436" s="1017"/>
      <c r="AB436" s="1017"/>
      <c r="AC436" s="1017"/>
      <c r="AD436" s="1017"/>
      <c r="AE436" s="1017"/>
      <c r="AF436" s="1017"/>
      <c r="AG436" s="1017"/>
      <c r="AH436" s="1017"/>
      <c r="AI436" s="1017"/>
      <c r="AJ436" s="1017"/>
      <c r="AK436" s="1017"/>
      <c r="AL436" s="1017"/>
      <c r="AM436" s="1017"/>
      <c r="AN436" s="1017"/>
      <c r="AO436" s="1017"/>
      <c r="AP436" s="1017"/>
      <c r="AQ436" s="1017"/>
      <c r="AR436" s="1017"/>
      <c r="AS436" s="1017"/>
      <c r="AT436" s="1017"/>
      <c r="AU436" s="1017"/>
      <c r="AV436" s="1017"/>
      <c r="AW436" s="1017"/>
      <c r="AX436" s="1017"/>
      <c r="AY436" s="1017"/>
      <c r="AZ436" s="1017"/>
      <c r="BA436" s="1017"/>
      <c r="BB436" s="1017"/>
      <c r="BC436" s="1017"/>
      <c r="BD436" s="1017"/>
      <c r="BE436" s="1018"/>
      <c r="BF436" s="695"/>
    </row>
    <row r="437" spans="1:58" x14ac:dyDescent="0.45">
      <c r="A437" s="695"/>
      <c r="B437" s="863"/>
      <c r="C437" s="1019" t="str">
        <f>'II. Inputs, Baseline Energy Mix'!$E$90</f>
        <v xml:space="preserve">Front-end Fee </v>
      </c>
      <c r="D437" s="864"/>
      <c r="E437" s="864"/>
      <c r="F437" s="864"/>
      <c r="G437" s="1027">
        <f>'II. Inputs, Baseline Energy Mix'!$O$90</f>
        <v>0</v>
      </c>
      <c r="H437" s="1017"/>
      <c r="I437" s="1017"/>
      <c r="J437" s="1017"/>
      <c r="K437" s="1017"/>
      <c r="L437" s="1017"/>
      <c r="M437" s="1017"/>
      <c r="N437" s="1017"/>
      <c r="O437" s="1017"/>
      <c r="P437" s="1017"/>
      <c r="Q437" s="1017"/>
      <c r="R437" s="1017"/>
      <c r="S437" s="1017"/>
      <c r="T437" s="1017"/>
      <c r="U437" s="1017"/>
      <c r="V437" s="1017"/>
      <c r="W437" s="1017"/>
      <c r="X437" s="1017"/>
      <c r="Y437" s="1017"/>
      <c r="Z437" s="1017"/>
      <c r="AA437" s="1017"/>
      <c r="AB437" s="1017"/>
      <c r="AC437" s="1017"/>
      <c r="AD437" s="1017"/>
      <c r="AE437" s="1017"/>
      <c r="AF437" s="1017"/>
      <c r="AG437" s="1017"/>
      <c r="AH437" s="1017"/>
      <c r="AI437" s="1017"/>
      <c r="AJ437" s="1017"/>
      <c r="AK437" s="1017"/>
      <c r="AL437" s="1017"/>
      <c r="AM437" s="1017"/>
      <c r="AN437" s="1017"/>
      <c r="AO437" s="1017"/>
      <c r="AP437" s="1017"/>
      <c r="AQ437" s="1017"/>
      <c r="AR437" s="1017"/>
      <c r="AS437" s="1017"/>
      <c r="AT437" s="1017"/>
      <c r="AU437" s="1017"/>
      <c r="AV437" s="1017"/>
      <c r="AW437" s="1017"/>
      <c r="AX437" s="1017"/>
      <c r="AY437" s="1017"/>
      <c r="AZ437" s="1017"/>
      <c r="BA437" s="1017"/>
      <c r="BB437" s="1017"/>
      <c r="BC437" s="1017"/>
      <c r="BD437" s="1017"/>
      <c r="BE437" s="1018"/>
      <c r="BF437" s="695"/>
    </row>
    <row r="438" spans="1:58" x14ac:dyDescent="0.45">
      <c r="A438" s="695"/>
      <c r="B438" s="863"/>
      <c r="C438" s="1019" t="str">
        <f>'II. Inputs, Baseline Energy Mix'!$E$91</f>
        <v xml:space="preserve">Annual Political Risk Insurance Premium </v>
      </c>
      <c r="D438" s="864"/>
      <c r="E438" s="864"/>
      <c r="F438" s="864"/>
      <c r="G438" s="1027">
        <f>'II. Inputs, Baseline Energy Mix'!$O$91</f>
        <v>0</v>
      </c>
      <c r="H438" s="1017"/>
      <c r="I438" s="1017"/>
      <c r="J438" s="1017"/>
      <c r="K438" s="1017"/>
      <c r="L438" s="1017"/>
      <c r="M438" s="1017"/>
      <c r="N438" s="1017"/>
      <c r="O438" s="1017"/>
      <c r="P438" s="1017"/>
      <c r="Q438" s="1017"/>
      <c r="R438" s="1017"/>
      <c r="S438" s="1017"/>
      <c r="T438" s="1017"/>
      <c r="U438" s="1017"/>
      <c r="V438" s="1017"/>
      <c r="W438" s="1017"/>
      <c r="X438" s="1017"/>
      <c r="Y438" s="1017"/>
      <c r="Z438" s="1017"/>
      <c r="AA438" s="1017"/>
      <c r="AB438" s="1017"/>
      <c r="AC438" s="1017"/>
      <c r="AD438" s="1017"/>
      <c r="AE438" s="1017"/>
      <c r="AF438" s="1017"/>
      <c r="AG438" s="1017"/>
      <c r="AH438" s="1017"/>
      <c r="AI438" s="1017"/>
      <c r="AJ438" s="1017"/>
      <c r="AK438" s="1017"/>
      <c r="AL438" s="1017"/>
      <c r="AM438" s="1017"/>
      <c r="AN438" s="1017"/>
      <c r="AO438" s="1017"/>
      <c r="AP438" s="1017"/>
      <c r="AQ438" s="1017"/>
      <c r="AR438" s="1017"/>
      <c r="AS438" s="1017"/>
      <c r="AT438" s="1017"/>
      <c r="AU438" s="1017"/>
      <c r="AV438" s="1017"/>
      <c r="AW438" s="1017"/>
      <c r="AX438" s="1017"/>
      <c r="AY438" s="1017"/>
      <c r="AZ438" s="1017"/>
      <c r="BA438" s="1017"/>
      <c r="BB438" s="1017"/>
      <c r="BC438" s="1017"/>
      <c r="BD438" s="1017"/>
      <c r="BE438" s="1018"/>
      <c r="BF438" s="695"/>
    </row>
    <row r="439" spans="1:58" x14ac:dyDescent="0.45">
      <c r="A439" s="695"/>
      <c r="B439" s="863"/>
      <c r="C439" s="864"/>
      <c r="D439" s="864"/>
      <c r="E439" s="864"/>
      <c r="F439" s="864"/>
      <c r="G439" s="1017"/>
      <c r="H439" s="1017"/>
      <c r="I439" s="1017"/>
      <c r="J439" s="1017"/>
      <c r="K439" s="1017"/>
      <c r="L439" s="1017"/>
      <c r="M439" s="1017"/>
      <c r="N439" s="1017"/>
      <c r="O439" s="1017"/>
      <c r="P439" s="1017"/>
      <c r="Q439" s="1017"/>
      <c r="R439" s="1017"/>
      <c r="S439" s="1017"/>
      <c r="T439" s="1017"/>
      <c r="U439" s="1017"/>
      <c r="V439" s="1017"/>
      <c r="W439" s="1017"/>
      <c r="X439" s="1017"/>
      <c r="Y439" s="1017"/>
      <c r="Z439" s="1017"/>
      <c r="AA439" s="1017"/>
      <c r="AB439" s="1017"/>
      <c r="AC439" s="1017"/>
      <c r="AD439" s="1017"/>
      <c r="AE439" s="1017"/>
      <c r="AF439" s="1017"/>
      <c r="AG439" s="1017"/>
      <c r="AH439" s="1017"/>
      <c r="AI439" s="1017"/>
      <c r="AJ439" s="1017"/>
      <c r="AK439" s="1017"/>
      <c r="AL439" s="1017"/>
      <c r="AM439" s="1017"/>
      <c r="AN439" s="1017"/>
      <c r="AO439" s="1017"/>
      <c r="AP439" s="1017"/>
      <c r="AQ439" s="1017"/>
      <c r="AR439" s="1017"/>
      <c r="AS439" s="1017"/>
      <c r="AT439" s="1017"/>
      <c r="AU439" s="1017"/>
      <c r="AV439" s="1017"/>
      <c r="AW439" s="1017"/>
      <c r="AX439" s="1017"/>
      <c r="AY439" s="1017"/>
      <c r="AZ439" s="1017"/>
      <c r="BA439" s="1017"/>
      <c r="BB439" s="1017"/>
      <c r="BC439" s="1017"/>
      <c r="BD439" s="1017"/>
      <c r="BE439" s="1018"/>
      <c r="BF439" s="695"/>
    </row>
    <row r="440" spans="1:58" x14ac:dyDescent="0.45">
      <c r="A440" s="695"/>
      <c r="B440" s="863"/>
      <c r="C440" s="1023" t="s">
        <v>64</v>
      </c>
      <c r="D440" s="864"/>
      <c r="E440" s="864"/>
      <c r="F440" s="864"/>
      <c r="G440" s="1017"/>
      <c r="H440" s="1017"/>
      <c r="I440" s="1017"/>
      <c r="J440" s="1017"/>
      <c r="K440" s="1017"/>
      <c r="L440" s="1017"/>
      <c r="M440" s="1017"/>
      <c r="N440" s="1017"/>
      <c r="O440" s="1017"/>
      <c r="P440" s="1017"/>
      <c r="Q440" s="1017"/>
      <c r="R440" s="1017"/>
      <c r="S440" s="1017"/>
      <c r="T440" s="1017"/>
      <c r="U440" s="1017"/>
      <c r="V440" s="1017"/>
      <c r="W440" s="1017"/>
      <c r="X440" s="1017"/>
      <c r="Y440" s="1017"/>
      <c r="Z440" s="1017"/>
      <c r="AA440" s="1017"/>
      <c r="AB440" s="1017"/>
      <c r="AC440" s="1017"/>
      <c r="AD440" s="1017"/>
      <c r="AE440" s="1017"/>
      <c r="AF440" s="1017"/>
      <c r="AG440" s="1017"/>
      <c r="AH440" s="1017"/>
      <c r="AI440" s="1017"/>
      <c r="AJ440" s="1017"/>
      <c r="AK440" s="1017"/>
      <c r="AL440" s="1017"/>
      <c r="AM440" s="1017"/>
      <c r="AN440" s="1017"/>
      <c r="AO440" s="1017"/>
      <c r="AP440" s="1017"/>
      <c r="AQ440" s="1017"/>
      <c r="AR440" s="1017"/>
      <c r="AS440" s="1017"/>
      <c r="AT440" s="1017"/>
      <c r="AU440" s="1017"/>
      <c r="AV440" s="1017"/>
      <c r="AW440" s="1017"/>
      <c r="AX440" s="1017"/>
      <c r="AY440" s="1017"/>
      <c r="AZ440" s="1017"/>
      <c r="BA440" s="1017"/>
      <c r="BB440" s="1017"/>
      <c r="BC440" s="1017"/>
      <c r="BD440" s="1017"/>
      <c r="BE440" s="1018"/>
      <c r="BF440" s="695"/>
    </row>
    <row r="441" spans="1:58" x14ac:dyDescent="0.45">
      <c r="A441" s="695"/>
      <c r="B441" s="863"/>
      <c r="C441" s="864" t="str">
        <f>'II. Inputs, Baseline Energy Mix'!$E$90</f>
        <v xml:space="preserve">Front-end Fee </v>
      </c>
      <c r="D441" s="864"/>
      <c r="E441" s="864"/>
      <c r="F441" s="864"/>
      <c r="G441" s="1017"/>
      <c r="H441" s="1592">
        <f>IF(G435&gt;0, G435*G437/10000, 0)</f>
        <v>0</v>
      </c>
      <c r="I441" s="1592">
        <v>0</v>
      </c>
      <c r="J441" s="1592">
        <v>0</v>
      </c>
      <c r="K441" s="1592">
        <v>0</v>
      </c>
      <c r="L441" s="1592">
        <v>0</v>
      </c>
      <c r="M441" s="1592">
        <v>0</v>
      </c>
      <c r="N441" s="1592">
        <v>0</v>
      </c>
      <c r="O441" s="1592">
        <v>0</v>
      </c>
      <c r="P441" s="1592">
        <v>0</v>
      </c>
      <c r="Q441" s="1592">
        <v>0</v>
      </c>
      <c r="R441" s="1592">
        <v>0</v>
      </c>
      <c r="S441" s="1592">
        <v>0</v>
      </c>
      <c r="T441" s="1592">
        <v>0</v>
      </c>
      <c r="U441" s="1592">
        <v>0</v>
      </c>
      <c r="V441" s="1592">
        <v>0</v>
      </c>
      <c r="W441" s="1592">
        <v>0</v>
      </c>
      <c r="X441" s="1592">
        <v>0</v>
      </c>
      <c r="Y441" s="1592">
        <v>0</v>
      </c>
      <c r="Z441" s="1592">
        <v>0</v>
      </c>
      <c r="AA441" s="1592">
        <v>0</v>
      </c>
      <c r="AB441" s="1592">
        <v>0</v>
      </c>
      <c r="AC441" s="1592">
        <v>0</v>
      </c>
      <c r="AD441" s="1592">
        <v>0</v>
      </c>
      <c r="AE441" s="1592">
        <v>0</v>
      </c>
      <c r="AF441" s="1592">
        <v>0</v>
      </c>
      <c r="AG441" s="1592">
        <v>0</v>
      </c>
      <c r="AH441" s="1592">
        <v>0</v>
      </c>
      <c r="AI441" s="1592">
        <v>0</v>
      </c>
      <c r="AJ441" s="1592">
        <v>0</v>
      </c>
      <c r="AK441" s="1592">
        <v>0</v>
      </c>
      <c r="AL441" s="1592">
        <v>0</v>
      </c>
      <c r="AM441" s="1592">
        <v>0</v>
      </c>
      <c r="AN441" s="1592">
        <v>0</v>
      </c>
      <c r="AO441" s="1592">
        <v>0</v>
      </c>
      <c r="AP441" s="1592">
        <v>0</v>
      </c>
      <c r="AQ441" s="1592">
        <v>0</v>
      </c>
      <c r="AR441" s="1592">
        <v>0</v>
      </c>
      <c r="AS441" s="1592">
        <v>0</v>
      </c>
      <c r="AT441" s="1592">
        <v>0</v>
      </c>
      <c r="AU441" s="1592">
        <v>0</v>
      </c>
      <c r="AV441" s="1592">
        <v>0</v>
      </c>
      <c r="AW441" s="1592">
        <v>0</v>
      </c>
      <c r="AX441" s="1592">
        <v>0</v>
      </c>
      <c r="AY441" s="1592">
        <v>0</v>
      </c>
      <c r="AZ441" s="1592">
        <v>0</v>
      </c>
      <c r="BA441" s="1592">
        <v>0</v>
      </c>
      <c r="BB441" s="1592">
        <v>0</v>
      </c>
      <c r="BC441" s="1592">
        <v>0</v>
      </c>
      <c r="BD441" s="1592">
        <v>0</v>
      </c>
      <c r="BE441" s="1593">
        <v>0</v>
      </c>
      <c r="BF441" s="695"/>
    </row>
    <row r="442" spans="1:58" x14ac:dyDescent="0.45">
      <c r="A442" s="695"/>
      <c r="B442" s="863"/>
      <c r="C442" s="871" t="str">
        <f>'II. Inputs, Baseline Energy Mix'!$E$91</f>
        <v xml:space="preserve">Annual Political Risk Insurance Premium </v>
      </c>
      <c r="D442" s="871"/>
      <c r="E442" s="871"/>
      <c r="F442" s="871"/>
      <c r="G442" s="1028"/>
      <c r="H442" s="1594">
        <f>IF(H$292&gt;$G436,0,($G435*$G438/10000))</f>
        <v>0</v>
      </c>
      <c r="I442" s="1594">
        <f>IF(I$292&gt;$G$436,0,($G$435*$G$438/10000))</f>
        <v>0</v>
      </c>
      <c r="J442" s="1594">
        <f t="shared" ref="J442:BE442" si="160">IF(J$292&gt;$G$436,0,($G$435*$G$438/10000))</f>
        <v>0</v>
      </c>
      <c r="K442" s="1594">
        <f t="shared" si="160"/>
        <v>0</v>
      </c>
      <c r="L442" s="1594">
        <f t="shared" si="160"/>
        <v>0</v>
      </c>
      <c r="M442" s="1594">
        <f t="shared" si="160"/>
        <v>0</v>
      </c>
      <c r="N442" s="1594">
        <f t="shared" si="160"/>
        <v>0</v>
      </c>
      <c r="O442" s="1594">
        <f t="shared" si="160"/>
        <v>0</v>
      </c>
      <c r="P442" s="1594">
        <f t="shared" si="160"/>
        <v>0</v>
      </c>
      <c r="Q442" s="1594">
        <f t="shared" si="160"/>
        <v>0</v>
      </c>
      <c r="R442" s="1594">
        <f t="shared" si="160"/>
        <v>0</v>
      </c>
      <c r="S442" s="1594">
        <f t="shared" si="160"/>
        <v>0</v>
      </c>
      <c r="T442" s="1594">
        <f t="shared" si="160"/>
        <v>0</v>
      </c>
      <c r="U442" s="1594">
        <f t="shared" si="160"/>
        <v>0</v>
      </c>
      <c r="V442" s="1594">
        <f t="shared" si="160"/>
        <v>0</v>
      </c>
      <c r="W442" s="1594">
        <f t="shared" si="160"/>
        <v>0</v>
      </c>
      <c r="X442" s="1594">
        <f t="shared" si="160"/>
        <v>0</v>
      </c>
      <c r="Y442" s="1594">
        <f t="shared" si="160"/>
        <v>0</v>
      </c>
      <c r="Z442" s="1594">
        <f t="shared" si="160"/>
        <v>0</v>
      </c>
      <c r="AA442" s="1594">
        <f t="shared" si="160"/>
        <v>0</v>
      </c>
      <c r="AB442" s="1594">
        <f t="shared" si="160"/>
        <v>0</v>
      </c>
      <c r="AC442" s="1594">
        <f t="shared" si="160"/>
        <v>0</v>
      </c>
      <c r="AD442" s="1594">
        <f t="shared" si="160"/>
        <v>0</v>
      </c>
      <c r="AE442" s="1594">
        <f t="shared" si="160"/>
        <v>0</v>
      </c>
      <c r="AF442" s="1594">
        <f t="shared" si="160"/>
        <v>0</v>
      </c>
      <c r="AG442" s="1594">
        <f t="shared" si="160"/>
        <v>0</v>
      </c>
      <c r="AH442" s="1594">
        <f t="shared" si="160"/>
        <v>0</v>
      </c>
      <c r="AI442" s="1594">
        <f t="shared" si="160"/>
        <v>0</v>
      </c>
      <c r="AJ442" s="1594">
        <f t="shared" si="160"/>
        <v>0</v>
      </c>
      <c r="AK442" s="1594">
        <f t="shared" si="160"/>
        <v>0</v>
      </c>
      <c r="AL442" s="1594">
        <f t="shared" si="160"/>
        <v>0</v>
      </c>
      <c r="AM442" s="1594">
        <f t="shared" si="160"/>
        <v>0</v>
      </c>
      <c r="AN442" s="1594">
        <f t="shared" si="160"/>
        <v>0</v>
      </c>
      <c r="AO442" s="1594">
        <f t="shared" si="160"/>
        <v>0</v>
      </c>
      <c r="AP442" s="1594">
        <f t="shared" si="160"/>
        <v>0</v>
      </c>
      <c r="AQ442" s="1594">
        <f t="shared" si="160"/>
        <v>0</v>
      </c>
      <c r="AR442" s="1594">
        <f t="shared" si="160"/>
        <v>0</v>
      </c>
      <c r="AS442" s="1594">
        <f t="shared" si="160"/>
        <v>0</v>
      </c>
      <c r="AT442" s="1594">
        <f t="shared" si="160"/>
        <v>0</v>
      </c>
      <c r="AU442" s="1594">
        <f t="shared" si="160"/>
        <v>0</v>
      </c>
      <c r="AV442" s="1594">
        <f t="shared" si="160"/>
        <v>0</v>
      </c>
      <c r="AW442" s="1594">
        <f t="shared" si="160"/>
        <v>0</v>
      </c>
      <c r="AX442" s="1594">
        <f t="shared" si="160"/>
        <v>0</v>
      </c>
      <c r="AY442" s="1594">
        <f t="shared" si="160"/>
        <v>0</v>
      </c>
      <c r="AZ442" s="1594">
        <f t="shared" si="160"/>
        <v>0</v>
      </c>
      <c r="BA442" s="1594">
        <f t="shared" si="160"/>
        <v>0</v>
      </c>
      <c r="BB442" s="1594">
        <f t="shared" si="160"/>
        <v>0</v>
      </c>
      <c r="BC442" s="1594">
        <f t="shared" si="160"/>
        <v>0</v>
      </c>
      <c r="BD442" s="1594">
        <f t="shared" si="160"/>
        <v>0</v>
      </c>
      <c r="BE442" s="1595">
        <f t="shared" si="160"/>
        <v>0</v>
      </c>
      <c r="BF442" s="695"/>
    </row>
    <row r="443" spans="1:58" x14ac:dyDescent="0.45">
      <c r="A443" s="695"/>
      <c r="B443" s="863"/>
      <c r="C443" s="864" t="s">
        <v>78</v>
      </c>
      <c r="D443" s="864"/>
      <c r="E443" s="864"/>
      <c r="F443" s="864"/>
      <c r="G443" s="1017"/>
      <c r="H443" s="1592">
        <f>H441+H442</f>
        <v>0</v>
      </c>
      <c r="I443" s="1592">
        <f t="shared" ref="I443:BE443" si="161">I441+I442</f>
        <v>0</v>
      </c>
      <c r="J443" s="1592">
        <f t="shared" si="161"/>
        <v>0</v>
      </c>
      <c r="K443" s="1592">
        <f t="shared" si="161"/>
        <v>0</v>
      </c>
      <c r="L443" s="1592">
        <f t="shared" si="161"/>
        <v>0</v>
      </c>
      <c r="M443" s="1592">
        <f t="shared" si="161"/>
        <v>0</v>
      </c>
      <c r="N443" s="1592">
        <f t="shared" si="161"/>
        <v>0</v>
      </c>
      <c r="O443" s="1592">
        <f t="shared" si="161"/>
        <v>0</v>
      </c>
      <c r="P443" s="1592">
        <f t="shared" si="161"/>
        <v>0</v>
      </c>
      <c r="Q443" s="1592">
        <f t="shared" si="161"/>
        <v>0</v>
      </c>
      <c r="R443" s="1592">
        <f t="shared" si="161"/>
        <v>0</v>
      </c>
      <c r="S443" s="1592">
        <f t="shared" si="161"/>
        <v>0</v>
      </c>
      <c r="T443" s="1592">
        <f t="shared" si="161"/>
        <v>0</v>
      </c>
      <c r="U443" s="1592">
        <f t="shared" si="161"/>
        <v>0</v>
      </c>
      <c r="V443" s="1592">
        <f t="shared" si="161"/>
        <v>0</v>
      </c>
      <c r="W443" s="1592">
        <f t="shared" si="161"/>
        <v>0</v>
      </c>
      <c r="X443" s="1592">
        <f t="shared" si="161"/>
        <v>0</v>
      </c>
      <c r="Y443" s="1592">
        <f t="shared" si="161"/>
        <v>0</v>
      </c>
      <c r="Z443" s="1592">
        <f t="shared" si="161"/>
        <v>0</v>
      </c>
      <c r="AA443" s="1592">
        <f t="shared" si="161"/>
        <v>0</v>
      </c>
      <c r="AB443" s="1592">
        <f t="shared" si="161"/>
        <v>0</v>
      </c>
      <c r="AC443" s="1592">
        <f t="shared" si="161"/>
        <v>0</v>
      </c>
      <c r="AD443" s="1592">
        <f t="shared" si="161"/>
        <v>0</v>
      </c>
      <c r="AE443" s="1592">
        <f t="shared" si="161"/>
        <v>0</v>
      </c>
      <c r="AF443" s="1592">
        <f t="shared" si="161"/>
        <v>0</v>
      </c>
      <c r="AG443" s="1592">
        <f t="shared" si="161"/>
        <v>0</v>
      </c>
      <c r="AH443" s="1592">
        <f t="shared" si="161"/>
        <v>0</v>
      </c>
      <c r="AI443" s="1592">
        <f t="shared" si="161"/>
        <v>0</v>
      </c>
      <c r="AJ443" s="1592">
        <f t="shared" si="161"/>
        <v>0</v>
      </c>
      <c r="AK443" s="1592">
        <f t="shared" si="161"/>
        <v>0</v>
      </c>
      <c r="AL443" s="1592">
        <f t="shared" si="161"/>
        <v>0</v>
      </c>
      <c r="AM443" s="1592">
        <f t="shared" si="161"/>
        <v>0</v>
      </c>
      <c r="AN443" s="1592">
        <f t="shared" si="161"/>
        <v>0</v>
      </c>
      <c r="AO443" s="1592">
        <f t="shared" si="161"/>
        <v>0</v>
      </c>
      <c r="AP443" s="1592">
        <f t="shared" si="161"/>
        <v>0</v>
      </c>
      <c r="AQ443" s="1592">
        <f t="shared" si="161"/>
        <v>0</v>
      </c>
      <c r="AR443" s="1592">
        <f t="shared" si="161"/>
        <v>0</v>
      </c>
      <c r="AS443" s="1592">
        <f t="shared" si="161"/>
        <v>0</v>
      </c>
      <c r="AT443" s="1592">
        <f t="shared" si="161"/>
        <v>0</v>
      </c>
      <c r="AU443" s="1592">
        <f t="shared" si="161"/>
        <v>0</v>
      </c>
      <c r="AV443" s="1592">
        <f t="shared" si="161"/>
        <v>0</v>
      </c>
      <c r="AW443" s="1592">
        <f t="shared" si="161"/>
        <v>0</v>
      </c>
      <c r="AX443" s="1592">
        <f t="shared" si="161"/>
        <v>0</v>
      </c>
      <c r="AY443" s="1592">
        <f t="shared" si="161"/>
        <v>0</v>
      </c>
      <c r="AZ443" s="1592">
        <f t="shared" si="161"/>
        <v>0</v>
      </c>
      <c r="BA443" s="1592">
        <f t="shared" si="161"/>
        <v>0</v>
      </c>
      <c r="BB443" s="1592">
        <f t="shared" si="161"/>
        <v>0</v>
      </c>
      <c r="BC443" s="1592">
        <f t="shared" si="161"/>
        <v>0</v>
      </c>
      <c r="BD443" s="1592">
        <f t="shared" si="161"/>
        <v>0</v>
      </c>
      <c r="BE443" s="1593">
        <f t="shared" si="161"/>
        <v>0</v>
      </c>
      <c r="BF443" s="695"/>
    </row>
    <row r="444" spans="1:58" ht="13.15" thickBot="1" x14ac:dyDescent="0.5">
      <c r="A444" s="695"/>
      <c r="B444" s="882"/>
      <c r="C444" s="883"/>
      <c r="D444" s="883"/>
      <c r="E444" s="883"/>
      <c r="F444" s="883"/>
      <c r="G444" s="1029"/>
      <c r="H444" s="1596"/>
      <c r="I444" s="1596"/>
      <c r="J444" s="1596"/>
      <c r="K444" s="1596"/>
      <c r="L444" s="1596"/>
      <c r="M444" s="1596"/>
      <c r="N444" s="1596"/>
      <c r="O444" s="1596"/>
      <c r="P444" s="1596"/>
      <c r="Q444" s="1596"/>
      <c r="R444" s="1596"/>
      <c r="S444" s="1596"/>
      <c r="T444" s="1596"/>
      <c r="U444" s="1596"/>
      <c r="V444" s="1596"/>
      <c r="W444" s="1596"/>
      <c r="X444" s="1596"/>
      <c r="Y444" s="1596"/>
      <c r="Z444" s="1596"/>
      <c r="AA444" s="1596"/>
      <c r="AB444" s="1596"/>
      <c r="AC444" s="1596"/>
      <c r="AD444" s="1596"/>
      <c r="AE444" s="1596"/>
      <c r="AF444" s="1596"/>
      <c r="AG444" s="1596"/>
      <c r="AH444" s="1596"/>
      <c r="AI444" s="1596"/>
      <c r="AJ444" s="1596"/>
      <c r="AK444" s="1596"/>
      <c r="AL444" s="1596"/>
      <c r="AM444" s="1596"/>
      <c r="AN444" s="1596"/>
      <c r="AO444" s="1596"/>
      <c r="AP444" s="1596"/>
      <c r="AQ444" s="1596"/>
      <c r="AR444" s="1596"/>
      <c r="AS444" s="1596"/>
      <c r="AT444" s="1596"/>
      <c r="AU444" s="1596"/>
      <c r="AV444" s="1596"/>
      <c r="AW444" s="1596"/>
      <c r="AX444" s="1596"/>
      <c r="AY444" s="1596"/>
      <c r="AZ444" s="1596"/>
      <c r="BA444" s="1596"/>
      <c r="BB444" s="1596"/>
      <c r="BC444" s="1596"/>
      <c r="BD444" s="1596"/>
      <c r="BE444" s="1597"/>
      <c r="BF444" s="695"/>
    </row>
    <row r="445" spans="1:58" x14ac:dyDescent="0.45">
      <c r="A445" s="695"/>
      <c r="B445" s="695"/>
      <c r="C445" s="695"/>
      <c r="D445" s="695"/>
      <c r="E445" s="695"/>
      <c r="F445" s="695"/>
      <c r="G445" s="695"/>
      <c r="H445" s="1548"/>
      <c r="I445" s="1548"/>
      <c r="J445" s="1548"/>
      <c r="K445" s="1548"/>
      <c r="L445" s="1548"/>
      <c r="M445" s="1548"/>
      <c r="N445" s="1548"/>
      <c r="O445" s="1548"/>
      <c r="P445" s="1548"/>
      <c r="Q445" s="1548"/>
      <c r="R445" s="1548"/>
      <c r="S445" s="1548"/>
      <c r="T445" s="1548"/>
      <c r="U445" s="1548"/>
      <c r="V445" s="1548"/>
      <c r="W445" s="1548"/>
      <c r="X445" s="1548"/>
      <c r="Y445" s="1548"/>
      <c r="Z445" s="1548"/>
      <c r="AA445" s="1548"/>
      <c r="AB445" s="1548"/>
      <c r="AC445" s="1548"/>
      <c r="AD445" s="1548"/>
      <c r="AE445" s="1548"/>
      <c r="AF445" s="1548"/>
      <c r="AG445" s="1548"/>
      <c r="AH445" s="1548"/>
      <c r="AI445" s="1548"/>
      <c r="AJ445" s="1548"/>
      <c r="AK445" s="1548"/>
      <c r="AL445" s="1548"/>
      <c r="AM445" s="1548"/>
      <c r="AN445" s="1548"/>
      <c r="AO445" s="1548"/>
      <c r="AP445" s="1548"/>
      <c r="AQ445" s="1548"/>
      <c r="AR445" s="1548"/>
      <c r="AS445" s="1548"/>
      <c r="AT445" s="1548"/>
      <c r="AU445" s="1548"/>
      <c r="AV445" s="1548"/>
      <c r="AW445" s="1548"/>
      <c r="AX445" s="1548"/>
      <c r="AY445" s="1548"/>
      <c r="AZ445" s="1548"/>
      <c r="BA445" s="1548"/>
      <c r="BB445" s="1548"/>
      <c r="BC445" s="1548"/>
      <c r="BD445" s="1548"/>
      <c r="BE445" s="1548"/>
      <c r="BF445" s="695"/>
    </row>
    <row r="446" spans="1:58" s="479" customFormat="1" ht="13.15" x14ac:dyDescent="0.45">
      <c r="A446" s="704"/>
      <c r="B446" s="1171" t="s">
        <v>51</v>
      </c>
      <c r="C446" s="1172"/>
      <c r="D446" s="1172"/>
      <c r="E446" s="1173"/>
      <c r="F446" s="1172"/>
      <c r="G446" s="1173">
        <v>0</v>
      </c>
      <c r="H446" s="1173">
        <v>1</v>
      </c>
      <c r="I446" s="1173">
        <v>2</v>
      </c>
      <c r="J446" s="1173">
        <v>3</v>
      </c>
      <c r="K446" s="1173">
        <v>4</v>
      </c>
      <c r="L446" s="1173">
        <v>5</v>
      </c>
      <c r="M446" s="1173">
        <v>6</v>
      </c>
      <c r="N446" s="1173">
        <v>7</v>
      </c>
      <c r="O446" s="1173">
        <v>8</v>
      </c>
      <c r="P446" s="1173">
        <v>9</v>
      </c>
      <c r="Q446" s="1173">
        <v>10</v>
      </c>
      <c r="R446" s="1173">
        <v>11</v>
      </c>
      <c r="S446" s="1173">
        <v>12</v>
      </c>
      <c r="T446" s="1173">
        <v>13</v>
      </c>
      <c r="U446" s="1173">
        <v>14</v>
      </c>
      <c r="V446" s="1173">
        <v>15</v>
      </c>
      <c r="W446" s="1173">
        <v>16</v>
      </c>
      <c r="X446" s="1173">
        <v>17</v>
      </c>
      <c r="Y446" s="1173">
        <v>18</v>
      </c>
      <c r="Z446" s="1173">
        <v>19</v>
      </c>
      <c r="AA446" s="1173">
        <v>20</v>
      </c>
      <c r="AB446" s="1173">
        <v>21</v>
      </c>
      <c r="AC446" s="1173">
        <v>22</v>
      </c>
      <c r="AD446" s="1173">
        <v>23</v>
      </c>
      <c r="AE446" s="1173">
        <v>24</v>
      </c>
      <c r="AF446" s="1173">
        <v>25</v>
      </c>
      <c r="AG446" s="1173">
        <v>26</v>
      </c>
      <c r="AH446" s="1173">
        <v>27</v>
      </c>
      <c r="AI446" s="1173">
        <v>28</v>
      </c>
      <c r="AJ446" s="1173">
        <v>29</v>
      </c>
      <c r="AK446" s="1173">
        <v>30</v>
      </c>
      <c r="AL446" s="1173">
        <v>31</v>
      </c>
      <c r="AM446" s="1173">
        <v>32</v>
      </c>
      <c r="AN446" s="1173">
        <v>33</v>
      </c>
      <c r="AO446" s="1173">
        <v>34</v>
      </c>
      <c r="AP446" s="1173">
        <v>35</v>
      </c>
      <c r="AQ446" s="1173">
        <v>36</v>
      </c>
      <c r="AR446" s="1173">
        <v>37</v>
      </c>
      <c r="AS446" s="1173">
        <v>38</v>
      </c>
      <c r="AT446" s="1173">
        <v>39</v>
      </c>
      <c r="AU446" s="1173">
        <v>40</v>
      </c>
      <c r="AV446" s="1173">
        <v>41</v>
      </c>
      <c r="AW446" s="1173">
        <v>42</v>
      </c>
      <c r="AX446" s="1173">
        <v>43</v>
      </c>
      <c r="AY446" s="1173">
        <v>44</v>
      </c>
      <c r="AZ446" s="1173">
        <v>45</v>
      </c>
      <c r="BA446" s="1173">
        <v>46</v>
      </c>
      <c r="BB446" s="1173">
        <v>47</v>
      </c>
      <c r="BC446" s="1173">
        <v>48</v>
      </c>
      <c r="BD446" s="1173">
        <v>49</v>
      </c>
      <c r="BE446" s="1173">
        <v>50</v>
      </c>
      <c r="BF446" s="704"/>
    </row>
    <row r="447" spans="1:58" ht="13.15" thickBot="1" x14ac:dyDescent="0.5">
      <c r="A447" s="695"/>
      <c r="B447" s="415"/>
      <c r="C447" s="461"/>
      <c r="D447" s="461"/>
      <c r="E447" s="693"/>
      <c r="F447" s="695"/>
      <c r="G447" s="693"/>
      <c r="H447" s="693"/>
      <c r="I447" s="693"/>
      <c r="J447" s="693"/>
      <c r="K447" s="693"/>
      <c r="L447" s="693"/>
      <c r="M447" s="693"/>
      <c r="N447" s="693"/>
      <c r="O447" s="693"/>
      <c r="P447" s="693"/>
      <c r="Q447" s="693"/>
      <c r="R447" s="693"/>
      <c r="S447" s="693"/>
      <c r="T447" s="693"/>
      <c r="U447" s="693"/>
      <c r="V447" s="693"/>
      <c r="W447" s="693"/>
      <c r="X447" s="693"/>
      <c r="Y447" s="693"/>
      <c r="Z447" s="693"/>
      <c r="AA447" s="693"/>
      <c r="AB447" s="693"/>
      <c r="AC447" s="693"/>
      <c r="AD447" s="693"/>
      <c r="AE447" s="693"/>
      <c r="AF447" s="693"/>
      <c r="AG447" s="693"/>
      <c r="AH447" s="693"/>
      <c r="AI447" s="693"/>
      <c r="AJ447" s="693"/>
      <c r="AK447" s="693"/>
      <c r="AL447" s="693"/>
      <c r="AM447" s="693"/>
      <c r="AN447" s="693"/>
      <c r="AO447" s="693"/>
      <c r="AP447" s="693"/>
      <c r="AQ447" s="693"/>
      <c r="AR447" s="693"/>
      <c r="AS447" s="693"/>
      <c r="AT447" s="693"/>
      <c r="AU447" s="693"/>
      <c r="AV447" s="693"/>
      <c r="AW447" s="693"/>
      <c r="AX447" s="693"/>
      <c r="AY447" s="693"/>
      <c r="AZ447" s="693"/>
      <c r="BA447" s="693"/>
      <c r="BB447" s="693"/>
      <c r="BC447" s="693"/>
      <c r="BD447" s="693"/>
      <c r="BE447" s="693"/>
      <c r="BF447" s="695"/>
    </row>
    <row r="448" spans="1:58" s="479" customFormat="1" ht="13.15" x14ac:dyDescent="0.45">
      <c r="A448" s="704"/>
      <c r="B448" s="885" t="str">
        <f>B107</f>
        <v>Technology #3</v>
      </c>
      <c r="C448" s="886"/>
      <c r="D448" s="886"/>
      <c r="E448" s="886"/>
      <c r="F448" s="886"/>
      <c r="G448" s="886"/>
      <c r="H448" s="886"/>
      <c r="I448" s="886"/>
      <c r="J448" s="886"/>
      <c r="K448" s="886"/>
      <c r="L448" s="886"/>
      <c r="M448" s="886"/>
      <c r="N448" s="886"/>
      <c r="O448" s="886"/>
      <c r="P448" s="886"/>
      <c r="Q448" s="886"/>
      <c r="R448" s="886"/>
      <c r="S448" s="886"/>
      <c r="T448" s="886"/>
      <c r="U448" s="886"/>
      <c r="V448" s="886"/>
      <c r="W448" s="886"/>
      <c r="X448" s="886"/>
      <c r="Y448" s="886"/>
      <c r="Z448" s="886"/>
      <c r="AA448" s="886"/>
      <c r="AB448" s="886"/>
      <c r="AC448" s="886"/>
      <c r="AD448" s="886"/>
      <c r="AE448" s="886"/>
      <c r="AF448" s="886"/>
      <c r="AG448" s="886"/>
      <c r="AH448" s="886"/>
      <c r="AI448" s="886"/>
      <c r="AJ448" s="886"/>
      <c r="AK448" s="886"/>
      <c r="AL448" s="886"/>
      <c r="AM448" s="886"/>
      <c r="AN448" s="886"/>
      <c r="AO448" s="886"/>
      <c r="AP448" s="886"/>
      <c r="AQ448" s="886"/>
      <c r="AR448" s="886"/>
      <c r="AS448" s="886"/>
      <c r="AT448" s="886"/>
      <c r="AU448" s="886"/>
      <c r="AV448" s="886"/>
      <c r="AW448" s="886"/>
      <c r="AX448" s="886"/>
      <c r="AY448" s="886"/>
      <c r="AZ448" s="886"/>
      <c r="BA448" s="886"/>
      <c r="BB448" s="886"/>
      <c r="BC448" s="886"/>
      <c r="BD448" s="886"/>
      <c r="BE448" s="887"/>
      <c r="BF448" s="704"/>
    </row>
    <row r="449" spans="1:58" x14ac:dyDescent="0.45">
      <c r="A449" s="695"/>
      <c r="B449" s="888"/>
      <c r="C449" s="889"/>
      <c r="D449" s="889"/>
      <c r="E449" s="889"/>
      <c r="F449" s="889"/>
      <c r="G449" s="889"/>
      <c r="H449" s="889"/>
      <c r="I449" s="889"/>
      <c r="J449" s="889"/>
      <c r="K449" s="889"/>
      <c r="L449" s="889"/>
      <c r="M449" s="889"/>
      <c r="N449" s="889"/>
      <c r="O449" s="889"/>
      <c r="P449" s="889"/>
      <c r="Q449" s="889"/>
      <c r="R449" s="889"/>
      <c r="S449" s="889"/>
      <c r="T449" s="889"/>
      <c r="U449" s="889"/>
      <c r="V449" s="889"/>
      <c r="W449" s="889"/>
      <c r="X449" s="889"/>
      <c r="Y449" s="889"/>
      <c r="Z449" s="889"/>
      <c r="AA449" s="889"/>
      <c r="AB449" s="889"/>
      <c r="AC449" s="889"/>
      <c r="AD449" s="889"/>
      <c r="AE449" s="889"/>
      <c r="AF449" s="889"/>
      <c r="AG449" s="889"/>
      <c r="AH449" s="889"/>
      <c r="AI449" s="889"/>
      <c r="AJ449" s="889"/>
      <c r="AK449" s="889"/>
      <c r="AL449" s="889"/>
      <c r="AM449" s="889"/>
      <c r="AN449" s="889"/>
      <c r="AO449" s="889"/>
      <c r="AP449" s="889"/>
      <c r="AQ449" s="889"/>
      <c r="AR449" s="889"/>
      <c r="AS449" s="889"/>
      <c r="AT449" s="889"/>
      <c r="AU449" s="889"/>
      <c r="AV449" s="889"/>
      <c r="AW449" s="889"/>
      <c r="AX449" s="889"/>
      <c r="AY449" s="889"/>
      <c r="AZ449" s="889"/>
      <c r="BA449" s="889"/>
      <c r="BB449" s="889"/>
      <c r="BC449" s="889"/>
      <c r="BD449" s="889"/>
      <c r="BE449" s="890"/>
      <c r="BF449" s="695"/>
    </row>
    <row r="450" spans="1:58" ht="13.15" x14ac:dyDescent="0.45">
      <c r="A450" s="695"/>
      <c r="B450" s="903" t="s">
        <v>220</v>
      </c>
      <c r="C450" s="889"/>
      <c r="D450" s="889"/>
      <c r="E450" s="889"/>
      <c r="F450" s="889"/>
      <c r="G450" s="889"/>
      <c r="H450" s="889"/>
      <c r="I450" s="889"/>
      <c r="J450" s="889"/>
      <c r="K450" s="889"/>
      <c r="L450" s="889"/>
      <c r="M450" s="889"/>
      <c r="N450" s="889"/>
      <c r="O450" s="889"/>
      <c r="P450" s="889"/>
      <c r="Q450" s="889"/>
      <c r="R450" s="889"/>
      <c r="S450" s="889"/>
      <c r="T450" s="889"/>
      <c r="U450" s="889"/>
      <c r="V450" s="889"/>
      <c r="W450" s="889"/>
      <c r="X450" s="889"/>
      <c r="Y450" s="889"/>
      <c r="Z450" s="889"/>
      <c r="AA450" s="889"/>
      <c r="AB450" s="889"/>
      <c r="AC450" s="889"/>
      <c r="AD450" s="889"/>
      <c r="AE450" s="889"/>
      <c r="AF450" s="889"/>
      <c r="AG450" s="889"/>
      <c r="AH450" s="889"/>
      <c r="AI450" s="889"/>
      <c r="AJ450" s="889"/>
      <c r="AK450" s="889"/>
      <c r="AL450" s="889"/>
      <c r="AM450" s="889"/>
      <c r="AN450" s="889"/>
      <c r="AO450" s="889"/>
      <c r="AP450" s="889"/>
      <c r="AQ450" s="889"/>
      <c r="AR450" s="889"/>
      <c r="AS450" s="889"/>
      <c r="AT450" s="889"/>
      <c r="AU450" s="889"/>
      <c r="AV450" s="889"/>
      <c r="AW450" s="889"/>
      <c r="AX450" s="889"/>
      <c r="AY450" s="889"/>
      <c r="AZ450" s="889"/>
      <c r="BA450" s="889"/>
      <c r="BB450" s="889"/>
      <c r="BC450" s="889"/>
      <c r="BD450" s="889"/>
      <c r="BE450" s="890"/>
      <c r="BF450" s="695"/>
    </row>
    <row r="451" spans="1:58" x14ac:dyDescent="0.45">
      <c r="A451" s="695"/>
      <c r="B451" s="888"/>
      <c r="C451" s="1030" t="s">
        <v>61</v>
      </c>
      <c r="D451" s="892" t="s">
        <v>748</v>
      </c>
      <c r="E451" s="889"/>
      <c r="F451" s="889"/>
      <c r="G451" s="1558">
        <f>IF('II. Inputs, Baseline Energy Mix'!$P$19&gt;0,('II. Inputs, Baseline Energy Mix'!$P$20*'II. Inputs, Baseline Energy Mix'!$P$21*'II. Inputs, Baseline Energy Mix'!$P$36*'II. Inputs, Baseline Energy Mix'!$P$38),0)</f>
        <v>0</v>
      </c>
      <c r="H451" s="889"/>
      <c r="I451" s="889"/>
      <c r="J451" s="889"/>
      <c r="K451" s="889"/>
      <c r="L451" s="889"/>
      <c r="M451" s="889"/>
      <c r="N451" s="889"/>
      <c r="O451" s="889"/>
      <c r="P451" s="889"/>
      <c r="Q451" s="889"/>
      <c r="R451" s="889"/>
      <c r="S451" s="889"/>
      <c r="T451" s="889"/>
      <c r="U451" s="889"/>
      <c r="V451" s="889"/>
      <c r="W451" s="889"/>
      <c r="X451" s="889"/>
      <c r="Y451" s="889"/>
      <c r="Z451" s="889"/>
      <c r="AA451" s="889"/>
      <c r="AB451" s="889"/>
      <c r="AC451" s="889"/>
      <c r="AD451" s="889"/>
      <c r="AE451" s="889"/>
      <c r="AF451" s="889"/>
      <c r="AG451" s="889"/>
      <c r="AH451" s="889"/>
      <c r="AI451" s="889"/>
      <c r="AJ451" s="889"/>
      <c r="AK451" s="889"/>
      <c r="AL451" s="889"/>
      <c r="AM451" s="889"/>
      <c r="AN451" s="889"/>
      <c r="AO451" s="889"/>
      <c r="AP451" s="889"/>
      <c r="AQ451" s="889"/>
      <c r="AR451" s="889"/>
      <c r="AS451" s="889"/>
      <c r="AT451" s="889"/>
      <c r="AU451" s="889"/>
      <c r="AV451" s="889"/>
      <c r="AW451" s="889"/>
      <c r="AX451" s="889"/>
      <c r="AY451" s="889"/>
      <c r="AZ451" s="889"/>
      <c r="BA451" s="889"/>
      <c r="BB451" s="889"/>
      <c r="BC451" s="889"/>
      <c r="BD451" s="889"/>
      <c r="BE451" s="890"/>
      <c r="BF451" s="695"/>
    </row>
    <row r="452" spans="1:58" x14ac:dyDescent="0.45">
      <c r="A452" s="695"/>
      <c r="B452" s="888"/>
      <c r="C452" s="1030" t="s">
        <v>62</v>
      </c>
      <c r="D452" s="892" t="s">
        <v>18</v>
      </c>
      <c r="E452" s="889"/>
      <c r="F452" s="889"/>
      <c r="G452" s="891">
        <f>SUM('II. Inputs, Baseline Energy Mix'!$P$77)</f>
        <v>0</v>
      </c>
      <c r="H452" s="889"/>
      <c r="I452" s="889"/>
      <c r="J452" s="889"/>
      <c r="K452" s="889"/>
      <c r="L452" s="889"/>
      <c r="M452" s="889"/>
      <c r="N452" s="889"/>
      <c r="O452" s="889"/>
      <c r="P452" s="889"/>
      <c r="Q452" s="889"/>
      <c r="R452" s="889"/>
      <c r="S452" s="889"/>
      <c r="T452" s="889"/>
      <c r="U452" s="889"/>
      <c r="V452" s="889"/>
      <c r="W452" s="889"/>
      <c r="X452" s="889"/>
      <c r="Y452" s="889"/>
      <c r="Z452" s="889"/>
      <c r="AA452" s="889"/>
      <c r="AB452" s="889"/>
      <c r="AC452" s="889"/>
      <c r="AD452" s="889"/>
      <c r="AE452" s="889"/>
      <c r="AF452" s="889"/>
      <c r="AG452" s="889"/>
      <c r="AH452" s="889"/>
      <c r="AI452" s="889"/>
      <c r="AJ452" s="889"/>
      <c r="AK452" s="889"/>
      <c r="AL452" s="889"/>
      <c r="AM452" s="889"/>
      <c r="AN452" s="889"/>
      <c r="AO452" s="889"/>
      <c r="AP452" s="889"/>
      <c r="AQ452" s="889"/>
      <c r="AR452" s="889"/>
      <c r="AS452" s="889"/>
      <c r="AT452" s="889"/>
      <c r="AU452" s="889"/>
      <c r="AV452" s="889"/>
      <c r="AW452" s="889"/>
      <c r="AX452" s="889"/>
      <c r="AY452" s="889"/>
      <c r="AZ452" s="889"/>
      <c r="BA452" s="889"/>
      <c r="BB452" s="889"/>
      <c r="BC452" s="889"/>
      <c r="BD452" s="889"/>
      <c r="BE452" s="890"/>
      <c r="BF452" s="695"/>
    </row>
    <row r="453" spans="1:58" x14ac:dyDescent="0.45">
      <c r="A453" s="695"/>
      <c r="B453" s="888"/>
      <c r="C453" s="1030" t="s">
        <v>63</v>
      </c>
      <c r="D453" s="892" t="s">
        <v>14</v>
      </c>
      <c r="E453" s="889"/>
      <c r="F453" s="889"/>
      <c r="G453" s="1031">
        <f>SUM('II. Inputs, Baseline Energy Mix'!$P$76)</f>
        <v>0</v>
      </c>
      <c r="H453" s="889"/>
      <c r="I453" s="889"/>
      <c r="J453" s="889"/>
      <c r="K453" s="889"/>
      <c r="L453" s="889"/>
      <c r="M453" s="889"/>
      <c r="N453" s="889"/>
      <c r="O453" s="889"/>
      <c r="P453" s="889"/>
      <c r="Q453" s="889"/>
      <c r="R453" s="889"/>
      <c r="S453" s="889"/>
      <c r="T453" s="889"/>
      <c r="U453" s="889"/>
      <c r="V453" s="889"/>
      <c r="W453" s="889"/>
      <c r="X453" s="889"/>
      <c r="Y453" s="889"/>
      <c r="Z453" s="889"/>
      <c r="AA453" s="889"/>
      <c r="AB453" s="889"/>
      <c r="AC453" s="889"/>
      <c r="AD453" s="889"/>
      <c r="AE453" s="889"/>
      <c r="AF453" s="889"/>
      <c r="AG453" s="889"/>
      <c r="AH453" s="889"/>
      <c r="AI453" s="889"/>
      <c r="AJ453" s="889"/>
      <c r="AK453" s="889"/>
      <c r="AL453" s="889"/>
      <c r="AM453" s="889"/>
      <c r="AN453" s="889"/>
      <c r="AO453" s="889"/>
      <c r="AP453" s="889"/>
      <c r="AQ453" s="889"/>
      <c r="AR453" s="889"/>
      <c r="AS453" s="889"/>
      <c r="AT453" s="889"/>
      <c r="AU453" s="889"/>
      <c r="AV453" s="889"/>
      <c r="AW453" s="889"/>
      <c r="AX453" s="889"/>
      <c r="AY453" s="889"/>
      <c r="AZ453" s="889"/>
      <c r="BA453" s="889"/>
      <c r="BB453" s="889"/>
      <c r="BC453" s="889"/>
      <c r="BD453" s="889"/>
      <c r="BE453" s="890"/>
      <c r="BF453" s="695"/>
    </row>
    <row r="454" spans="1:58" x14ac:dyDescent="0.45">
      <c r="A454" s="695"/>
      <c r="B454" s="888"/>
      <c r="C454" s="889"/>
      <c r="D454" s="889"/>
      <c r="E454" s="889"/>
      <c r="F454" s="889"/>
      <c r="G454" s="889"/>
      <c r="H454" s="889"/>
      <c r="I454" s="889"/>
      <c r="J454" s="889"/>
      <c r="K454" s="889"/>
      <c r="L454" s="889"/>
      <c r="M454" s="889"/>
      <c r="N454" s="889"/>
      <c r="O454" s="889"/>
      <c r="P454" s="889"/>
      <c r="Q454" s="889"/>
      <c r="R454" s="889"/>
      <c r="S454" s="889"/>
      <c r="T454" s="889"/>
      <c r="U454" s="889"/>
      <c r="V454" s="889"/>
      <c r="W454" s="889"/>
      <c r="X454" s="889"/>
      <c r="Y454" s="889"/>
      <c r="Z454" s="889"/>
      <c r="AA454" s="889"/>
      <c r="AB454" s="889"/>
      <c r="AC454" s="889"/>
      <c r="AD454" s="889"/>
      <c r="AE454" s="889"/>
      <c r="AF454" s="889"/>
      <c r="AG454" s="889"/>
      <c r="AH454" s="889"/>
      <c r="AI454" s="889"/>
      <c r="AJ454" s="889"/>
      <c r="AK454" s="889"/>
      <c r="AL454" s="889"/>
      <c r="AM454" s="889"/>
      <c r="AN454" s="889"/>
      <c r="AO454" s="889"/>
      <c r="AP454" s="889"/>
      <c r="AQ454" s="889"/>
      <c r="AR454" s="889"/>
      <c r="AS454" s="889"/>
      <c r="AT454" s="889"/>
      <c r="AU454" s="889"/>
      <c r="AV454" s="889"/>
      <c r="AW454" s="889"/>
      <c r="AX454" s="889"/>
      <c r="AY454" s="889"/>
      <c r="AZ454" s="889"/>
      <c r="BA454" s="889"/>
      <c r="BB454" s="889"/>
      <c r="BC454" s="889"/>
      <c r="BD454" s="889"/>
      <c r="BE454" s="890"/>
      <c r="BF454" s="695"/>
    </row>
    <row r="455" spans="1:58" x14ac:dyDescent="0.45">
      <c r="A455" s="695"/>
      <c r="B455" s="888"/>
      <c r="C455" s="1032" t="s">
        <v>60</v>
      </c>
      <c r="D455" s="889"/>
      <c r="E455" s="889"/>
      <c r="F455" s="889"/>
      <c r="G455" s="889"/>
      <c r="H455" s="889"/>
      <c r="I455" s="889"/>
      <c r="J455" s="889"/>
      <c r="K455" s="889"/>
      <c r="L455" s="889"/>
      <c r="M455" s="889"/>
      <c r="N455" s="889"/>
      <c r="O455" s="889"/>
      <c r="P455" s="889"/>
      <c r="Q455" s="889"/>
      <c r="R455" s="889"/>
      <c r="S455" s="889"/>
      <c r="T455" s="889"/>
      <c r="U455" s="889"/>
      <c r="V455" s="889"/>
      <c r="W455" s="889"/>
      <c r="X455" s="889"/>
      <c r="Y455" s="889"/>
      <c r="Z455" s="889"/>
      <c r="AA455" s="889"/>
      <c r="AB455" s="889"/>
      <c r="AC455" s="889"/>
      <c r="AD455" s="889"/>
      <c r="AE455" s="889"/>
      <c r="AF455" s="889"/>
      <c r="AG455" s="889"/>
      <c r="AH455" s="889"/>
      <c r="AI455" s="889"/>
      <c r="AJ455" s="889"/>
      <c r="AK455" s="889"/>
      <c r="AL455" s="889"/>
      <c r="AM455" s="889"/>
      <c r="AN455" s="889"/>
      <c r="AO455" s="889"/>
      <c r="AP455" s="889"/>
      <c r="AQ455" s="889"/>
      <c r="AR455" s="889"/>
      <c r="AS455" s="889"/>
      <c r="AT455" s="889"/>
      <c r="AU455" s="889"/>
      <c r="AV455" s="889"/>
      <c r="AW455" s="889"/>
      <c r="AX455" s="889"/>
      <c r="AY455" s="889"/>
      <c r="AZ455" s="889"/>
      <c r="BA455" s="889"/>
      <c r="BB455" s="889"/>
      <c r="BC455" s="889"/>
      <c r="BD455" s="889"/>
      <c r="BE455" s="890"/>
      <c r="BF455" s="695"/>
    </row>
    <row r="456" spans="1:58" x14ac:dyDescent="0.45">
      <c r="A456" s="695"/>
      <c r="B456" s="888"/>
      <c r="C456" s="889" t="s">
        <v>66</v>
      </c>
      <c r="D456" s="889"/>
      <c r="E456" s="889"/>
      <c r="F456" s="889"/>
      <c r="G456" s="1558"/>
      <c r="H456" s="1558">
        <f>IF(H$292&gt;$G452,0,IPMT($G453,H$292,$G452,-$G451))</f>
        <v>0</v>
      </c>
      <c r="I456" s="1558">
        <f>IF(I$292&gt;$G452,0,IPMT($G453,I$292,$G452,-$G451))</f>
        <v>0</v>
      </c>
      <c r="J456" s="1558">
        <f>IF(J$292&gt;$G452,0,IPMT($G453,J$292,$G452,-$G451))</f>
        <v>0</v>
      </c>
      <c r="K456" s="1558">
        <f>IF(K$292&gt;$G452,0,IPMT($G453,K$292,$G452,-$G451))</f>
        <v>0</v>
      </c>
      <c r="L456" s="1558">
        <f t="shared" ref="L456:BE456" si="162">IF(L$292&gt;$G452,0,IPMT($G453,L$292,$G452,-$G451))</f>
        <v>0</v>
      </c>
      <c r="M456" s="1558">
        <f t="shared" si="162"/>
        <v>0</v>
      </c>
      <c r="N456" s="1558">
        <f t="shared" si="162"/>
        <v>0</v>
      </c>
      <c r="O456" s="1558">
        <f t="shared" si="162"/>
        <v>0</v>
      </c>
      <c r="P456" s="1558">
        <f t="shared" si="162"/>
        <v>0</v>
      </c>
      <c r="Q456" s="1558">
        <f t="shared" si="162"/>
        <v>0</v>
      </c>
      <c r="R456" s="1558">
        <f t="shared" si="162"/>
        <v>0</v>
      </c>
      <c r="S456" s="1558">
        <f t="shared" si="162"/>
        <v>0</v>
      </c>
      <c r="T456" s="1558">
        <f t="shared" si="162"/>
        <v>0</v>
      </c>
      <c r="U456" s="1558">
        <f t="shared" si="162"/>
        <v>0</v>
      </c>
      <c r="V456" s="1558">
        <f t="shared" si="162"/>
        <v>0</v>
      </c>
      <c r="W456" s="1558">
        <f t="shared" si="162"/>
        <v>0</v>
      </c>
      <c r="X456" s="1558">
        <f t="shared" si="162"/>
        <v>0</v>
      </c>
      <c r="Y456" s="1558">
        <f t="shared" si="162"/>
        <v>0</v>
      </c>
      <c r="Z456" s="1558">
        <f t="shared" si="162"/>
        <v>0</v>
      </c>
      <c r="AA456" s="1558">
        <f t="shared" si="162"/>
        <v>0</v>
      </c>
      <c r="AB456" s="1558">
        <f t="shared" si="162"/>
        <v>0</v>
      </c>
      <c r="AC456" s="1558">
        <f t="shared" si="162"/>
        <v>0</v>
      </c>
      <c r="AD456" s="1558">
        <f t="shared" si="162"/>
        <v>0</v>
      </c>
      <c r="AE456" s="1558">
        <f t="shared" si="162"/>
        <v>0</v>
      </c>
      <c r="AF456" s="1558">
        <f t="shared" si="162"/>
        <v>0</v>
      </c>
      <c r="AG456" s="1558">
        <f t="shared" si="162"/>
        <v>0</v>
      </c>
      <c r="AH456" s="1558">
        <f t="shared" si="162"/>
        <v>0</v>
      </c>
      <c r="AI456" s="1558">
        <f t="shared" si="162"/>
        <v>0</v>
      </c>
      <c r="AJ456" s="1558">
        <f t="shared" si="162"/>
        <v>0</v>
      </c>
      <c r="AK456" s="1558">
        <f t="shared" si="162"/>
        <v>0</v>
      </c>
      <c r="AL456" s="1558">
        <f t="shared" si="162"/>
        <v>0</v>
      </c>
      <c r="AM456" s="1558">
        <f t="shared" si="162"/>
        <v>0</v>
      </c>
      <c r="AN456" s="1558">
        <f t="shared" si="162"/>
        <v>0</v>
      </c>
      <c r="AO456" s="1558">
        <f t="shared" si="162"/>
        <v>0</v>
      </c>
      <c r="AP456" s="1558">
        <f t="shared" si="162"/>
        <v>0</v>
      </c>
      <c r="AQ456" s="1558">
        <f t="shared" si="162"/>
        <v>0</v>
      </c>
      <c r="AR456" s="1558">
        <f t="shared" si="162"/>
        <v>0</v>
      </c>
      <c r="AS456" s="1558">
        <f t="shared" si="162"/>
        <v>0</v>
      </c>
      <c r="AT456" s="1558">
        <f t="shared" si="162"/>
        <v>0</v>
      </c>
      <c r="AU456" s="1558">
        <f t="shared" si="162"/>
        <v>0</v>
      </c>
      <c r="AV456" s="1558">
        <f t="shared" si="162"/>
        <v>0</v>
      </c>
      <c r="AW456" s="1558">
        <f t="shared" si="162"/>
        <v>0</v>
      </c>
      <c r="AX456" s="1558">
        <f t="shared" si="162"/>
        <v>0</v>
      </c>
      <c r="AY456" s="1558">
        <f t="shared" si="162"/>
        <v>0</v>
      </c>
      <c r="AZ456" s="1558">
        <f t="shared" si="162"/>
        <v>0</v>
      </c>
      <c r="BA456" s="1558">
        <f t="shared" si="162"/>
        <v>0</v>
      </c>
      <c r="BB456" s="1558">
        <f t="shared" si="162"/>
        <v>0</v>
      </c>
      <c r="BC456" s="1558">
        <f t="shared" si="162"/>
        <v>0</v>
      </c>
      <c r="BD456" s="1558">
        <f t="shared" si="162"/>
        <v>0</v>
      </c>
      <c r="BE456" s="1559">
        <f t="shared" si="162"/>
        <v>0</v>
      </c>
      <c r="BF456" s="695"/>
    </row>
    <row r="457" spans="1:58" x14ac:dyDescent="0.45">
      <c r="A457" s="695"/>
      <c r="B457" s="888"/>
      <c r="C457" s="896" t="s">
        <v>65</v>
      </c>
      <c r="D457" s="896"/>
      <c r="E457" s="896"/>
      <c r="F457" s="896"/>
      <c r="G457" s="1560"/>
      <c r="H457" s="1560">
        <f>IF(H$292&gt;$G452,0,PPMT($G453,H$292,$G452,-$G451))</f>
        <v>0</v>
      </c>
      <c r="I457" s="1560">
        <f>IF(I$292&gt;$G452,0,PPMT($G453,I$292,$G452,-$G451))</f>
        <v>0</v>
      </c>
      <c r="J457" s="1560">
        <f>IF(J$292&gt;$G452,0,PPMT($G453,J$292,$G452,-$G451))</f>
        <v>0</v>
      </c>
      <c r="K457" s="1560">
        <f>IF(K$292&gt;$G452,0,PPMT($G453,K$292,$G452,-$G451))</f>
        <v>0</v>
      </c>
      <c r="L457" s="1560">
        <f t="shared" ref="L457:BE457" si="163">IF(L$292&gt;$G452,0,PPMT($G453,L$292,$G452,-$G451))</f>
        <v>0</v>
      </c>
      <c r="M457" s="1560">
        <f t="shared" si="163"/>
        <v>0</v>
      </c>
      <c r="N457" s="1560">
        <f t="shared" si="163"/>
        <v>0</v>
      </c>
      <c r="O457" s="1560">
        <f t="shared" si="163"/>
        <v>0</v>
      </c>
      <c r="P457" s="1560">
        <f t="shared" si="163"/>
        <v>0</v>
      </c>
      <c r="Q457" s="1560">
        <f t="shared" si="163"/>
        <v>0</v>
      </c>
      <c r="R457" s="1560">
        <f t="shared" si="163"/>
        <v>0</v>
      </c>
      <c r="S457" s="1560">
        <f t="shared" si="163"/>
        <v>0</v>
      </c>
      <c r="T457" s="1560">
        <f t="shared" si="163"/>
        <v>0</v>
      </c>
      <c r="U457" s="1560">
        <f t="shared" si="163"/>
        <v>0</v>
      </c>
      <c r="V457" s="1560">
        <f t="shared" si="163"/>
        <v>0</v>
      </c>
      <c r="W457" s="1560">
        <f t="shared" si="163"/>
        <v>0</v>
      </c>
      <c r="X457" s="1560">
        <f t="shared" si="163"/>
        <v>0</v>
      </c>
      <c r="Y457" s="1560">
        <f t="shared" si="163"/>
        <v>0</v>
      </c>
      <c r="Z457" s="1560">
        <f t="shared" si="163"/>
        <v>0</v>
      </c>
      <c r="AA457" s="1560">
        <f t="shared" si="163"/>
        <v>0</v>
      </c>
      <c r="AB457" s="1560">
        <f t="shared" si="163"/>
        <v>0</v>
      </c>
      <c r="AC457" s="1560">
        <f t="shared" si="163"/>
        <v>0</v>
      </c>
      <c r="AD457" s="1560">
        <f t="shared" si="163"/>
        <v>0</v>
      </c>
      <c r="AE457" s="1560">
        <f t="shared" si="163"/>
        <v>0</v>
      </c>
      <c r="AF457" s="1560">
        <f t="shared" si="163"/>
        <v>0</v>
      </c>
      <c r="AG457" s="1560">
        <f t="shared" si="163"/>
        <v>0</v>
      </c>
      <c r="AH457" s="1560">
        <f t="shared" si="163"/>
        <v>0</v>
      </c>
      <c r="AI457" s="1560">
        <f t="shared" si="163"/>
        <v>0</v>
      </c>
      <c r="AJ457" s="1560">
        <f t="shared" si="163"/>
        <v>0</v>
      </c>
      <c r="AK457" s="1560">
        <f t="shared" si="163"/>
        <v>0</v>
      </c>
      <c r="AL457" s="1560">
        <f t="shared" si="163"/>
        <v>0</v>
      </c>
      <c r="AM457" s="1560">
        <f t="shared" si="163"/>
        <v>0</v>
      </c>
      <c r="AN457" s="1560">
        <f t="shared" si="163"/>
        <v>0</v>
      </c>
      <c r="AO457" s="1560">
        <f t="shared" si="163"/>
        <v>0</v>
      </c>
      <c r="AP457" s="1560">
        <f t="shared" si="163"/>
        <v>0</v>
      </c>
      <c r="AQ457" s="1560">
        <f t="shared" si="163"/>
        <v>0</v>
      </c>
      <c r="AR457" s="1560">
        <f t="shared" si="163"/>
        <v>0</v>
      </c>
      <c r="AS457" s="1560">
        <f t="shared" si="163"/>
        <v>0</v>
      </c>
      <c r="AT457" s="1560">
        <f t="shared" si="163"/>
        <v>0</v>
      </c>
      <c r="AU457" s="1560">
        <f t="shared" si="163"/>
        <v>0</v>
      </c>
      <c r="AV457" s="1560">
        <f t="shared" si="163"/>
        <v>0</v>
      </c>
      <c r="AW457" s="1560">
        <f t="shared" si="163"/>
        <v>0</v>
      </c>
      <c r="AX457" s="1560">
        <f t="shared" si="163"/>
        <v>0</v>
      </c>
      <c r="AY457" s="1560">
        <f t="shared" si="163"/>
        <v>0</v>
      </c>
      <c r="AZ457" s="1560">
        <f t="shared" si="163"/>
        <v>0</v>
      </c>
      <c r="BA457" s="1560">
        <f t="shared" si="163"/>
        <v>0</v>
      </c>
      <c r="BB457" s="1560">
        <f t="shared" si="163"/>
        <v>0</v>
      </c>
      <c r="BC457" s="1560">
        <f t="shared" si="163"/>
        <v>0</v>
      </c>
      <c r="BD457" s="1560">
        <f t="shared" si="163"/>
        <v>0</v>
      </c>
      <c r="BE457" s="1561">
        <f t="shared" si="163"/>
        <v>0</v>
      </c>
      <c r="BF457" s="695"/>
    </row>
    <row r="458" spans="1:58" x14ac:dyDescent="0.45">
      <c r="A458" s="695"/>
      <c r="B458" s="888"/>
      <c r="C458" s="889" t="s">
        <v>67</v>
      </c>
      <c r="D458" s="889"/>
      <c r="E458" s="889"/>
      <c r="F458" s="889"/>
      <c r="G458" s="1558"/>
      <c r="H458" s="1558">
        <f>SUM(H456:H457)</f>
        <v>0</v>
      </c>
      <c r="I458" s="1558">
        <f t="shared" ref="I458:BE458" si="164">SUM(I456:I457)</f>
        <v>0</v>
      </c>
      <c r="J458" s="1558">
        <f t="shared" si="164"/>
        <v>0</v>
      </c>
      <c r="K458" s="1558">
        <f t="shared" si="164"/>
        <v>0</v>
      </c>
      <c r="L458" s="1558">
        <f t="shared" si="164"/>
        <v>0</v>
      </c>
      <c r="M458" s="1558">
        <f t="shared" si="164"/>
        <v>0</v>
      </c>
      <c r="N458" s="1558">
        <f t="shared" si="164"/>
        <v>0</v>
      </c>
      <c r="O458" s="1558">
        <f t="shared" si="164"/>
        <v>0</v>
      </c>
      <c r="P458" s="1558">
        <f t="shared" si="164"/>
        <v>0</v>
      </c>
      <c r="Q458" s="1558">
        <f t="shared" si="164"/>
        <v>0</v>
      </c>
      <c r="R458" s="1558">
        <f t="shared" si="164"/>
        <v>0</v>
      </c>
      <c r="S458" s="1558">
        <f t="shared" si="164"/>
        <v>0</v>
      </c>
      <c r="T458" s="1558">
        <f t="shared" si="164"/>
        <v>0</v>
      </c>
      <c r="U458" s="1558">
        <f t="shared" si="164"/>
        <v>0</v>
      </c>
      <c r="V458" s="1558">
        <f t="shared" si="164"/>
        <v>0</v>
      </c>
      <c r="W458" s="1558">
        <f t="shared" si="164"/>
        <v>0</v>
      </c>
      <c r="X458" s="1558">
        <f t="shared" si="164"/>
        <v>0</v>
      </c>
      <c r="Y458" s="1558">
        <f t="shared" si="164"/>
        <v>0</v>
      </c>
      <c r="Z458" s="1558">
        <f t="shared" si="164"/>
        <v>0</v>
      </c>
      <c r="AA458" s="1558">
        <f t="shared" si="164"/>
        <v>0</v>
      </c>
      <c r="AB458" s="1558">
        <f t="shared" si="164"/>
        <v>0</v>
      </c>
      <c r="AC458" s="1558">
        <f t="shared" si="164"/>
        <v>0</v>
      </c>
      <c r="AD458" s="1558">
        <f t="shared" si="164"/>
        <v>0</v>
      </c>
      <c r="AE458" s="1558">
        <f t="shared" si="164"/>
        <v>0</v>
      </c>
      <c r="AF458" s="1558">
        <f t="shared" si="164"/>
        <v>0</v>
      </c>
      <c r="AG458" s="1558">
        <f t="shared" si="164"/>
        <v>0</v>
      </c>
      <c r="AH458" s="1558">
        <f t="shared" si="164"/>
        <v>0</v>
      </c>
      <c r="AI458" s="1558">
        <f t="shared" si="164"/>
        <v>0</v>
      </c>
      <c r="AJ458" s="1558">
        <f t="shared" si="164"/>
        <v>0</v>
      </c>
      <c r="AK458" s="1558">
        <f t="shared" si="164"/>
        <v>0</v>
      </c>
      <c r="AL458" s="1558">
        <f t="shared" si="164"/>
        <v>0</v>
      </c>
      <c r="AM458" s="1558">
        <f t="shared" si="164"/>
        <v>0</v>
      </c>
      <c r="AN458" s="1558">
        <f t="shared" si="164"/>
        <v>0</v>
      </c>
      <c r="AO458" s="1558">
        <f t="shared" si="164"/>
        <v>0</v>
      </c>
      <c r="AP458" s="1558">
        <f t="shared" si="164"/>
        <v>0</v>
      </c>
      <c r="AQ458" s="1558">
        <f t="shared" si="164"/>
        <v>0</v>
      </c>
      <c r="AR458" s="1558">
        <f t="shared" si="164"/>
        <v>0</v>
      </c>
      <c r="AS458" s="1558">
        <f t="shared" si="164"/>
        <v>0</v>
      </c>
      <c r="AT458" s="1558">
        <f t="shared" si="164"/>
        <v>0</v>
      </c>
      <c r="AU458" s="1558">
        <f t="shared" si="164"/>
        <v>0</v>
      </c>
      <c r="AV458" s="1558">
        <f t="shared" si="164"/>
        <v>0</v>
      </c>
      <c r="AW458" s="1558">
        <f t="shared" si="164"/>
        <v>0</v>
      </c>
      <c r="AX458" s="1558">
        <f t="shared" si="164"/>
        <v>0</v>
      </c>
      <c r="AY458" s="1558">
        <f t="shared" si="164"/>
        <v>0</v>
      </c>
      <c r="AZ458" s="1558">
        <f t="shared" si="164"/>
        <v>0</v>
      </c>
      <c r="BA458" s="1558">
        <f t="shared" si="164"/>
        <v>0</v>
      </c>
      <c r="BB458" s="1558">
        <f t="shared" si="164"/>
        <v>0</v>
      </c>
      <c r="BC458" s="1558">
        <f t="shared" si="164"/>
        <v>0</v>
      </c>
      <c r="BD458" s="1558">
        <f t="shared" si="164"/>
        <v>0</v>
      </c>
      <c r="BE458" s="1559">
        <f t="shared" si="164"/>
        <v>0</v>
      </c>
      <c r="BF458" s="695"/>
    </row>
    <row r="459" spans="1:58" x14ac:dyDescent="0.45">
      <c r="A459" s="695"/>
      <c r="B459" s="888"/>
      <c r="C459" s="889"/>
      <c r="D459" s="889"/>
      <c r="E459" s="889"/>
      <c r="F459" s="889"/>
      <c r="G459" s="1558"/>
      <c r="H459" s="1558"/>
      <c r="I459" s="1558"/>
      <c r="J459" s="1558"/>
      <c r="K459" s="1558"/>
      <c r="L459" s="1558"/>
      <c r="M459" s="1558"/>
      <c r="N459" s="1558"/>
      <c r="O459" s="1558"/>
      <c r="P459" s="1558"/>
      <c r="Q459" s="1558"/>
      <c r="R459" s="1558"/>
      <c r="S459" s="1558"/>
      <c r="T459" s="1558"/>
      <c r="U459" s="1558"/>
      <c r="V459" s="1558"/>
      <c r="W459" s="1558"/>
      <c r="X459" s="1558"/>
      <c r="Y459" s="1558"/>
      <c r="Z459" s="1558"/>
      <c r="AA459" s="1558"/>
      <c r="AB459" s="1558"/>
      <c r="AC459" s="1558"/>
      <c r="AD459" s="1558"/>
      <c r="AE459" s="1558"/>
      <c r="AF459" s="1558"/>
      <c r="AG459" s="1558"/>
      <c r="AH459" s="1558"/>
      <c r="AI459" s="1558"/>
      <c r="AJ459" s="1558"/>
      <c r="AK459" s="1558"/>
      <c r="AL459" s="1558"/>
      <c r="AM459" s="1558"/>
      <c r="AN459" s="1558"/>
      <c r="AO459" s="1558"/>
      <c r="AP459" s="1558"/>
      <c r="AQ459" s="1558"/>
      <c r="AR459" s="1558"/>
      <c r="AS459" s="1558"/>
      <c r="AT459" s="1558"/>
      <c r="AU459" s="1558"/>
      <c r="AV459" s="1558"/>
      <c r="AW459" s="1558"/>
      <c r="AX459" s="1558"/>
      <c r="AY459" s="1558"/>
      <c r="AZ459" s="1558"/>
      <c r="BA459" s="1558"/>
      <c r="BB459" s="1558"/>
      <c r="BC459" s="1558"/>
      <c r="BD459" s="1558"/>
      <c r="BE459" s="1559"/>
      <c r="BF459" s="695"/>
    </row>
    <row r="460" spans="1:58" x14ac:dyDescent="0.45">
      <c r="A460" s="695"/>
      <c r="B460" s="888"/>
      <c r="C460" s="1033" t="s">
        <v>58</v>
      </c>
      <c r="D460" s="889"/>
      <c r="E460" s="889"/>
      <c r="F460" s="889"/>
      <c r="G460" s="1558"/>
      <c r="H460" s="1558"/>
      <c r="I460" s="1558"/>
      <c r="J460" s="1558"/>
      <c r="K460" s="1558"/>
      <c r="L460" s="1558"/>
      <c r="M460" s="1558"/>
      <c r="N460" s="1558"/>
      <c r="O460" s="1558"/>
      <c r="P460" s="1558"/>
      <c r="Q460" s="1558"/>
      <c r="R460" s="1558"/>
      <c r="S460" s="1558"/>
      <c r="T460" s="1558"/>
      <c r="U460" s="1558"/>
      <c r="V460" s="1558"/>
      <c r="W460" s="1558"/>
      <c r="X460" s="1558"/>
      <c r="Y460" s="1558"/>
      <c r="Z460" s="1558"/>
      <c r="AA460" s="1558"/>
      <c r="AB460" s="1558"/>
      <c r="AC460" s="1558"/>
      <c r="AD460" s="1558"/>
      <c r="AE460" s="1558"/>
      <c r="AF460" s="1558"/>
      <c r="AG460" s="1558"/>
      <c r="AH460" s="1558"/>
      <c r="AI460" s="1558"/>
      <c r="AJ460" s="1558"/>
      <c r="AK460" s="1558"/>
      <c r="AL460" s="1558"/>
      <c r="AM460" s="1558"/>
      <c r="AN460" s="1558"/>
      <c r="AO460" s="1558"/>
      <c r="AP460" s="1558"/>
      <c r="AQ460" s="1558"/>
      <c r="AR460" s="1558"/>
      <c r="AS460" s="1558"/>
      <c r="AT460" s="1558"/>
      <c r="AU460" s="1558"/>
      <c r="AV460" s="1558"/>
      <c r="AW460" s="1558"/>
      <c r="AX460" s="1558"/>
      <c r="AY460" s="1558"/>
      <c r="AZ460" s="1558"/>
      <c r="BA460" s="1558"/>
      <c r="BB460" s="1558"/>
      <c r="BC460" s="1558"/>
      <c r="BD460" s="1558"/>
      <c r="BE460" s="1559"/>
      <c r="BF460" s="695"/>
    </row>
    <row r="461" spans="1:58" x14ac:dyDescent="0.45">
      <c r="A461" s="695"/>
      <c r="B461" s="888"/>
      <c r="C461" s="889" t="s">
        <v>68</v>
      </c>
      <c r="D461" s="889"/>
      <c r="E461" s="889"/>
      <c r="F461" s="889"/>
      <c r="G461" s="1558">
        <v>0</v>
      </c>
      <c r="H461" s="1558">
        <f t="shared" ref="H461:AM461" si="165">G464</f>
        <v>0</v>
      </c>
      <c r="I461" s="1558">
        <f t="shared" si="165"/>
        <v>0</v>
      </c>
      <c r="J461" s="1558">
        <f t="shared" si="165"/>
        <v>0</v>
      </c>
      <c r="K461" s="1558">
        <f t="shared" si="165"/>
        <v>0</v>
      </c>
      <c r="L461" s="1558">
        <f t="shared" si="165"/>
        <v>0</v>
      </c>
      <c r="M461" s="1558">
        <f t="shared" si="165"/>
        <v>0</v>
      </c>
      <c r="N461" s="1558">
        <f t="shared" si="165"/>
        <v>0</v>
      </c>
      <c r="O461" s="1558">
        <f t="shared" si="165"/>
        <v>0</v>
      </c>
      <c r="P461" s="1558">
        <f t="shared" si="165"/>
        <v>0</v>
      </c>
      <c r="Q461" s="1558">
        <f t="shared" si="165"/>
        <v>0</v>
      </c>
      <c r="R461" s="1558">
        <f t="shared" si="165"/>
        <v>0</v>
      </c>
      <c r="S461" s="1558">
        <f t="shared" si="165"/>
        <v>0</v>
      </c>
      <c r="T461" s="1558">
        <f t="shared" si="165"/>
        <v>0</v>
      </c>
      <c r="U461" s="1558">
        <f t="shared" si="165"/>
        <v>0</v>
      </c>
      <c r="V461" s="1558">
        <f t="shared" si="165"/>
        <v>0</v>
      </c>
      <c r="W461" s="1558">
        <f t="shared" si="165"/>
        <v>0</v>
      </c>
      <c r="X461" s="1558">
        <f t="shared" si="165"/>
        <v>0</v>
      </c>
      <c r="Y461" s="1558">
        <f t="shared" si="165"/>
        <v>0</v>
      </c>
      <c r="Z461" s="1558">
        <f t="shared" si="165"/>
        <v>0</v>
      </c>
      <c r="AA461" s="1558">
        <f t="shared" si="165"/>
        <v>0</v>
      </c>
      <c r="AB461" s="1558">
        <f t="shared" si="165"/>
        <v>0</v>
      </c>
      <c r="AC461" s="1558">
        <f t="shared" si="165"/>
        <v>0</v>
      </c>
      <c r="AD461" s="1558">
        <f t="shared" si="165"/>
        <v>0</v>
      </c>
      <c r="AE461" s="1558">
        <f t="shared" si="165"/>
        <v>0</v>
      </c>
      <c r="AF461" s="1558">
        <f t="shared" si="165"/>
        <v>0</v>
      </c>
      <c r="AG461" s="1558">
        <f t="shared" si="165"/>
        <v>0</v>
      </c>
      <c r="AH461" s="1558">
        <f t="shared" si="165"/>
        <v>0</v>
      </c>
      <c r="AI461" s="1558">
        <f t="shared" si="165"/>
        <v>0</v>
      </c>
      <c r="AJ461" s="1558">
        <f t="shared" si="165"/>
        <v>0</v>
      </c>
      <c r="AK461" s="1558">
        <f t="shared" si="165"/>
        <v>0</v>
      </c>
      <c r="AL461" s="1558">
        <f t="shared" si="165"/>
        <v>0</v>
      </c>
      <c r="AM461" s="1558">
        <f t="shared" si="165"/>
        <v>0</v>
      </c>
      <c r="AN461" s="1558">
        <f t="shared" ref="AN461:BE461" si="166">AM464</f>
        <v>0</v>
      </c>
      <c r="AO461" s="1558">
        <f t="shared" si="166"/>
        <v>0</v>
      </c>
      <c r="AP461" s="1558">
        <f t="shared" si="166"/>
        <v>0</v>
      </c>
      <c r="AQ461" s="1558">
        <f t="shared" si="166"/>
        <v>0</v>
      </c>
      <c r="AR461" s="1558">
        <f t="shared" si="166"/>
        <v>0</v>
      </c>
      <c r="AS461" s="1558">
        <f t="shared" si="166"/>
        <v>0</v>
      </c>
      <c r="AT461" s="1558">
        <f t="shared" si="166"/>
        <v>0</v>
      </c>
      <c r="AU461" s="1558">
        <f t="shared" si="166"/>
        <v>0</v>
      </c>
      <c r="AV461" s="1558">
        <f t="shared" si="166"/>
        <v>0</v>
      </c>
      <c r="AW461" s="1558">
        <f t="shared" si="166"/>
        <v>0</v>
      </c>
      <c r="AX461" s="1558">
        <f t="shared" si="166"/>
        <v>0</v>
      </c>
      <c r="AY461" s="1558">
        <f t="shared" si="166"/>
        <v>0</v>
      </c>
      <c r="AZ461" s="1558">
        <f t="shared" si="166"/>
        <v>0</v>
      </c>
      <c r="BA461" s="1558">
        <f t="shared" si="166"/>
        <v>0</v>
      </c>
      <c r="BB461" s="1558">
        <f t="shared" si="166"/>
        <v>0</v>
      </c>
      <c r="BC461" s="1558">
        <f t="shared" si="166"/>
        <v>0</v>
      </c>
      <c r="BD461" s="1558">
        <f t="shared" si="166"/>
        <v>0</v>
      </c>
      <c r="BE461" s="1559">
        <f t="shared" si="166"/>
        <v>0</v>
      </c>
      <c r="BF461" s="695"/>
    </row>
    <row r="462" spans="1:58" x14ac:dyDescent="0.45">
      <c r="A462" s="695"/>
      <c r="B462" s="888"/>
      <c r="C462" s="889" t="s">
        <v>69</v>
      </c>
      <c r="D462" s="889"/>
      <c r="E462" s="889"/>
      <c r="F462" s="889"/>
      <c r="G462" s="1558">
        <f>G451</f>
        <v>0</v>
      </c>
      <c r="H462" s="1558">
        <v>0</v>
      </c>
      <c r="I462" s="1558">
        <v>0</v>
      </c>
      <c r="J462" s="1558">
        <v>0</v>
      </c>
      <c r="K462" s="1558">
        <v>0</v>
      </c>
      <c r="L462" s="1558">
        <v>0</v>
      </c>
      <c r="M462" s="1558">
        <v>0</v>
      </c>
      <c r="N462" s="1558">
        <v>0</v>
      </c>
      <c r="O462" s="1558">
        <v>0</v>
      </c>
      <c r="P462" s="1558">
        <v>0</v>
      </c>
      <c r="Q462" s="1558">
        <v>0</v>
      </c>
      <c r="R462" s="1558">
        <v>0</v>
      </c>
      <c r="S462" s="1558">
        <v>0</v>
      </c>
      <c r="T462" s="1558">
        <v>0</v>
      </c>
      <c r="U462" s="1558">
        <v>0</v>
      </c>
      <c r="V462" s="1558">
        <v>0</v>
      </c>
      <c r="W462" s="1558">
        <v>0</v>
      </c>
      <c r="X462" s="1558">
        <v>0</v>
      </c>
      <c r="Y462" s="1558">
        <v>0</v>
      </c>
      <c r="Z462" s="1558">
        <v>0</v>
      </c>
      <c r="AA462" s="1558">
        <v>0</v>
      </c>
      <c r="AB462" s="1558">
        <v>0</v>
      </c>
      <c r="AC462" s="1558">
        <v>0</v>
      </c>
      <c r="AD462" s="1558">
        <v>0</v>
      </c>
      <c r="AE462" s="1558">
        <v>0</v>
      </c>
      <c r="AF462" s="1558">
        <v>0</v>
      </c>
      <c r="AG462" s="1558">
        <v>0</v>
      </c>
      <c r="AH462" s="1558">
        <v>0</v>
      </c>
      <c r="AI462" s="1558">
        <v>0</v>
      </c>
      <c r="AJ462" s="1558">
        <v>0</v>
      </c>
      <c r="AK462" s="1558">
        <v>0</v>
      </c>
      <c r="AL462" s="1558">
        <v>0</v>
      </c>
      <c r="AM462" s="1558">
        <v>0</v>
      </c>
      <c r="AN462" s="1558">
        <v>0</v>
      </c>
      <c r="AO462" s="1558">
        <v>0</v>
      </c>
      <c r="AP462" s="1558">
        <v>0</v>
      </c>
      <c r="AQ462" s="1558">
        <v>0</v>
      </c>
      <c r="AR462" s="1558">
        <v>0</v>
      </c>
      <c r="AS462" s="1558">
        <v>0</v>
      </c>
      <c r="AT462" s="1558">
        <v>0</v>
      </c>
      <c r="AU462" s="1558">
        <v>0</v>
      </c>
      <c r="AV462" s="1558">
        <v>0</v>
      </c>
      <c r="AW462" s="1558">
        <v>0</v>
      </c>
      <c r="AX462" s="1558">
        <v>0</v>
      </c>
      <c r="AY462" s="1558">
        <v>0</v>
      </c>
      <c r="AZ462" s="1558">
        <v>0</v>
      </c>
      <c r="BA462" s="1558">
        <v>0</v>
      </c>
      <c r="BB462" s="1558">
        <v>0</v>
      </c>
      <c r="BC462" s="1558">
        <v>0</v>
      </c>
      <c r="BD462" s="1558">
        <v>0</v>
      </c>
      <c r="BE462" s="1559">
        <v>0</v>
      </c>
      <c r="BF462" s="695"/>
    </row>
    <row r="463" spans="1:58" x14ac:dyDescent="0.45">
      <c r="A463" s="695"/>
      <c r="B463" s="888"/>
      <c r="C463" s="896" t="s">
        <v>70</v>
      </c>
      <c r="D463" s="896"/>
      <c r="E463" s="896"/>
      <c r="F463" s="896"/>
      <c r="G463" s="1560">
        <v>0</v>
      </c>
      <c r="H463" s="1560">
        <f t="shared" ref="H463:BE463" si="167">-H457</f>
        <v>0</v>
      </c>
      <c r="I463" s="1560">
        <f t="shared" si="167"/>
        <v>0</v>
      </c>
      <c r="J463" s="1560">
        <f t="shared" si="167"/>
        <v>0</v>
      </c>
      <c r="K463" s="1560">
        <f t="shared" si="167"/>
        <v>0</v>
      </c>
      <c r="L463" s="1560">
        <f t="shared" si="167"/>
        <v>0</v>
      </c>
      <c r="M463" s="1560">
        <f t="shared" si="167"/>
        <v>0</v>
      </c>
      <c r="N463" s="1560">
        <f t="shared" si="167"/>
        <v>0</v>
      </c>
      <c r="O463" s="1560">
        <f t="shared" si="167"/>
        <v>0</v>
      </c>
      <c r="P463" s="1560">
        <f t="shared" si="167"/>
        <v>0</v>
      </c>
      <c r="Q463" s="1560">
        <f t="shared" si="167"/>
        <v>0</v>
      </c>
      <c r="R463" s="1560">
        <f t="shared" si="167"/>
        <v>0</v>
      </c>
      <c r="S463" s="1560">
        <f t="shared" si="167"/>
        <v>0</v>
      </c>
      <c r="T463" s="1560">
        <f t="shared" si="167"/>
        <v>0</v>
      </c>
      <c r="U463" s="1560">
        <f t="shared" si="167"/>
        <v>0</v>
      </c>
      <c r="V463" s="1560">
        <f t="shared" si="167"/>
        <v>0</v>
      </c>
      <c r="W463" s="1560">
        <f t="shared" si="167"/>
        <v>0</v>
      </c>
      <c r="X463" s="1560">
        <f t="shared" si="167"/>
        <v>0</v>
      </c>
      <c r="Y463" s="1560">
        <f t="shared" si="167"/>
        <v>0</v>
      </c>
      <c r="Z463" s="1560">
        <f t="shared" si="167"/>
        <v>0</v>
      </c>
      <c r="AA463" s="1560">
        <f t="shared" si="167"/>
        <v>0</v>
      </c>
      <c r="AB463" s="1560">
        <f t="shared" si="167"/>
        <v>0</v>
      </c>
      <c r="AC463" s="1560">
        <f t="shared" si="167"/>
        <v>0</v>
      </c>
      <c r="AD463" s="1560">
        <f t="shared" si="167"/>
        <v>0</v>
      </c>
      <c r="AE463" s="1560">
        <f t="shared" si="167"/>
        <v>0</v>
      </c>
      <c r="AF463" s="1560">
        <f t="shared" si="167"/>
        <v>0</v>
      </c>
      <c r="AG463" s="1560">
        <f t="shared" si="167"/>
        <v>0</v>
      </c>
      <c r="AH463" s="1560">
        <f t="shared" si="167"/>
        <v>0</v>
      </c>
      <c r="AI463" s="1560">
        <f t="shared" si="167"/>
        <v>0</v>
      </c>
      <c r="AJ463" s="1560">
        <f t="shared" si="167"/>
        <v>0</v>
      </c>
      <c r="AK463" s="1560">
        <f t="shared" si="167"/>
        <v>0</v>
      </c>
      <c r="AL463" s="1560">
        <f t="shared" si="167"/>
        <v>0</v>
      </c>
      <c r="AM463" s="1560">
        <f t="shared" si="167"/>
        <v>0</v>
      </c>
      <c r="AN463" s="1560">
        <f t="shared" si="167"/>
        <v>0</v>
      </c>
      <c r="AO463" s="1560">
        <f t="shared" si="167"/>
        <v>0</v>
      </c>
      <c r="AP463" s="1560">
        <f t="shared" si="167"/>
        <v>0</v>
      </c>
      <c r="AQ463" s="1560">
        <f t="shared" si="167"/>
        <v>0</v>
      </c>
      <c r="AR463" s="1560">
        <f t="shared" si="167"/>
        <v>0</v>
      </c>
      <c r="AS463" s="1560">
        <f t="shared" si="167"/>
        <v>0</v>
      </c>
      <c r="AT463" s="1560">
        <f t="shared" si="167"/>
        <v>0</v>
      </c>
      <c r="AU463" s="1560">
        <f t="shared" si="167"/>
        <v>0</v>
      </c>
      <c r="AV463" s="1560">
        <f t="shared" si="167"/>
        <v>0</v>
      </c>
      <c r="AW463" s="1560">
        <f t="shared" si="167"/>
        <v>0</v>
      </c>
      <c r="AX463" s="1560">
        <f t="shared" si="167"/>
        <v>0</v>
      </c>
      <c r="AY463" s="1560">
        <f t="shared" si="167"/>
        <v>0</v>
      </c>
      <c r="AZ463" s="1560">
        <f t="shared" si="167"/>
        <v>0</v>
      </c>
      <c r="BA463" s="1560">
        <f t="shared" si="167"/>
        <v>0</v>
      </c>
      <c r="BB463" s="1560">
        <f t="shared" si="167"/>
        <v>0</v>
      </c>
      <c r="BC463" s="1560">
        <f t="shared" si="167"/>
        <v>0</v>
      </c>
      <c r="BD463" s="1560">
        <f t="shared" si="167"/>
        <v>0</v>
      </c>
      <c r="BE463" s="1561">
        <f t="shared" si="167"/>
        <v>0</v>
      </c>
      <c r="BF463" s="695"/>
    </row>
    <row r="464" spans="1:58" x14ac:dyDescent="0.45">
      <c r="A464" s="695"/>
      <c r="B464" s="888"/>
      <c r="C464" s="889" t="s">
        <v>59</v>
      </c>
      <c r="D464" s="889"/>
      <c r="E464" s="889"/>
      <c r="F464" s="889"/>
      <c r="G464" s="1558">
        <f t="shared" ref="G464:BE464" si="168">SUM(G461:G463)</f>
        <v>0</v>
      </c>
      <c r="H464" s="1558">
        <f t="shared" si="168"/>
        <v>0</v>
      </c>
      <c r="I464" s="1558">
        <f t="shared" si="168"/>
        <v>0</v>
      </c>
      <c r="J464" s="1558">
        <f t="shared" si="168"/>
        <v>0</v>
      </c>
      <c r="K464" s="1558">
        <f t="shared" si="168"/>
        <v>0</v>
      </c>
      <c r="L464" s="1558">
        <f t="shared" si="168"/>
        <v>0</v>
      </c>
      <c r="M464" s="1558">
        <f t="shared" si="168"/>
        <v>0</v>
      </c>
      <c r="N464" s="1558">
        <f t="shared" si="168"/>
        <v>0</v>
      </c>
      <c r="O464" s="1558">
        <f t="shared" si="168"/>
        <v>0</v>
      </c>
      <c r="P464" s="1558">
        <f t="shared" si="168"/>
        <v>0</v>
      </c>
      <c r="Q464" s="1558">
        <f t="shared" si="168"/>
        <v>0</v>
      </c>
      <c r="R464" s="1558">
        <f t="shared" si="168"/>
        <v>0</v>
      </c>
      <c r="S464" s="1558">
        <f t="shared" si="168"/>
        <v>0</v>
      </c>
      <c r="T464" s="1558">
        <f t="shared" si="168"/>
        <v>0</v>
      </c>
      <c r="U464" s="1558">
        <f t="shared" si="168"/>
        <v>0</v>
      </c>
      <c r="V464" s="1558">
        <f t="shared" si="168"/>
        <v>0</v>
      </c>
      <c r="W464" s="1558">
        <f t="shared" si="168"/>
        <v>0</v>
      </c>
      <c r="X464" s="1558">
        <f t="shared" si="168"/>
        <v>0</v>
      </c>
      <c r="Y464" s="1558">
        <f t="shared" si="168"/>
        <v>0</v>
      </c>
      <c r="Z464" s="1558">
        <f t="shared" si="168"/>
        <v>0</v>
      </c>
      <c r="AA464" s="1558">
        <f t="shared" si="168"/>
        <v>0</v>
      </c>
      <c r="AB464" s="1558">
        <f t="shared" si="168"/>
        <v>0</v>
      </c>
      <c r="AC464" s="1558">
        <f t="shared" si="168"/>
        <v>0</v>
      </c>
      <c r="AD464" s="1558">
        <f t="shared" si="168"/>
        <v>0</v>
      </c>
      <c r="AE464" s="1558">
        <f t="shared" si="168"/>
        <v>0</v>
      </c>
      <c r="AF464" s="1558">
        <f t="shared" si="168"/>
        <v>0</v>
      </c>
      <c r="AG464" s="1558">
        <f t="shared" si="168"/>
        <v>0</v>
      </c>
      <c r="AH464" s="1558">
        <f t="shared" si="168"/>
        <v>0</v>
      </c>
      <c r="AI464" s="1558">
        <f t="shared" si="168"/>
        <v>0</v>
      </c>
      <c r="AJ464" s="1558">
        <f t="shared" si="168"/>
        <v>0</v>
      </c>
      <c r="AK464" s="1558">
        <f t="shared" si="168"/>
        <v>0</v>
      </c>
      <c r="AL464" s="1558">
        <f t="shared" si="168"/>
        <v>0</v>
      </c>
      <c r="AM464" s="1558">
        <f t="shared" si="168"/>
        <v>0</v>
      </c>
      <c r="AN464" s="1558">
        <f t="shared" si="168"/>
        <v>0</v>
      </c>
      <c r="AO464" s="1558">
        <f t="shared" si="168"/>
        <v>0</v>
      </c>
      <c r="AP464" s="1558">
        <f t="shared" si="168"/>
        <v>0</v>
      </c>
      <c r="AQ464" s="1558">
        <f t="shared" si="168"/>
        <v>0</v>
      </c>
      <c r="AR464" s="1558">
        <f t="shared" si="168"/>
        <v>0</v>
      </c>
      <c r="AS464" s="1558">
        <f t="shared" si="168"/>
        <v>0</v>
      </c>
      <c r="AT464" s="1558">
        <f t="shared" si="168"/>
        <v>0</v>
      </c>
      <c r="AU464" s="1558">
        <f t="shared" si="168"/>
        <v>0</v>
      </c>
      <c r="AV464" s="1558">
        <f t="shared" si="168"/>
        <v>0</v>
      </c>
      <c r="AW464" s="1558">
        <f t="shared" si="168"/>
        <v>0</v>
      </c>
      <c r="AX464" s="1558">
        <f t="shared" si="168"/>
        <v>0</v>
      </c>
      <c r="AY464" s="1558">
        <f t="shared" si="168"/>
        <v>0</v>
      </c>
      <c r="AZ464" s="1558">
        <f t="shared" si="168"/>
        <v>0</v>
      </c>
      <c r="BA464" s="1558">
        <f t="shared" si="168"/>
        <v>0</v>
      </c>
      <c r="BB464" s="1558">
        <f t="shared" si="168"/>
        <v>0</v>
      </c>
      <c r="BC464" s="1558">
        <f t="shared" si="168"/>
        <v>0</v>
      </c>
      <c r="BD464" s="1558">
        <f t="shared" si="168"/>
        <v>0</v>
      </c>
      <c r="BE464" s="1559">
        <f t="shared" si="168"/>
        <v>0</v>
      </c>
      <c r="BF464" s="695"/>
    </row>
    <row r="465" spans="1:58" x14ac:dyDescent="0.45">
      <c r="A465" s="695"/>
      <c r="B465" s="888"/>
      <c r="C465" s="889"/>
      <c r="D465" s="889"/>
      <c r="E465" s="889"/>
      <c r="F465" s="889"/>
      <c r="G465" s="1558"/>
      <c r="H465" s="1558"/>
      <c r="I465" s="1558"/>
      <c r="J465" s="1558"/>
      <c r="K465" s="1558"/>
      <c r="L465" s="1558"/>
      <c r="M465" s="1558"/>
      <c r="N465" s="1558"/>
      <c r="O465" s="1558"/>
      <c r="P465" s="1558"/>
      <c r="Q465" s="1558"/>
      <c r="R465" s="1558"/>
      <c r="S465" s="1558"/>
      <c r="T465" s="1558"/>
      <c r="U465" s="1558"/>
      <c r="V465" s="1558"/>
      <c r="W465" s="1558"/>
      <c r="X465" s="1558"/>
      <c r="Y465" s="1558"/>
      <c r="Z465" s="1558"/>
      <c r="AA465" s="1558"/>
      <c r="AB465" s="1558"/>
      <c r="AC465" s="1558"/>
      <c r="AD465" s="1558"/>
      <c r="AE465" s="1558"/>
      <c r="AF465" s="1558"/>
      <c r="AG465" s="1558"/>
      <c r="AH465" s="1558"/>
      <c r="AI465" s="1558"/>
      <c r="AJ465" s="1558"/>
      <c r="AK465" s="1558"/>
      <c r="AL465" s="1558"/>
      <c r="AM465" s="1558"/>
      <c r="AN465" s="1558"/>
      <c r="AO465" s="1558"/>
      <c r="AP465" s="1558"/>
      <c r="AQ465" s="1558"/>
      <c r="AR465" s="1558"/>
      <c r="AS465" s="1558"/>
      <c r="AT465" s="1558"/>
      <c r="AU465" s="1558"/>
      <c r="AV465" s="1558"/>
      <c r="AW465" s="1558"/>
      <c r="AX465" s="1558"/>
      <c r="AY465" s="1558"/>
      <c r="AZ465" s="1558"/>
      <c r="BA465" s="1558"/>
      <c r="BB465" s="1558"/>
      <c r="BC465" s="1558"/>
      <c r="BD465" s="1558"/>
      <c r="BE465" s="1559"/>
      <c r="BF465" s="695"/>
    </row>
    <row r="466" spans="1:58" x14ac:dyDescent="0.45">
      <c r="A466" s="695"/>
      <c r="B466" s="888"/>
      <c r="C466" s="1033" t="s">
        <v>64</v>
      </c>
      <c r="D466" s="889"/>
      <c r="E466" s="889"/>
      <c r="F466" s="889"/>
      <c r="G466" s="1558"/>
      <c r="H466" s="1558"/>
      <c r="I466" s="1558"/>
      <c r="J466" s="1558"/>
      <c r="K466" s="1558"/>
      <c r="L466" s="1558"/>
      <c r="M466" s="1558"/>
      <c r="N466" s="1558"/>
      <c r="O466" s="1558"/>
      <c r="P466" s="1558"/>
      <c r="Q466" s="1558"/>
      <c r="R466" s="1558"/>
      <c r="S466" s="1558"/>
      <c r="T466" s="1558"/>
      <c r="U466" s="1558"/>
      <c r="V466" s="1558"/>
      <c r="W466" s="1558"/>
      <c r="X466" s="1558"/>
      <c r="Y466" s="1558"/>
      <c r="Z466" s="1558"/>
      <c r="AA466" s="1558"/>
      <c r="AB466" s="1558"/>
      <c r="AC466" s="1558"/>
      <c r="AD466" s="1558"/>
      <c r="AE466" s="1558"/>
      <c r="AF466" s="1558"/>
      <c r="AG466" s="1558"/>
      <c r="AH466" s="1558"/>
      <c r="AI466" s="1558"/>
      <c r="AJ466" s="1558"/>
      <c r="AK466" s="1558"/>
      <c r="AL466" s="1558"/>
      <c r="AM466" s="1558"/>
      <c r="AN466" s="1558"/>
      <c r="AO466" s="1558"/>
      <c r="AP466" s="1558"/>
      <c r="AQ466" s="1558"/>
      <c r="AR466" s="1558"/>
      <c r="AS466" s="1558"/>
      <c r="AT466" s="1558"/>
      <c r="AU466" s="1558"/>
      <c r="AV466" s="1558"/>
      <c r="AW466" s="1558"/>
      <c r="AX466" s="1558"/>
      <c r="AY466" s="1558"/>
      <c r="AZ466" s="1558"/>
      <c r="BA466" s="1558"/>
      <c r="BB466" s="1558"/>
      <c r="BC466" s="1558"/>
      <c r="BD466" s="1558"/>
      <c r="BE466" s="1559"/>
      <c r="BF466" s="695"/>
    </row>
    <row r="467" spans="1:58" x14ac:dyDescent="0.45">
      <c r="A467" s="695"/>
      <c r="B467" s="888"/>
      <c r="C467" s="889" t="str">
        <f>'II. Inputs, Baseline Energy Mix'!$E$78</f>
        <v>Front-end Fee</v>
      </c>
      <c r="D467" s="889"/>
      <c r="E467" s="889"/>
      <c r="F467" s="889"/>
      <c r="G467" s="1558"/>
      <c r="H467" s="1558">
        <f>IF($G451&gt;0, G451*'II. Inputs, Baseline Energy Mix'!$P$78/10000,0)</f>
        <v>0</v>
      </c>
      <c r="I467" s="1558">
        <v>0</v>
      </c>
      <c r="J467" s="1558">
        <v>0</v>
      </c>
      <c r="K467" s="1558">
        <v>0</v>
      </c>
      <c r="L467" s="1558">
        <v>0</v>
      </c>
      <c r="M467" s="1558">
        <v>0</v>
      </c>
      <c r="N467" s="1558">
        <v>0</v>
      </c>
      <c r="O467" s="1558">
        <v>0</v>
      </c>
      <c r="P467" s="1558">
        <v>0</v>
      </c>
      <c r="Q467" s="1558">
        <v>0</v>
      </c>
      <c r="R467" s="1558">
        <v>0</v>
      </c>
      <c r="S467" s="1558">
        <v>0</v>
      </c>
      <c r="T467" s="1558">
        <v>0</v>
      </c>
      <c r="U467" s="1558">
        <v>0</v>
      </c>
      <c r="V467" s="1558">
        <v>0</v>
      </c>
      <c r="W467" s="1558">
        <v>0</v>
      </c>
      <c r="X467" s="1558">
        <v>0</v>
      </c>
      <c r="Y467" s="1558">
        <v>0</v>
      </c>
      <c r="Z467" s="1558">
        <v>0</v>
      </c>
      <c r="AA467" s="1558">
        <v>0</v>
      </c>
      <c r="AB467" s="1558">
        <v>0</v>
      </c>
      <c r="AC467" s="1558">
        <v>0</v>
      </c>
      <c r="AD467" s="1558">
        <v>0</v>
      </c>
      <c r="AE467" s="1558">
        <v>0</v>
      </c>
      <c r="AF467" s="1558">
        <v>0</v>
      </c>
      <c r="AG467" s="1558">
        <v>0</v>
      </c>
      <c r="AH467" s="1558">
        <v>0</v>
      </c>
      <c r="AI467" s="1558">
        <v>0</v>
      </c>
      <c r="AJ467" s="1558">
        <v>0</v>
      </c>
      <c r="AK467" s="1558">
        <v>0</v>
      </c>
      <c r="AL467" s="1558">
        <v>0</v>
      </c>
      <c r="AM467" s="1558">
        <v>0</v>
      </c>
      <c r="AN467" s="1558">
        <v>0</v>
      </c>
      <c r="AO467" s="1558">
        <v>0</v>
      </c>
      <c r="AP467" s="1558">
        <v>0</v>
      </c>
      <c r="AQ467" s="1558">
        <v>0</v>
      </c>
      <c r="AR467" s="1558">
        <v>0</v>
      </c>
      <c r="AS467" s="1558">
        <v>0</v>
      </c>
      <c r="AT467" s="1558">
        <v>0</v>
      </c>
      <c r="AU467" s="1558">
        <v>0</v>
      </c>
      <c r="AV467" s="1558">
        <v>0</v>
      </c>
      <c r="AW467" s="1558">
        <v>0</v>
      </c>
      <c r="AX467" s="1558">
        <v>0</v>
      </c>
      <c r="AY467" s="1558">
        <v>0</v>
      </c>
      <c r="AZ467" s="1558">
        <v>0</v>
      </c>
      <c r="BA467" s="1558">
        <v>0</v>
      </c>
      <c r="BB467" s="1558">
        <v>0</v>
      </c>
      <c r="BC467" s="1558">
        <v>0</v>
      </c>
      <c r="BD467" s="1558">
        <v>0</v>
      </c>
      <c r="BE467" s="1559">
        <v>0</v>
      </c>
      <c r="BF467" s="695"/>
    </row>
    <row r="468" spans="1:58" x14ac:dyDescent="0.45">
      <c r="A468" s="695"/>
      <c r="B468" s="888"/>
      <c r="C468" s="889"/>
      <c r="D468" s="889"/>
      <c r="E468" s="889"/>
      <c r="F468" s="889"/>
      <c r="G468" s="889"/>
      <c r="H468" s="889"/>
      <c r="I468" s="889"/>
      <c r="J468" s="889"/>
      <c r="K468" s="889"/>
      <c r="L468" s="889"/>
      <c r="M468" s="889"/>
      <c r="N468" s="889"/>
      <c r="O468" s="889"/>
      <c r="P468" s="889"/>
      <c r="Q468" s="889"/>
      <c r="R468" s="889"/>
      <c r="S468" s="889"/>
      <c r="T468" s="889"/>
      <c r="U468" s="889"/>
      <c r="V468" s="889"/>
      <c r="W468" s="889"/>
      <c r="X468" s="889"/>
      <c r="Y468" s="889"/>
      <c r="Z468" s="889"/>
      <c r="AA468" s="889"/>
      <c r="AB468" s="889"/>
      <c r="AC468" s="889"/>
      <c r="AD468" s="889"/>
      <c r="AE468" s="889"/>
      <c r="AF468" s="889"/>
      <c r="AG468" s="889"/>
      <c r="AH468" s="889"/>
      <c r="AI468" s="889"/>
      <c r="AJ468" s="889"/>
      <c r="AK468" s="889"/>
      <c r="AL468" s="889"/>
      <c r="AM468" s="889"/>
      <c r="AN468" s="889"/>
      <c r="AO468" s="889"/>
      <c r="AP468" s="889"/>
      <c r="AQ468" s="889"/>
      <c r="AR468" s="889"/>
      <c r="AS468" s="889"/>
      <c r="AT468" s="889"/>
      <c r="AU468" s="889"/>
      <c r="AV468" s="889"/>
      <c r="AW468" s="889"/>
      <c r="AX468" s="889"/>
      <c r="AY468" s="889"/>
      <c r="AZ468" s="889"/>
      <c r="BA468" s="889"/>
      <c r="BB468" s="889"/>
      <c r="BC468" s="889"/>
      <c r="BD468" s="889"/>
      <c r="BE468" s="890"/>
      <c r="BF468" s="695"/>
    </row>
    <row r="469" spans="1:58" ht="13.15" x14ac:dyDescent="0.45">
      <c r="A469" s="695"/>
      <c r="B469" s="903" t="s">
        <v>151</v>
      </c>
      <c r="C469" s="889"/>
      <c r="D469" s="889"/>
      <c r="E469" s="889"/>
      <c r="F469" s="889"/>
      <c r="G469" s="889"/>
      <c r="H469" s="889"/>
      <c r="I469" s="889"/>
      <c r="J469" s="889"/>
      <c r="K469" s="889"/>
      <c r="L469" s="889"/>
      <c r="M469" s="889"/>
      <c r="N469" s="889"/>
      <c r="O469" s="889"/>
      <c r="P469" s="889"/>
      <c r="Q469" s="889"/>
      <c r="R469" s="889"/>
      <c r="S469" s="889"/>
      <c r="T469" s="889"/>
      <c r="U469" s="889"/>
      <c r="V469" s="889"/>
      <c r="W469" s="889"/>
      <c r="X469" s="889"/>
      <c r="Y469" s="889"/>
      <c r="Z469" s="889"/>
      <c r="AA469" s="889"/>
      <c r="AB469" s="889"/>
      <c r="AC469" s="889"/>
      <c r="AD469" s="889"/>
      <c r="AE469" s="889"/>
      <c r="AF469" s="889"/>
      <c r="AG469" s="889"/>
      <c r="AH469" s="889"/>
      <c r="AI469" s="889"/>
      <c r="AJ469" s="889"/>
      <c r="AK469" s="889"/>
      <c r="AL469" s="889"/>
      <c r="AM469" s="889"/>
      <c r="AN469" s="889"/>
      <c r="AO469" s="889"/>
      <c r="AP469" s="889"/>
      <c r="AQ469" s="889"/>
      <c r="AR469" s="889"/>
      <c r="AS469" s="889"/>
      <c r="AT469" s="889"/>
      <c r="AU469" s="889"/>
      <c r="AV469" s="889"/>
      <c r="AW469" s="889"/>
      <c r="AX469" s="889"/>
      <c r="AY469" s="889"/>
      <c r="AZ469" s="889"/>
      <c r="BA469" s="889"/>
      <c r="BB469" s="889"/>
      <c r="BC469" s="889"/>
      <c r="BD469" s="889"/>
      <c r="BE469" s="890"/>
      <c r="BF469" s="695"/>
    </row>
    <row r="470" spans="1:58" x14ac:dyDescent="0.45">
      <c r="A470" s="695"/>
      <c r="B470" s="888"/>
      <c r="C470" s="1030" t="s">
        <v>61</v>
      </c>
      <c r="D470" s="892" t="s">
        <v>748</v>
      </c>
      <c r="E470" s="889"/>
      <c r="F470" s="889"/>
      <c r="G470" s="1558">
        <f>IF('II. Inputs, Baseline Energy Mix'!$P$19&gt;0,('II. Inputs, Baseline Energy Mix'!$P$20*'II. Inputs, Baseline Energy Mix'!$P$21*'II. Inputs, Baseline Energy Mix'!$P$36*'II. Inputs, Baseline Energy Mix'!$P$39),0)</f>
        <v>0</v>
      </c>
      <c r="H470" s="889"/>
      <c r="I470" s="889"/>
      <c r="J470" s="889"/>
      <c r="K470" s="889"/>
      <c r="L470" s="889"/>
      <c r="M470" s="889"/>
      <c r="N470" s="889"/>
      <c r="O470" s="889"/>
      <c r="P470" s="889"/>
      <c r="Q470" s="889"/>
      <c r="R470" s="889"/>
      <c r="S470" s="889"/>
      <c r="T470" s="889"/>
      <c r="U470" s="889"/>
      <c r="V470" s="889"/>
      <c r="W470" s="889"/>
      <c r="X470" s="889"/>
      <c r="Y470" s="889"/>
      <c r="Z470" s="889"/>
      <c r="AA470" s="889"/>
      <c r="AB470" s="889"/>
      <c r="AC470" s="889"/>
      <c r="AD470" s="889"/>
      <c r="AE470" s="889"/>
      <c r="AF470" s="889"/>
      <c r="AG470" s="889"/>
      <c r="AH470" s="889"/>
      <c r="AI470" s="889"/>
      <c r="AJ470" s="889"/>
      <c r="AK470" s="889"/>
      <c r="AL470" s="889"/>
      <c r="AM470" s="889"/>
      <c r="AN470" s="889"/>
      <c r="AO470" s="889"/>
      <c r="AP470" s="889"/>
      <c r="AQ470" s="889"/>
      <c r="AR470" s="889"/>
      <c r="AS470" s="889"/>
      <c r="AT470" s="889"/>
      <c r="AU470" s="889"/>
      <c r="AV470" s="889"/>
      <c r="AW470" s="889"/>
      <c r="AX470" s="889"/>
      <c r="AY470" s="889"/>
      <c r="AZ470" s="889"/>
      <c r="BA470" s="889"/>
      <c r="BB470" s="889"/>
      <c r="BC470" s="889"/>
      <c r="BD470" s="889"/>
      <c r="BE470" s="890"/>
      <c r="BF470" s="695"/>
    </row>
    <row r="471" spans="1:58" x14ac:dyDescent="0.45">
      <c r="A471" s="695"/>
      <c r="B471" s="888"/>
      <c r="C471" s="1030" t="s">
        <v>62</v>
      </c>
      <c r="D471" s="892" t="s">
        <v>18</v>
      </c>
      <c r="E471" s="889"/>
      <c r="F471" s="889"/>
      <c r="G471" s="891">
        <f>SUM('II. Inputs, Baseline Energy Mix'!$P$81)</f>
        <v>0</v>
      </c>
      <c r="H471" s="889"/>
      <c r="I471" s="889"/>
      <c r="J471" s="889"/>
      <c r="K471" s="889"/>
      <c r="L471" s="889"/>
      <c r="M471" s="889"/>
      <c r="N471" s="889"/>
      <c r="O471" s="889"/>
      <c r="P471" s="889"/>
      <c r="Q471" s="889"/>
      <c r="R471" s="889"/>
      <c r="S471" s="889"/>
      <c r="T471" s="889"/>
      <c r="U471" s="889"/>
      <c r="V471" s="889"/>
      <c r="W471" s="889"/>
      <c r="X471" s="889"/>
      <c r="Y471" s="889"/>
      <c r="Z471" s="889"/>
      <c r="AA471" s="889"/>
      <c r="AB471" s="889"/>
      <c r="AC471" s="889"/>
      <c r="AD471" s="889"/>
      <c r="AE471" s="889"/>
      <c r="AF471" s="889"/>
      <c r="AG471" s="889"/>
      <c r="AH471" s="889"/>
      <c r="AI471" s="889"/>
      <c r="AJ471" s="889"/>
      <c r="AK471" s="889"/>
      <c r="AL471" s="889"/>
      <c r="AM471" s="889"/>
      <c r="AN471" s="889"/>
      <c r="AO471" s="889"/>
      <c r="AP471" s="889"/>
      <c r="AQ471" s="889"/>
      <c r="AR471" s="889"/>
      <c r="AS471" s="889"/>
      <c r="AT471" s="889"/>
      <c r="AU471" s="889"/>
      <c r="AV471" s="889"/>
      <c r="AW471" s="889"/>
      <c r="AX471" s="889"/>
      <c r="AY471" s="889"/>
      <c r="AZ471" s="889"/>
      <c r="BA471" s="889"/>
      <c r="BB471" s="889"/>
      <c r="BC471" s="889"/>
      <c r="BD471" s="889"/>
      <c r="BE471" s="890"/>
      <c r="BF471" s="695"/>
    </row>
    <row r="472" spans="1:58" x14ac:dyDescent="0.45">
      <c r="A472" s="695"/>
      <c r="B472" s="888"/>
      <c r="C472" s="1030" t="s">
        <v>63</v>
      </c>
      <c r="D472" s="892" t="s">
        <v>14</v>
      </c>
      <c r="E472" s="889"/>
      <c r="F472" s="889"/>
      <c r="G472" s="1034">
        <f>SUM('II. Inputs, Baseline Energy Mix'!$P$80)</f>
        <v>0</v>
      </c>
      <c r="H472" s="889"/>
      <c r="I472" s="889"/>
      <c r="J472" s="889"/>
      <c r="K472" s="889"/>
      <c r="L472" s="889"/>
      <c r="M472" s="889"/>
      <c r="N472" s="889"/>
      <c r="O472" s="889"/>
      <c r="P472" s="889"/>
      <c r="Q472" s="889"/>
      <c r="R472" s="889"/>
      <c r="S472" s="889"/>
      <c r="T472" s="889"/>
      <c r="U472" s="889"/>
      <c r="V472" s="889"/>
      <c r="W472" s="889"/>
      <c r="X472" s="889"/>
      <c r="Y472" s="889"/>
      <c r="Z472" s="889"/>
      <c r="AA472" s="889"/>
      <c r="AB472" s="889"/>
      <c r="AC472" s="889"/>
      <c r="AD472" s="889"/>
      <c r="AE472" s="889"/>
      <c r="AF472" s="889"/>
      <c r="AG472" s="889"/>
      <c r="AH472" s="889"/>
      <c r="AI472" s="889"/>
      <c r="AJ472" s="889"/>
      <c r="AK472" s="889"/>
      <c r="AL472" s="889"/>
      <c r="AM472" s="889"/>
      <c r="AN472" s="889"/>
      <c r="AO472" s="889"/>
      <c r="AP472" s="889"/>
      <c r="AQ472" s="889"/>
      <c r="AR472" s="889"/>
      <c r="AS472" s="889"/>
      <c r="AT472" s="889"/>
      <c r="AU472" s="889"/>
      <c r="AV472" s="889"/>
      <c r="AW472" s="889"/>
      <c r="AX472" s="889"/>
      <c r="AY472" s="889"/>
      <c r="AZ472" s="889"/>
      <c r="BA472" s="889"/>
      <c r="BB472" s="889"/>
      <c r="BC472" s="889"/>
      <c r="BD472" s="889"/>
      <c r="BE472" s="890"/>
      <c r="BF472" s="695"/>
    </row>
    <row r="473" spans="1:58" x14ac:dyDescent="0.45">
      <c r="A473" s="695"/>
      <c r="B473" s="888"/>
      <c r="C473" s="1030" t="str">
        <f>'II. Inputs, Baseline Energy Mix'!$E$83</f>
        <v>Guarantee Coverage, as a % of Commercial Loan Value</v>
      </c>
      <c r="D473" s="892" t="s">
        <v>14</v>
      </c>
      <c r="E473" s="889"/>
      <c r="F473" s="889"/>
      <c r="G473" s="1035">
        <f>SUM('II. Inputs, Baseline Energy Mix'!$P$83)</f>
        <v>0</v>
      </c>
      <c r="H473" s="889"/>
      <c r="I473" s="889"/>
      <c r="J473" s="889"/>
      <c r="K473" s="889"/>
      <c r="L473" s="889"/>
      <c r="M473" s="889"/>
      <c r="N473" s="889"/>
      <c r="O473" s="889"/>
      <c r="P473" s="889"/>
      <c r="Q473" s="889"/>
      <c r="R473" s="889"/>
      <c r="S473" s="889"/>
      <c r="T473" s="889"/>
      <c r="U473" s="889"/>
      <c r="V473" s="889"/>
      <c r="W473" s="889"/>
      <c r="X473" s="889"/>
      <c r="Y473" s="889"/>
      <c r="Z473" s="889"/>
      <c r="AA473" s="889"/>
      <c r="AB473" s="889"/>
      <c r="AC473" s="889"/>
      <c r="AD473" s="889"/>
      <c r="AE473" s="889"/>
      <c r="AF473" s="889"/>
      <c r="AG473" s="889"/>
      <c r="AH473" s="889"/>
      <c r="AI473" s="889"/>
      <c r="AJ473" s="889"/>
      <c r="AK473" s="889"/>
      <c r="AL473" s="889"/>
      <c r="AM473" s="889"/>
      <c r="AN473" s="889"/>
      <c r="AO473" s="889"/>
      <c r="AP473" s="889"/>
      <c r="AQ473" s="889"/>
      <c r="AR473" s="889"/>
      <c r="AS473" s="889"/>
      <c r="AT473" s="889"/>
      <c r="AU473" s="889"/>
      <c r="AV473" s="889"/>
      <c r="AW473" s="889"/>
      <c r="AX473" s="889"/>
      <c r="AY473" s="889"/>
      <c r="AZ473" s="889"/>
      <c r="BA473" s="889"/>
      <c r="BB473" s="889"/>
      <c r="BC473" s="889"/>
      <c r="BD473" s="889"/>
      <c r="BE473" s="890"/>
      <c r="BF473" s="695"/>
    </row>
    <row r="474" spans="1:58" x14ac:dyDescent="0.45">
      <c r="A474" s="695"/>
      <c r="B474" s="888"/>
      <c r="C474" s="1030" t="str">
        <f>'II. Inputs, Baseline Energy Mix'!$E$84</f>
        <v xml:space="preserve">Term of Public Guarantee Coverage </v>
      </c>
      <c r="D474" s="892" t="s">
        <v>18</v>
      </c>
      <c r="E474" s="889"/>
      <c r="F474" s="889"/>
      <c r="G474" s="891">
        <f>'II. Inputs, Baseline Energy Mix'!$P$84</f>
        <v>0</v>
      </c>
      <c r="H474" s="889"/>
      <c r="I474" s="889"/>
      <c r="J474" s="889"/>
      <c r="K474" s="889"/>
      <c r="L474" s="889"/>
      <c r="M474" s="889"/>
      <c r="N474" s="889"/>
      <c r="O474" s="889"/>
      <c r="P474" s="889"/>
      <c r="Q474" s="889"/>
      <c r="R474" s="889"/>
      <c r="S474" s="889"/>
      <c r="T474" s="889"/>
      <c r="U474" s="889"/>
      <c r="V474" s="889"/>
      <c r="W474" s="889"/>
      <c r="X474" s="889"/>
      <c r="Y474" s="889"/>
      <c r="Z474" s="889"/>
      <c r="AA474" s="889"/>
      <c r="AB474" s="889"/>
      <c r="AC474" s="889"/>
      <c r="AD474" s="889"/>
      <c r="AE474" s="889"/>
      <c r="AF474" s="889"/>
      <c r="AG474" s="889"/>
      <c r="AH474" s="889"/>
      <c r="AI474" s="889"/>
      <c r="AJ474" s="889"/>
      <c r="AK474" s="889"/>
      <c r="AL474" s="889"/>
      <c r="AM474" s="889"/>
      <c r="AN474" s="889"/>
      <c r="AO474" s="889"/>
      <c r="AP474" s="889"/>
      <c r="AQ474" s="889"/>
      <c r="AR474" s="889"/>
      <c r="AS474" s="889"/>
      <c r="AT474" s="889"/>
      <c r="AU474" s="889"/>
      <c r="AV474" s="889"/>
      <c r="AW474" s="889"/>
      <c r="AX474" s="889"/>
      <c r="AY474" s="889"/>
      <c r="AZ474" s="889"/>
      <c r="BA474" s="889"/>
      <c r="BB474" s="889"/>
      <c r="BC474" s="889"/>
      <c r="BD474" s="889"/>
      <c r="BE474" s="890"/>
      <c r="BF474" s="695"/>
    </row>
    <row r="475" spans="1:58" x14ac:dyDescent="0.45">
      <c r="A475" s="695"/>
      <c r="B475" s="888"/>
      <c r="C475" s="889"/>
      <c r="D475" s="889"/>
      <c r="E475" s="889"/>
      <c r="F475" s="889"/>
      <c r="G475" s="889"/>
      <c r="H475" s="889"/>
      <c r="I475" s="889"/>
      <c r="J475" s="889"/>
      <c r="K475" s="889"/>
      <c r="L475" s="889"/>
      <c r="M475" s="889"/>
      <c r="N475" s="889"/>
      <c r="O475" s="889"/>
      <c r="P475" s="889"/>
      <c r="Q475" s="889"/>
      <c r="R475" s="889"/>
      <c r="S475" s="889"/>
      <c r="T475" s="889"/>
      <c r="U475" s="889"/>
      <c r="V475" s="889"/>
      <c r="W475" s="889"/>
      <c r="X475" s="889"/>
      <c r="Y475" s="889"/>
      <c r="Z475" s="889"/>
      <c r="AA475" s="889"/>
      <c r="AB475" s="889"/>
      <c r="AC475" s="889"/>
      <c r="AD475" s="889"/>
      <c r="AE475" s="889"/>
      <c r="AF475" s="889"/>
      <c r="AG475" s="889"/>
      <c r="AH475" s="889"/>
      <c r="AI475" s="889"/>
      <c r="AJ475" s="889"/>
      <c r="AK475" s="889"/>
      <c r="AL475" s="889"/>
      <c r="AM475" s="889"/>
      <c r="AN475" s="889"/>
      <c r="AO475" s="889"/>
      <c r="AP475" s="889"/>
      <c r="AQ475" s="889"/>
      <c r="AR475" s="889"/>
      <c r="AS475" s="889"/>
      <c r="AT475" s="889"/>
      <c r="AU475" s="889"/>
      <c r="AV475" s="889"/>
      <c r="AW475" s="889"/>
      <c r="AX475" s="889"/>
      <c r="AY475" s="889"/>
      <c r="AZ475" s="889"/>
      <c r="BA475" s="889"/>
      <c r="BB475" s="889"/>
      <c r="BC475" s="889"/>
      <c r="BD475" s="889"/>
      <c r="BE475" s="890"/>
      <c r="BF475" s="695"/>
    </row>
    <row r="476" spans="1:58" x14ac:dyDescent="0.45">
      <c r="A476" s="695"/>
      <c r="B476" s="888"/>
      <c r="C476" s="1032" t="s">
        <v>60</v>
      </c>
      <c r="D476" s="889"/>
      <c r="E476" s="889"/>
      <c r="F476" s="889"/>
      <c r="G476" s="1558"/>
      <c r="H476" s="1558"/>
      <c r="I476" s="1558"/>
      <c r="J476" s="1558"/>
      <c r="K476" s="1558"/>
      <c r="L476" s="1558"/>
      <c r="M476" s="1558"/>
      <c r="N476" s="1558"/>
      <c r="O476" s="1558"/>
      <c r="P476" s="1558"/>
      <c r="Q476" s="1558"/>
      <c r="R476" s="1558"/>
      <c r="S476" s="1558"/>
      <c r="T476" s="1558"/>
      <c r="U476" s="1558"/>
      <c r="V476" s="1558"/>
      <c r="W476" s="1558"/>
      <c r="X476" s="1558"/>
      <c r="Y476" s="1558"/>
      <c r="Z476" s="1558"/>
      <c r="AA476" s="1558"/>
      <c r="AB476" s="1558"/>
      <c r="AC476" s="1558"/>
      <c r="AD476" s="1558"/>
      <c r="AE476" s="1558"/>
      <c r="AF476" s="1558"/>
      <c r="AG476" s="1558"/>
      <c r="AH476" s="1558"/>
      <c r="AI476" s="1558"/>
      <c r="AJ476" s="1558"/>
      <c r="AK476" s="1558"/>
      <c r="AL476" s="1558"/>
      <c r="AM476" s="1558"/>
      <c r="AN476" s="1558"/>
      <c r="AO476" s="1558"/>
      <c r="AP476" s="1558"/>
      <c r="AQ476" s="1558"/>
      <c r="AR476" s="1558"/>
      <c r="AS476" s="1558"/>
      <c r="AT476" s="1558"/>
      <c r="AU476" s="1558"/>
      <c r="AV476" s="1558"/>
      <c r="AW476" s="1558"/>
      <c r="AX476" s="1558"/>
      <c r="AY476" s="1558"/>
      <c r="AZ476" s="1558"/>
      <c r="BA476" s="1558"/>
      <c r="BB476" s="1558"/>
      <c r="BC476" s="1558"/>
      <c r="BD476" s="1558"/>
      <c r="BE476" s="1559"/>
      <c r="BF476" s="1548"/>
    </row>
    <row r="477" spans="1:58" x14ac:dyDescent="0.45">
      <c r="A477" s="695"/>
      <c r="B477" s="888"/>
      <c r="C477" s="889" t="s">
        <v>66</v>
      </c>
      <c r="D477" s="889"/>
      <c r="E477" s="889"/>
      <c r="F477" s="889"/>
      <c r="G477" s="1558"/>
      <c r="H477" s="1558">
        <f>IF(H$292&gt;$G471,0,IPMT($G472,H$292,$G471,-$G470))</f>
        <v>0</v>
      </c>
      <c r="I477" s="1558">
        <f t="shared" ref="I477:BE477" si="169">IF(I$292&gt;$G471,0,IPMT($G472,I$292,$G471,-$G470))</f>
        <v>0</v>
      </c>
      <c r="J477" s="1558">
        <f t="shared" si="169"/>
        <v>0</v>
      </c>
      <c r="K477" s="1558">
        <f t="shared" si="169"/>
        <v>0</v>
      </c>
      <c r="L477" s="1558">
        <f t="shared" si="169"/>
        <v>0</v>
      </c>
      <c r="M477" s="1558">
        <f t="shared" si="169"/>
        <v>0</v>
      </c>
      <c r="N477" s="1558">
        <f t="shared" si="169"/>
        <v>0</v>
      </c>
      <c r="O477" s="1558">
        <f t="shared" si="169"/>
        <v>0</v>
      </c>
      <c r="P477" s="1558">
        <f t="shared" si="169"/>
        <v>0</v>
      </c>
      <c r="Q477" s="1558">
        <f t="shared" si="169"/>
        <v>0</v>
      </c>
      <c r="R477" s="1558">
        <f t="shared" si="169"/>
        <v>0</v>
      </c>
      <c r="S477" s="1558">
        <f t="shared" si="169"/>
        <v>0</v>
      </c>
      <c r="T477" s="1558">
        <f t="shared" si="169"/>
        <v>0</v>
      </c>
      <c r="U477" s="1558">
        <f t="shared" si="169"/>
        <v>0</v>
      </c>
      <c r="V477" s="1558">
        <f t="shared" si="169"/>
        <v>0</v>
      </c>
      <c r="W477" s="1558">
        <f t="shared" si="169"/>
        <v>0</v>
      </c>
      <c r="X477" s="1558">
        <f t="shared" si="169"/>
        <v>0</v>
      </c>
      <c r="Y477" s="1558">
        <f t="shared" si="169"/>
        <v>0</v>
      </c>
      <c r="Z477" s="1558">
        <f t="shared" si="169"/>
        <v>0</v>
      </c>
      <c r="AA477" s="1558">
        <f t="shared" si="169"/>
        <v>0</v>
      </c>
      <c r="AB477" s="1558">
        <f t="shared" si="169"/>
        <v>0</v>
      </c>
      <c r="AC477" s="1558">
        <f t="shared" si="169"/>
        <v>0</v>
      </c>
      <c r="AD477" s="1558">
        <f t="shared" si="169"/>
        <v>0</v>
      </c>
      <c r="AE477" s="1558">
        <f t="shared" si="169"/>
        <v>0</v>
      </c>
      <c r="AF477" s="1558">
        <f t="shared" si="169"/>
        <v>0</v>
      </c>
      <c r="AG477" s="1558">
        <f t="shared" si="169"/>
        <v>0</v>
      </c>
      <c r="AH477" s="1558">
        <f t="shared" si="169"/>
        <v>0</v>
      </c>
      <c r="AI477" s="1558">
        <f t="shared" si="169"/>
        <v>0</v>
      </c>
      <c r="AJ477" s="1558">
        <f t="shared" si="169"/>
        <v>0</v>
      </c>
      <c r="AK477" s="1558">
        <f t="shared" si="169"/>
        <v>0</v>
      </c>
      <c r="AL477" s="1558">
        <f t="shared" si="169"/>
        <v>0</v>
      </c>
      <c r="AM477" s="1558">
        <f t="shared" si="169"/>
        <v>0</v>
      </c>
      <c r="AN477" s="1558">
        <f t="shared" si="169"/>
        <v>0</v>
      </c>
      <c r="AO477" s="1558">
        <f t="shared" si="169"/>
        <v>0</v>
      </c>
      <c r="AP477" s="1558">
        <f t="shared" si="169"/>
        <v>0</v>
      </c>
      <c r="AQ477" s="1558">
        <f t="shared" si="169"/>
        <v>0</v>
      </c>
      <c r="AR477" s="1558">
        <f t="shared" si="169"/>
        <v>0</v>
      </c>
      <c r="AS477" s="1558">
        <f t="shared" si="169"/>
        <v>0</v>
      </c>
      <c r="AT477" s="1558">
        <f t="shared" si="169"/>
        <v>0</v>
      </c>
      <c r="AU477" s="1558">
        <f t="shared" si="169"/>
        <v>0</v>
      </c>
      <c r="AV477" s="1558">
        <f t="shared" si="169"/>
        <v>0</v>
      </c>
      <c r="AW477" s="1558">
        <f t="shared" si="169"/>
        <v>0</v>
      </c>
      <c r="AX477" s="1558">
        <f t="shared" si="169"/>
        <v>0</v>
      </c>
      <c r="AY477" s="1558">
        <f t="shared" si="169"/>
        <v>0</v>
      </c>
      <c r="AZ477" s="1558">
        <f t="shared" si="169"/>
        <v>0</v>
      </c>
      <c r="BA477" s="1558">
        <f t="shared" si="169"/>
        <v>0</v>
      </c>
      <c r="BB477" s="1558">
        <f t="shared" si="169"/>
        <v>0</v>
      </c>
      <c r="BC477" s="1558">
        <f t="shared" si="169"/>
        <v>0</v>
      </c>
      <c r="BD477" s="1558">
        <f t="shared" si="169"/>
        <v>0</v>
      </c>
      <c r="BE477" s="1559">
        <f t="shared" si="169"/>
        <v>0</v>
      </c>
      <c r="BF477" s="1548"/>
    </row>
    <row r="478" spans="1:58" x14ac:dyDescent="0.45">
      <c r="A478" s="695"/>
      <c r="B478" s="888"/>
      <c r="C478" s="896" t="s">
        <v>65</v>
      </c>
      <c r="D478" s="896"/>
      <c r="E478" s="896"/>
      <c r="F478" s="896"/>
      <c r="G478" s="1560"/>
      <c r="H478" s="1560">
        <f>IF(H$292&gt;$G471,0,PPMT($G472,H$292,$G471,-$G470))</f>
        <v>0</v>
      </c>
      <c r="I478" s="1560">
        <f t="shared" ref="I478:BE478" si="170">IF(I$292&gt;$G471,0,PPMT($G472,I$292,$G471,-$G470))</f>
        <v>0</v>
      </c>
      <c r="J478" s="1560">
        <f t="shared" si="170"/>
        <v>0</v>
      </c>
      <c r="K478" s="1560">
        <f t="shared" si="170"/>
        <v>0</v>
      </c>
      <c r="L478" s="1560">
        <f t="shared" si="170"/>
        <v>0</v>
      </c>
      <c r="M478" s="1560">
        <f t="shared" si="170"/>
        <v>0</v>
      </c>
      <c r="N478" s="1560">
        <f t="shared" si="170"/>
        <v>0</v>
      </c>
      <c r="O478" s="1560">
        <f t="shared" si="170"/>
        <v>0</v>
      </c>
      <c r="P478" s="1560">
        <f t="shared" si="170"/>
        <v>0</v>
      </c>
      <c r="Q478" s="1560">
        <f t="shared" si="170"/>
        <v>0</v>
      </c>
      <c r="R478" s="1560">
        <f t="shared" si="170"/>
        <v>0</v>
      </c>
      <c r="S478" s="1560">
        <f t="shared" si="170"/>
        <v>0</v>
      </c>
      <c r="T478" s="1560">
        <f t="shared" si="170"/>
        <v>0</v>
      </c>
      <c r="U478" s="1560">
        <f t="shared" si="170"/>
        <v>0</v>
      </c>
      <c r="V478" s="1560">
        <f t="shared" si="170"/>
        <v>0</v>
      </c>
      <c r="W478" s="1560">
        <f t="shared" si="170"/>
        <v>0</v>
      </c>
      <c r="X478" s="1560">
        <f t="shared" si="170"/>
        <v>0</v>
      </c>
      <c r="Y478" s="1560">
        <f t="shared" si="170"/>
        <v>0</v>
      </c>
      <c r="Z478" s="1560">
        <f t="shared" si="170"/>
        <v>0</v>
      </c>
      <c r="AA478" s="1560">
        <f t="shared" si="170"/>
        <v>0</v>
      </c>
      <c r="AB478" s="1560">
        <f t="shared" si="170"/>
        <v>0</v>
      </c>
      <c r="AC478" s="1560">
        <f t="shared" si="170"/>
        <v>0</v>
      </c>
      <c r="AD478" s="1560">
        <f t="shared" si="170"/>
        <v>0</v>
      </c>
      <c r="AE478" s="1560">
        <f t="shared" si="170"/>
        <v>0</v>
      </c>
      <c r="AF478" s="1560">
        <f t="shared" si="170"/>
        <v>0</v>
      </c>
      <c r="AG478" s="1560">
        <f t="shared" si="170"/>
        <v>0</v>
      </c>
      <c r="AH478" s="1560">
        <f t="shared" si="170"/>
        <v>0</v>
      </c>
      <c r="AI478" s="1560">
        <f t="shared" si="170"/>
        <v>0</v>
      </c>
      <c r="AJ478" s="1560">
        <f t="shared" si="170"/>
        <v>0</v>
      </c>
      <c r="AK478" s="1560">
        <f t="shared" si="170"/>
        <v>0</v>
      </c>
      <c r="AL478" s="1560">
        <f t="shared" si="170"/>
        <v>0</v>
      </c>
      <c r="AM478" s="1560">
        <f t="shared" si="170"/>
        <v>0</v>
      </c>
      <c r="AN478" s="1560">
        <f t="shared" si="170"/>
        <v>0</v>
      </c>
      <c r="AO478" s="1560">
        <f t="shared" si="170"/>
        <v>0</v>
      </c>
      <c r="AP478" s="1560">
        <f t="shared" si="170"/>
        <v>0</v>
      </c>
      <c r="AQ478" s="1560">
        <f t="shared" si="170"/>
        <v>0</v>
      </c>
      <c r="AR478" s="1560">
        <f t="shared" si="170"/>
        <v>0</v>
      </c>
      <c r="AS478" s="1560">
        <f t="shared" si="170"/>
        <v>0</v>
      </c>
      <c r="AT478" s="1560">
        <f t="shared" si="170"/>
        <v>0</v>
      </c>
      <c r="AU478" s="1560">
        <f t="shared" si="170"/>
        <v>0</v>
      </c>
      <c r="AV478" s="1560">
        <f t="shared" si="170"/>
        <v>0</v>
      </c>
      <c r="AW478" s="1560">
        <f t="shared" si="170"/>
        <v>0</v>
      </c>
      <c r="AX478" s="1560">
        <f t="shared" si="170"/>
        <v>0</v>
      </c>
      <c r="AY478" s="1560">
        <f t="shared" si="170"/>
        <v>0</v>
      </c>
      <c r="AZ478" s="1560">
        <f t="shared" si="170"/>
        <v>0</v>
      </c>
      <c r="BA478" s="1560">
        <f t="shared" si="170"/>
        <v>0</v>
      </c>
      <c r="BB478" s="1560">
        <f t="shared" si="170"/>
        <v>0</v>
      </c>
      <c r="BC478" s="1560">
        <f t="shared" si="170"/>
        <v>0</v>
      </c>
      <c r="BD478" s="1560">
        <f t="shared" si="170"/>
        <v>0</v>
      </c>
      <c r="BE478" s="1561">
        <f t="shared" si="170"/>
        <v>0</v>
      </c>
      <c r="BF478" s="1548"/>
    </row>
    <row r="479" spans="1:58" x14ac:dyDescent="0.45">
      <c r="A479" s="695"/>
      <c r="B479" s="888"/>
      <c r="C479" s="889" t="s">
        <v>67</v>
      </c>
      <c r="D479" s="889"/>
      <c r="E479" s="889"/>
      <c r="F479" s="889"/>
      <c r="G479" s="1558"/>
      <c r="H479" s="1558">
        <f>SUM(H477:H478)</f>
        <v>0</v>
      </c>
      <c r="I479" s="1558">
        <f t="shared" ref="I479:BE479" si="171">SUM(I477:I478)</f>
        <v>0</v>
      </c>
      <c r="J479" s="1558">
        <f t="shared" si="171"/>
        <v>0</v>
      </c>
      <c r="K479" s="1558">
        <f t="shared" si="171"/>
        <v>0</v>
      </c>
      <c r="L479" s="1558">
        <f t="shared" si="171"/>
        <v>0</v>
      </c>
      <c r="M479" s="1558">
        <f t="shared" si="171"/>
        <v>0</v>
      </c>
      <c r="N479" s="1558">
        <f t="shared" si="171"/>
        <v>0</v>
      </c>
      <c r="O479" s="1558">
        <f t="shared" si="171"/>
        <v>0</v>
      </c>
      <c r="P479" s="1558">
        <f t="shared" si="171"/>
        <v>0</v>
      </c>
      <c r="Q479" s="1558">
        <f t="shared" si="171"/>
        <v>0</v>
      </c>
      <c r="R479" s="1558">
        <f t="shared" si="171"/>
        <v>0</v>
      </c>
      <c r="S479" s="1558">
        <f t="shared" si="171"/>
        <v>0</v>
      </c>
      <c r="T479" s="1558">
        <f t="shared" si="171"/>
        <v>0</v>
      </c>
      <c r="U479" s="1558">
        <f t="shared" si="171"/>
        <v>0</v>
      </c>
      <c r="V479" s="1558">
        <f t="shared" si="171"/>
        <v>0</v>
      </c>
      <c r="W479" s="1558">
        <f t="shared" si="171"/>
        <v>0</v>
      </c>
      <c r="X479" s="1558">
        <f t="shared" si="171"/>
        <v>0</v>
      </c>
      <c r="Y479" s="1558">
        <f t="shared" si="171"/>
        <v>0</v>
      </c>
      <c r="Z479" s="1558">
        <f t="shared" si="171"/>
        <v>0</v>
      </c>
      <c r="AA479" s="1558">
        <f t="shared" si="171"/>
        <v>0</v>
      </c>
      <c r="AB479" s="1558">
        <f t="shared" si="171"/>
        <v>0</v>
      </c>
      <c r="AC479" s="1558">
        <f t="shared" si="171"/>
        <v>0</v>
      </c>
      <c r="AD479" s="1558">
        <f t="shared" si="171"/>
        <v>0</v>
      </c>
      <c r="AE479" s="1558">
        <f t="shared" si="171"/>
        <v>0</v>
      </c>
      <c r="AF479" s="1558">
        <f t="shared" si="171"/>
        <v>0</v>
      </c>
      <c r="AG479" s="1558">
        <f t="shared" si="171"/>
        <v>0</v>
      </c>
      <c r="AH479" s="1558">
        <f t="shared" si="171"/>
        <v>0</v>
      </c>
      <c r="AI479" s="1558">
        <f t="shared" si="171"/>
        <v>0</v>
      </c>
      <c r="AJ479" s="1558">
        <f t="shared" si="171"/>
        <v>0</v>
      </c>
      <c r="AK479" s="1558">
        <f t="shared" si="171"/>
        <v>0</v>
      </c>
      <c r="AL479" s="1558">
        <f t="shared" si="171"/>
        <v>0</v>
      </c>
      <c r="AM479" s="1558">
        <f t="shared" si="171"/>
        <v>0</v>
      </c>
      <c r="AN479" s="1558">
        <f t="shared" si="171"/>
        <v>0</v>
      </c>
      <c r="AO479" s="1558">
        <f t="shared" si="171"/>
        <v>0</v>
      </c>
      <c r="AP479" s="1558">
        <f t="shared" si="171"/>
        <v>0</v>
      </c>
      <c r="AQ479" s="1558">
        <f t="shared" si="171"/>
        <v>0</v>
      </c>
      <c r="AR479" s="1558">
        <f t="shared" si="171"/>
        <v>0</v>
      </c>
      <c r="AS479" s="1558">
        <f t="shared" si="171"/>
        <v>0</v>
      </c>
      <c r="AT479" s="1558">
        <f t="shared" si="171"/>
        <v>0</v>
      </c>
      <c r="AU479" s="1558">
        <f t="shared" si="171"/>
        <v>0</v>
      </c>
      <c r="AV479" s="1558">
        <f t="shared" si="171"/>
        <v>0</v>
      </c>
      <c r="AW479" s="1558">
        <f t="shared" si="171"/>
        <v>0</v>
      </c>
      <c r="AX479" s="1558">
        <f t="shared" si="171"/>
        <v>0</v>
      </c>
      <c r="AY479" s="1558">
        <f t="shared" si="171"/>
        <v>0</v>
      </c>
      <c r="AZ479" s="1558">
        <f t="shared" si="171"/>
        <v>0</v>
      </c>
      <c r="BA479" s="1558">
        <f t="shared" si="171"/>
        <v>0</v>
      </c>
      <c r="BB479" s="1558">
        <f t="shared" si="171"/>
        <v>0</v>
      </c>
      <c r="BC479" s="1558">
        <f t="shared" si="171"/>
        <v>0</v>
      </c>
      <c r="BD479" s="1558">
        <f t="shared" si="171"/>
        <v>0</v>
      </c>
      <c r="BE479" s="1559">
        <f t="shared" si="171"/>
        <v>0</v>
      </c>
      <c r="BF479" s="1548"/>
    </row>
    <row r="480" spans="1:58" x14ac:dyDescent="0.45">
      <c r="A480" s="695"/>
      <c r="B480" s="888"/>
      <c r="C480" s="889"/>
      <c r="D480" s="889"/>
      <c r="E480" s="889"/>
      <c r="F480" s="889"/>
      <c r="G480" s="1558"/>
      <c r="H480" s="1558"/>
      <c r="I480" s="1558"/>
      <c r="J480" s="1558"/>
      <c r="K480" s="1558"/>
      <c r="L480" s="1558"/>
      <c r="M480" s="1558"/>
      <c r="N480" s="1558"/>
      <c r="O480" s="1558"/>
      <c r="P480" s="1558"/>
      <c r="Q480" s="1558"/>
      <c r="R480" s="1558"/>
      <c r="S480" s="1558"/>
      <c r="T480" s="1558"/>
      <c r="U480" s="1558"/>
      <c r="V480" s="1558"/>
      <c r="W480" s="1558"/>
      <c r="X480" s="1558"/>
      <c r="Y480" s="1558"/>
      <c r="Z480" s="1558"/>
      <c r="AA480" s="1558"/>
      <c r="AB480" s="1558"/>
      <c r="AC480" s="1558"/>
      <c r="AD480" s="1558"/>
      <c r="AE480" s="1558"/>
      <c r="AF480" s="1558"/>
      <c r="AG480" s="1558"/>
      <c r="AH480" s="1558"/>
      <c r="AI480" s="1558"/>
      <c r="AJ480" s="1558"/>
      <c r="AK480" s="1558"/>
      <c r="AL480" s="1558"/>
      <c r="AM480" s="1558"/>
      <c r="AN480" s="1558"/>
      <c r="AO480" s="1558"/>
      <c r="AP480" s="1558"/>
      <c r="AQ480" s="1558"/>
      <c r="AR480" s="1558"/>
      <c r="AS480" s="1558"/>
      <c r="AT480" s="1558"/>
      <c r="AU480" s="1558"/>
      <c r="AV480" s="1558"/>
      <c r="AW480" s="1558"/>
      <c r="AX480" s="1558"/>
      <c r="AY480" s="1558"/>
      <c r="AZ480" s="1558"/>
      <c r="BA480" s="1558"/>
      <c r="BB480" s="1558"/>
      <c r="BC480" s="1558"/>
      <c r="BD480" s="1558"/>
      <c r="BE480" s="1559"/>
      <c r="BF480" s="1548"/>
    </row>
    <row r="481" spans="1:58" x14ac:dyDescent="0.45">
      <c r="A481" s="695"/>
      <c r="B481" s="888"/>
      <c r="C481" s="1033" t="s">
        <v>58</v>
      </c>
      <c r="D481" s="889"/>
      <c r="E481" s="889"/>
      <c r="F481" s="889"/>
      <c r="G481" s="1558"/>
      <c r="H481" s="1558"/>
      <c r="I481" s="1558"/>
      <c r="J481" s="1558"/>
      <c r="K481" s="1558"/>
      <c r="L481" s="1558"/>
      <c r="M481" s="1558"/>
      <c r="N481" s="1558"/>
      <c r="O481" s="1558"/>
      <c r="P481" s="1558"/>
      <c r="Q481" s="1558"/>
      <c r="R481" s="1558"/>
      <c r="S481" s="1558"/>
      <c r="T481" s="1558"/>
      <c r="U481" s="1558"/>
      <c r="V481" s="1558"/>
      <c r="W481" s="1558"/>
      <c r="X481" s="1558"/>
      <c r="Y481" s="1558"/>
      <c r="Z481" s="1558"/>
      <c r="AA481" s="1558"/>
      <c r="AB481" s="1558"/>
      <c r="AC481" s="1558"/>
      <c r="AD481" s="1558"/>
      <c r="AE481" s="1558"/>
      <c r="AF481" s="1558"/>
      <c r="AG481" s="1558"/>
      <c r="AH481" s="1558"/>
      <c r="AI481" s="1558"/>
      <c r="AJ481" s="1558"/>
      <c r="AK481" s="1558"/>
      <c r="AL481" s="1558"/>
      <c r="AM481" s="1558"/>
      <c r="AN481" s="1558"/>
      <c r="AO481" s="1558"/>
      <c r="AP481" s="1558"/>
      <c r="AQ481" s="1558"/>
      <c r="AR481" s="1558"/>
      <c r="AS481" s="1558"/>
      <c r="AT481" s="1558"/>
      <c r="AU481" s="1558"/>
      <c r="AV481" s="1558"/>
      <c r="AW481" s="1558"/>
      <c r="AX481" s="1558"/>
      <c r="AY481" s="1558"/>
      <c r="AZ481" s="1558"/>
      <c r="BA481" s="1558"/>
      <c r="BB481" s="1558"/>
      <c r="BC481" s="1558"/>
      <c r="BD481" s="1558"/>
      <c r="BE481" s="1559"/>
      <c r="BF481" s="1548"/>
    </row>
    <row r="482" spans="1:58" x14ac:dyDescent="0.45">
      <c r="A482" s="695"/>
      <c r="B482" s="888"/>
      <c r="C482" s="889" t="s">
        <v>68</v>
      </c>
      <c r="D482" s="889"/>
      <c r="E482" s="889"/>
      <c r="F482" s="889"/>
      <c r="G482" s="1558">
        <v>0</v>
      </c>
      <c r="H482" s="1558">
        <f t="shared" ref="H482:AM482" si="172">G485</f>
        <v>0</v>
      </c>
      <c r="I482" s="1558">
        <f t="shared" si="172"/>
        <v>0</v>
      </c>
      <c r="J482" s="1558">
        <f t="shared" si="172"/>
        <v>0</v>
      </c>
      <c r="K482" s="1558">
        <f t="shared" si="172"/>
        <v>0</v>
      </c>
      <c r="L482" s="1558">
        <f t="shared" si="172"/>
        <v>0</v>
      </c>
      <c r="M482" s="1558">
        <f t="shared" si="172"/>
        <v>0</v>
      </c>
      <c r="N482" s="1558">
        <f t="shared" si="172"/>
        <v>0</v>
      </c>
      <c r="O482" s="1558">
        <f t="shared" si="172"/>
        <v>0</v>
      </c>
      <c r="P482" s="1558">
        <f t="shared" si="172"/>
        <v>0</v>
      </c>
      <c r="Q482" s="1558">
        <f t="shared" si="172"/>
        <v>0</v>
      </c>
      <c r="R482" s="1558">
        <f t="shared" si="172"/>
        <v>0</v>
      </c>
      <c r="S482" s="1558">
        <f t="shared" si="172"/>
        <v>0</v>
      </c>
      <c r="T482" s="1558">
        <f t="shared" si="172"/>
        <v>0</v>
      </c>
      <c r="U482" s="1558">
        <f t="shared" si="172"/>
        <v>0</v>
      </c>
      <c r="V482" s="1558">
        <f t="shared" si="172"/>
        <v>0</v>
      </c>
      <c r="W482" s="1558">
        <f t="shared" si="172"/>
        <v>0</v>
      </c>
      <c r="X482" s="1558">
        <f t="shared" si="172"/>
        <v>0</v>
      </c>
      <c r="Y482" s="1558">
        <f t="shared" si="172"/>
        <v>0</v>
      </c>
      <c r="Z482" s="1558">
        <f t="shared" si="172"/>
        <v>0</v>
      </c>
      <c r="AA482" s="1558">
        <f t="shared" si="172"/>
        <v>0</v>
      </c>
      <c r="AB482" s="1558">
        <f t="shared" si="172"/>
        <v>0</v>
      </c>
      <c r="AC482" s="1558">
        <f t="shared" si="172"/>
        <v>0</v>
      </c>
      <c r="AD482" s="1558">
        <f t="shared" si="172"/>
        <v>0</v>
      </c>
      <c r="AE482" s="1558">
        <f t="shared" si="172"/>
        <v>0</v>
      </c>
      <c r="AF482" s="1558">
        <f t="shared" si="172"/>
        <v>0</v>
      </c>
      <c r="AG482" s="1558">
        <f t="shared" si="172"/>
        <v>0</v>
      </c>
      <c r="AH482" s="1558">
        <f t="shared" si="172"/>
        <v>0</v>
      </c>
      <c r="AI482" s="1558">
        <f t="shared" si="172"/>
        <v>0</v>
      </c>
      <c r="AJ482" s="1558">
        <f t="shared" si="172"/>
        <v>0</v>
      </c>
      <c r="AK482" s="1558">
        <f t="shared" si="172"/>
        <v>0</v>
      </c>
      <c r="AL482" s="1558">
        <f t="shared" si="172"/>
        <v>0</v>
      </c>
      <c r="AM482" s="1558">
        <f t="shared" si="172"/>
        <v>0</v>
      </c>
      <c r="AN482" s="1558">
        <f t="shared" ref="AN482:BE482" si="173">AM485</f>
        <v>0</v>
      </c>
      <c r="AO482" s="1558">
        <f t="shared" si="173"/>
        <v>0</v>
      </c>
      <c r="AP482" s="1558">
        <f t="shared" si="173"/>
        <v>0</v>
      </c>
      <c r="AQ482" s="1558">
        <f t="shared" si="173"/>
        <v>0</v>
      </c>
      <c r="AR482" s="1558">
        <f t="shared" si="173"/>
        <v>0</v>
      </c>
      <c r="AS482" s="1558">
        <f t="shared" si="173"/>
        <v>0</v>
      </c>
      <c r="AT482" s="1558">
        <f t="shared" si="173"/>
        <v>0</v>
      </c>
      <c r="AU482" s="1558">
        <f t="shared" si="173"/>
        <v>0</v>
      </c>
      <c r="AV482" s="1558">
        <f t="shared" si="173"/>
        <v>0</v>
      </c>
      <c r="AW482" s="1558">
        <f t="shared" si="173"/>
        <v>0</v>
      </c>
      <c r="AX482" s="1558">
        <f t="shared" si="173"/>
        <v>0</v>
      </c>
      <c r="AY482" s="1558">
        <f t="shared" si="173"/>
        <v>0</v>
      </c>
      <c r="AZ482" s="1558">
        <f t="shared" si="173"/>
        <v>0</v>
      </c>
      <c r="BA482" s="1558">
        <f t="shared" si="173"/>
        <v>0</v>
      </c>
      <c r="BB482" s="1558">
        <f t="shared" si="173"/>
        <v>0</v>
      </c>
      <c r="BC482" s="1558">
        <f t="shared" si="173"/>
        <v>0</v>
      </c>
      <c r="BD482" s="1558">
        <f t="shared" si="173"/>
        <v>0</v>
      </c>
      <c r="BE482" s="1559">
        <f t="shared" si="173"/>
        <v>0</v>
      </c>
      <c r="BF482" s="1548"/>
    </row>
    <row r="483" spans="1:58" x14ac:dyDescent="0.45">
      <c r="A483" s="695"/>
      <c r="B483" s="888"/>
      <c r="C483" s="889" t="s">
        <v>69</v>
      </c>
      <c r="D483" s="889"/>
      <c r="E483" s="889"/>
      <c r="F483" s="889"/>
      <c r="G483" s="1558">
        <f>G470</f>
        <v>0</v>
      </c>
      <c r="H483" s="1558">
        <v>0</v>
      </c>
      <c r="I483" s="1558">
        <v>0</v>
      </c>
      <c r="J483" s="1558">
        <v>0</v>
      </c>
      <c r="K483" s="1558">
        <v>0</v>
      </c>
      <c r="L483" s="1558">
        <v>0</v>
      </c>
      <c r="M483" s="1558">
        <v>0</v>
      </c>
      <c r="N483" s="1558">
        <v>0</v>
      </c>
      <c r="O483" s="1558">
        <v>0</v>
      </c>
      <c r="P483" s="1558">
        <v>0</v>
      </c>
      <c r="Q483" s="1558">
        <v>0</v>
      </c>
      <c r="R483" s="1558">
        <v>0</v>
      </c>
      <c r="S483" s="1558">
        <v>0</v>
      </c>
      <c r="T483" s="1558">
        <v>0</v>
      </c>
      <c r="U483" s="1558">
        <v>0</v>
      </c>
      <c r="V483" s="1558">
        <v>0</v>
      </c>
      <c r="W483" s="1558">
        <v>0</v>
      </c>
      <c r="X483" s="1558">
        <v>0</v>
      </c>
      <c r="Y483" s="1558">
        <v>0</v>
      </c>
      <c r="Z483" s="1558">
        <v>0</v>
      </c>
      <c r="AA483" s="1558">
        <v>0</v>
      </c>
      <c r="AB483" s="1558">
        <v>0</v>
      </c>
      <c r="AC483" s="1558">
        <v>0</v>
      </c>
      <c r="AD483" s="1558">
        <v>0</v>
      </c>
      <c r="AE483" s="1558">
        <v>0</v>
      </c>
      <c r="AF483" s="1558">
        <v>0</v>
      </c>
      <c r="AG483" s="1558">
        <v>0</v>
      </c>
      <c r="AH483" s="1558">
        <v>0</v>
      </c>
      <c r="AI483" s="1558">
        <v>0</v>
      </c>
      <c r="AJ483" s="1558">
        <v>0</v>
      </c>
      <c r="AK483" s="1558">
        <v>0</v>
      </c>
      <c r="AL483" s="1558">
        <v>0</v>
      </c>
      <c r="AM483" s="1558">
        <v>0</v>
      </c>
      <c r="AN483" s="1558">
        <v>0</v>
      </c>
      <c r="AO483" s="1558">
        <v>0</v>
      </c>
      <c r="AP483" s="1558">
        <v>0</v>
      </c>
      <c r="AQ483" s="1558">
        <v>0</v>
      </c>
      <c r="AR483" s="1558">
        <v>0</v>
      </c>
      <c r="AS483" s="1558">
        <v>0</v>
      </c>
      <c r="AT483" s="1558">
        <v>0</v>
      </c>
      <c r="AU483" s="1558">
        <v>0</v>
      </c>
      <c r="AV483" s="1558">
        <v>0</v>
      </c>
      <c r="AW483" s="1558">
        <v>0</v>
      </c>
      <c r="AX483" s="1558">
        <v>0</v>
      </c>
      <c r="AY483" s="1558">
        <v>0</v>
      </c>
      <c r="AZ483" s="1558">
        <v>0</v>
      </c>
      <c r="BA483" s="1558">
        <v>0</v>
      </c>
      <c r="BB483" s="1558">
        <v>0</v>
      </c>
      <c r="BC483" s="1558">
        <v>0</v>
      </c>
      <c r="BD483" s="1558">
        <v>0</v>
      </c>
      <c r="BE483" s="1559">
        <v>0</v>
      </c>
      <c r="BF483" s="1548"/>
    </row>
    <row r="484" spans="1:58" x14ac:dyDescent="0.45">
      <c r="A484" s="695"/>
      <c r="B484" s="888"/>
      <c r="C484" s="896" t="s">
        <v>70</v>
      </c>
      <c r="D484" s="896"/>
      <c r="E484" s="896"/>
      <c r="F484" s="896"/>
      <c r="G484" s="1560">
        <v>0</v>
      </c>
      <c r="H484" s="1560">
        <f>-H478</f>
        <v>0</v>
      </c>
      <c r="I484" s="1560">
        <f t="shared" ref="I484:BE484" si="174">-I478</f>
        <v>0</v>
      </c>
      <c r="J484" s="1560">
        <f t="shared" si="174"/>
        <v>0</v>
      </c>
      <c r="K484" s="1560">
        <f t="shared" si="174"/>
        <v>0</v>
      </c>
      <c r="L484" s="1560">
        <f t="shared" si="174"/>
        <v>0</v>
      </c>
      <c r="M484" s="1560">
        <f t="shared" si="174"/>
        <v>0</v>
      </c>
      <c r="N484" s="1560">
        <f t="shared" si="174"/>
        <v>0</v>
      </c>
      <c r="O484" s="1560">
        <f t="shared" si="174"/>
        <v>0</v>
      </c>
      <c r="P484" s="1560">
        <f t="shared" si="174"/>
        <v>0</v>
      </c>
      <c r="Q484" s="1560">
        <f t="shared" si="174"/>
        <v>0</v>
      </c>
      <c r="R484" s="1560">
        <f t="shared" si="174"/>
        <v>0</v>
      </c>
      <c r="S484" s="1560">
        <f t="shared" si="174"/>
        <v>0</v>
      </c>
      <c r="T484" s="1560">
        <f t="shared" si="174"/>
        <v>0</v>
      </c>
      <c r="U484" s="1560">
        <f t="shared" si="174"/>
        <v>0</v>
      </c>
      <c r="V484" s="1560">
        <f t="shared" si="174"/>
        <v>0</v>
      </c>
      <c r="W484" s="1560">
        <f t="shared" si="174"/>
        <v>0</v>
      </c>
      <c r="X484" s="1560">
        <f t="shared" si="174"/>
        <v>0</v>
      </c>
      <c r="Y484" s="1560">
        <f t="shared" si="174"/>
        <v>0</v>
      </c>
      <c r="Z484" s="1560">
        <f t="shared" si="174"/>
        <v>0</v>
      </c>
      <c r="AA484" s="1560">
        <f t="shared" si="174"/>
        <v>0</v>
      </c>
      <c r="AB484" s="1560">
        <f t="shared" si="174"/>
        <v>0</v>
      </c>
      <c r="AC484" s="1560">
        <f t="shared" si="174"/>
        <v>0</v>
      </c>
      <c r="AD484" s="1560">
        <f t="shared" si="174"/>
        <v>0</v>
      </c>
      <c r="AE484" s="1560">
        <f t="shared" si="174"/>
        <v>0</v>
      </c>
      <c r="AF484" s="1560">
        <f t="shared" si="174"/>
        <v>0</v>
      </c>
      <c r="AG484" s="1560">
        <f t="shared" si="174"/>
        <v>0</v>
      </c>
      <c r="AH484" s="1560">
        <f t="shared" si="174"/>
        <v>0</v>
      </c>
      <c r="AI484" s="1560">
        <f t="shared" si="174"/>
        <v>0</v>
      </c>
      <c r="AJ484" s="1560">
        <f t="shared" si="174"/>
        <v>0</v>
      </c>
      <c r="AK484" s="1560">
        <f t="shared" si="174"/>
        <v>0</v>
      </c>
      <c r="AL484" s="1560">
        <f t="shared" si="174"/>
        <v>0</v>
      </c>
      <c r="AM484" s="1560">
        <f t="shared" si="174"/>
        <v>0</v>
      </c>
      <c r="AN484" s="1560">
        <f t="shared" si="174"/>
        <v>0</v>
      </c>
      <c r="AO484" s="1560">
        <f t="shared" si="174"/>
        <v>0</v>
      </c>
      <c r="AP484" s="1560">
        <f t="shared" si="174"/>
        <v>0</v>
      </c>
      <c r="AQ484" s="1560">
        <f t="shared" si="174"/>
        <v>0</v>
      </c>
      <c r="AR484" s="1560">
        <f t="shared" si="174"/>
        <v>0</v>
      </c>
      <c r="AS484" s="1560">
        <f t="shared" si="174"/>
        <v>0</v>
      </c>
      <c r="AT484" s="1560">
        <f t="shared" si="174"/>
        <v>0</v>
      </c>
      <c r="AU484" s="1560">
        <f t="shared" si="174"/>
        <v>0</v>
      </c>
      <c r="AV484" s="1560">
        <f t="shared" si="174"/>
        <v>0</v>
      </c>
      <c r="AW484" s="1560">
        <f t="shared" si="174"/>
        <v>0</v>
      </c>
      <c r="AX484" s="1560">
        <f t="shared" si="174"/>
        <v>0</v>
      </c>
      <c r="AY484" s="1560">
        <f t="shared" si="174"/>
        <v>0</v>
      </c>
      <c r="AZ484" s="1560">
        <f t="shared" si="174"/>
        <v>0</v>
      </c>
      <c r="BA484" s="1560">
        <f t="shared" si="174"/>
        <v>0</v>
      </c>
      <c r="BB484" s="1560">
        <f t="shared" si="174"/>
        <v>0</v>
      </c>
      <c r="BC484" s="1560">
        <f t="shared" si="174"/>
        <v>0</v>
      </c>
      <c r="BD484" s="1560">
        <f t="shared" si="174"/>
        <v>0</v>
      </c>
      <c r="BE484" s="1561">
        <f t="shared" si="174"/>
        <v>0</v>
      </c>
      <c r="BF484" s="1548"/>
    </row>
    <row r="485" spans="1:58" x14ac:dyDescent="0.45">
      <c r="A485" s="695"/>
      <c r="B485" s="888"/>
      <c r="C485" s="889" t="s">
        <v>59</v>
      </c>
      <c r="D485" s="889"/>
      <c r="E485" s="889"/>
      <c r="F485" s="889"/>
      <c r="G485" s="1558">
        <f>SUM(G482:G484)</f>
        <v>0</v>
      </c>
      <c r="H485" s="1558">
        <f>SUM(H482:H484)</f>
        <v>0</v>
      </c>
      <c r="I485" s="1558">
        <f t="shared" ref="I485:BE485" si="175">SUM(I482:I484)</f>
        <v>0</v>
      </c>
      <c r="J485" s="1558">
        <f t="shared" si="175"/>
        <v>0</v>
      </c>
      <c r="K485" s="1558">
        <f t="shared" si="175"/>
        <v>0</v>
      </c>
      <c r="L485" s="1558">
        <f t="shared" si="175"/>
        <v>0</v>
      </c>
      <c r="M485" s="1558">
        <f t="shared" si="175"/>
        <v>0</v>
      </c>
      <c r="N485" s="1558">
        <f t="shared" si="175"/>
        <v>0</v>
      </c>
      <c r="O485" s="1558">
        <f t="shared" si="175"/>
        <v>0</v>
      </c>
      <c r="P485" s="1558">
        <f t="shared" si="175"/>
        <v>0</v>
      </c>
      <c r="Q485" s="1558">
        <f t="shared" si="175"/>
        <v>0</v>
      </c>
      <c r="R485" s="1558">
        <f t="shared" si="175"/>
        <v>0</v>
      </c>
      <c r="S485" s="1558">
        <f t="shared" si="175"/>
        <v>0</v>
      </c>
      <c r="T485" s="1558">
        <f t="shared" si="175"/>
        <v>0</v>
      </c>
      <c r="U485" s="1558">
        <f t="shared" si="175"/>
        <v>0</v>
      </c>
      <c r="V485" s="1558">
        <f t="shared" si="175"/>
        <v>0</v>
      </c>
      <c r="W485" s="1558">
        <f t="shared" si="175"/>
        <v>0</v>
      </c>
      <c r="X485" s="1558">
        <f t="shared" si="175"/>
        <v>0</v>
      </c>
      <c r="Y485" s="1558">
        <f t="shared" si="175"/>
        <v>0</v>
      </c>
      <c r="Z485" s="1558">
        <f t="shared" si="175"/>
        <v>0</v>
      </c>
      <c r="AA485" s="1558">
        <f t="shared" si="175"/>
        <v>0</v>
      </c>
      <c r="AB485" s="1558">
        <f t="shared" si="175"/>
        <v>0</v>
      </c>
      <c r="AC485" s="1558">
        <f t="shared" si="175"/>
        <v>0</v>
      </c>
      <c r="AD485" s="1558">
        <f t="shared" si="175"/>
        <v>0</v>
      </c>
      <c r="AE485" s="1558">
        <f t="shared" si="175"/>
        <v>0</v>
      </c>
      <c r="AF485" s="1558">
        <f t="shared" si="175"/>
        <v>0</v>
      </c>
      <c r="AG485" s="1558">
        <f t="shared" si="175"/>
        <v>0</v>
      </c>
      <c r="AH485" s="1558">
        <f t="shared" si="175"/>
        <v>0</v>
      </c>
      <c r="AI485" s="1558">
        <f t="shared" si="175"/>
        <v>0</v>
      </c>
      <c r="AJ485" s="1558">
        <f t="shared" si="175"/>
        <v>0</v>
      </c>
      <c r="AK485" s="1558">
        <f t="shared" si="175"/>
        <v>0</v>
      </c>
      <c r="AL485" s="1558">
        <f t="shared" si="175"/>
        <v>0</v>
      </c>
      <c r="AM485" s="1558">
        <f t="shared" si="175"/>
        <v>0</v>
      </c>
      <c r="AN485" s="1558">
        <f t="shared" si="175"/>
        <v>0</v>
      </c>
      <c r="AO485" s="1558">
        <f t="shared" si="175"/>
        <v>0</v>
      </c>
      <c r="AP485" s="1558">
        <f t="shared" si="175"/>
        <v>0</v>
      </c>
      <c r="AQ485" s="1558">
        <f t="shared" si="175"/>
        <v>0</v>
      </c>
      <c r="AR485" s="1558">
        <f t="shared" si="175"/>
        <v>0</v>
      </c>
      <c r="AS485" s="1558">
        <f t="shared" si="175"/>
        <v>0</v>
      </c>
      <c r="AT485" s="1558">
        <f t="shared" si="175"/>
        <v>0</v>
      </c>
      <c r="AU485" s="1558">
        <f t="shared" si="175"/>
        <v>0</v>
      </c>
      <c r="AV485" s="1558">
        <f t="shared" si="175"/>
        <v>0</v>
      </c>
      <c r="AW485" s="1558">
        <f t="shared" si="175"/>
        <v>0</v>
      </c>
      <c r="AX485" s="1558">
        <f t="shared" si="175"/>
        <v>0</v>
      </c>
      <c r="AY485" s="1558">
        <f t="shared" si="175"/>
        <v>0</v>
      </c>
      <c r="AZ485" s="1558">
        <f t="shared" si="175"/>
        <v>0</v>
      </c>
      <c r="BA485" s="1558">
        <f t="shared" si="175"/>
        <v>0</v>
      </c>
      <c r="BB485" s="1558">
        <f t="shared" si="175"/>
        <v>0</v>
      </c>
      <c r="BC485" s="1558">
        <f t="shared" si="175"/>
        <v>0</v>
      </c>
      <c r="BD485" s="1558">
        <f t="shared" si="175"/>
        <v>0</v>
      </c>
      <c r="BE485" s="1559">
        <f t="shared" si="175"/>
        <v>0</v>
      </c>
      <c r="BF485" s="1548"/>
    </row>
    <row r="486" spans="1:58" x14ac:dyDescent="0.45">
      <c r="A486" s="695"/>
      <c r="B486" s="888"/>
      <c r="C486" s="889"/>
      <c r="D486" s="889"/>
      <c r="E486" s="889"/>
      <c r="F486" s="889"/>
      <c r="G486" s="1558"/>
      <c r="H486" s="1558"/>
      <c r="I486" s="1558"/>
      <c r="J486" s="1558"/>
      <c r="K486" s="1558"/>
      <c r="L486" s="1558"/>
      <c r="M486" s="1558"/>
      <c r="N486" s="1558"/>
      <c r="O486" s="1558"/>
      <c r="P486" s="1558"/>
      <c r="Q486" s="1558"/>
      <c r="R486" s="1558"/>
      <c r="S486" s="1558"/>
      <c r="T486" s="1558"/>
      <c r="U486" s="1558"/>
      <c r="V486" s="1558"/>
      <c r="W486" s="1558"/>
      <c r="X486" s="1558"/>
      <c r="Y486" s="1558"/>
      <c r="Z486" s="1558"/>
      <c r="AA486" s="1558"/>
      <c r="AB486" s="1558"/>
      <c r="AC486" s="1558"/>
      <c r="AD486" s="1558"/>
      <c r="AE486" s="1558"/>
      <c r="AF486" s="1558"/>
      <c r="AG486" s="1558"/>
      <c r="AH486" s="1558"/>
      <c r="AI486" s="1558"/>
      <c r="AJ486" s="1558"/>
      <c r="AK486" s="1558"/>
      <c r="AL486" s="1558"/>
      <c r="AM486" s="1558"/>
      <c r="AN486" s="1558"/>
      <c r="AO486" s="1558"/>
      <c r="AP486" s="1558"/>
      <c r="AQ486" s="1558"/>
      <c r="AR486" s="1558"/>
      <c r="AS486" s="1558"/>
      <c r="AT486" s="1558"/>
      <c r="AU486" s="1558"/>
      <c r="AV486" s="1558"/>
      <c r="AW486" s="1558"/>
      <c r="AX486" s="1558"/>
      <c r="AY486" s="1558"/>
      <c r="AZ486" s="1558"/>
      <c r="BA486" s="1558"/>
      <c r="BB486" s="1558"/>
      <c r="BC486" s="1558"/>
      <c r="BD486" s="1558"/>
      <c r="BE486" s="1559"/>
      <c r="BF486" s="1548"/>
    </row>
    <row r="487" spans="1:58" x14ac:dyDescent="0.45">
      <c r="A487" s="695"/>
      <c r="B487" s="888"/>
      <c r="C487" s="1033" t="s">
        <v>64</v>
      </c>
      <c r="D487" s="889"/>
      <c r="E487" s="889"/>
      <c r="F487" s="889"/>
      <c r="G487" s="1558"/>
      <c r="H487" s="1558"/>
      <c r="I487" s="1558"/>
      <c r="J487" s="1558"/>
      <c r="K487" s="1558"/>
      <c r="L487" s="1558"/>
      <c r="M487" s="1558"/>
      <c r="N487" s="1558"/>
      <c r="O487" s="1558"/>
      <c r="P487" s="1558"/>
      <c r="Q487" s="1558"/>
      <c r="R487" s="1558"/>
      <c r="S487" s="1558"/>
      <c r="T487" s="1558"/>
      <c r="U487" s="1558"/>
      <c r="V487" s="1558"/>
      <c r="W487" s="1558"/>
      <c r="X487" s="1558"/>
      <c r="Y487" s="1558"/>
      <c r="Z487" s="1558"/>
      <c r="AA487" s="1558"/>
      <c r="AB487" s="1558"/>
      <c r="AC487" s="1558"/>
      <c r="AD487" s="1558"/>
      <c r="AE487" s="1558"/>
      <c r="AF487" s="1558"/>
      <c r="AG487" s="1558"/>
      <c r="AH487" s="1558"/>
      <c r="AI487" s="1558"/>
      <c r="AJ487" s="1558"/>
      <c r="AK487" s="1558"/>
      <c r="AL487" s="1558"/>
      <c r="AM487" s="1558"/>
      <c r="AN487" s="1558"/>
      <c r="AO487" s="1558"/>
      <c r="AP487" s="1558"/>
      <c r="AQ487" s="1558"/>
      <c r="AR487" s="1558"/>
      <c r="AS487" s="1558"/>
      <c r="AT487" s="1558"/>
      <c r="AU487" s="1558"/>
      <c r="AV487" s="1558"/>
      <c r="AW487" s="1558"/>
      <c r="AX487" s="1558"/>
      <c r="AY487" s="1558"/>
      <c r="AZ487" s="1558"/>
      <c r="BA487" s="1558"/>
      <c r="BB487" s="1558"/>
      <c r="BC487" s="1558"/>
      <c r="BD487" s="1558"/>
      <c r="BE487" s="1559"/>
      <c r="BF487" s="1548"/>
    </row>
    <row r="488" spans="1:58" x14ac:dyDescent="0.45">
      <c r="A488" s="695"/>
      <c r="B488" s="888"/>
      <c r="C488" s="889" t="s">
        <v>202</v>
      </c>
      <c r="D488" s="889"/>
      <c r="E488" s="889"/>
      <c r="F488" s="889"/>
      <c r="G488" s="1558"/>
      <c r="H488" s="1558">
        <f>IF($G470&gt;0, $G470*'II. Inputs, Baseline Energy Mix'!$P$82/10000,0)</f>
        <v>0</v>
      </c>
      <c r="I488" s="1558">
        <v>0</v>
      </c>
      <c r="J488" s="1558">
        <v>0</v>
      </c>
      <c r="K488" s="1558">
        <v>0</v>
      </c>
      <c r="L488" s="1558">
        <v>0</v>
      </c>
      <c r="M488" s="1558">
        <v>0</v>
      </c>
      <c r="N488" s="1558">
        <v>0</v>
      </c>
      <c r="O488" s="1558">
        <v>0</v>
      </c>
      <c r="P488" s="1558">
        <v>0</v>
      </c>
      <c r="Q488" s="1558">
        <v>0</v>
      </c>
      <c r="R488" s="1558">
        <v>0</v>
      </c>
      <c r="S488" s="1558">
        <v>0</v>
      </c>
      <c r="T488" s="1558">
        <v>0</v>
      </c>
      <c r="U488" s="1558">
        <v>0</v>
      </c>
      <c r="V488" s="1558">
        <v>0</v>
      </c>
      <c r="W488" s="1558">
        <v>0</v>
      </c>
      <c r="X488" s="1558">
        <v>0</v>
      </c>
      <c r="Y488" s="1558">
        <v>0</v>
      </c>
      <c r="Z488" s="1558">
        <v>0</v>
      </c>
      <c r="AA488" s="1558">
        <v>0</v>
      </c>
      <c r="AB488" s="1558">
        <v>0</v>
      </c>
      <c r="AC488" s="1558">
        <v>0</v>
      </c>
      <c r="AD488" s="1558">
        <v>0</v>
      </c>
      <c r="AE488" s="1558">
        <v>0</v>
      </c>
      <c r="AF488" s="1558">
        <v>0</v>
      </c>
      <c r="AG488" s="1558">
        <v>0</v>
      </c>
      <c r="AH488" s="1558">
        <v>0</v>
      </c>
      <c r="AI488" s="1558">
        <v>0</v>
      </c>
      <c r="AJ488" s="1558">
        <v>0</v>
      </c>
      <c r="AK488" s="1558">
        <v>0</v>
      </c>
      <c r="AL488" s="1558">
        <v>0</v>
      </c>
      <c r="AM488" s="1558">
        <v>0</v>
      </c>
      <c r="AN488" s="1558">
        <v>0</v>
      </c>
      <c r="AO488" s="1558">
        <v>0</v>
      </c>
      <c r="AP488" s="1558">
        <v>0</v>
      </c>
      <c r="AQ488" s="1558">
        <v>0</v>
      </c>
      <c r="AR488" s="1558">
        <v>0</v>
      </c>
      <c r="AS488" s="1558">
        <v>0</v>
      </c>
      <c r="AT488" s="1558">
        <v>0</v>
      </c>
      <c r="AU488" s="1558">
        <v>0</v>
      </c>
      <c r="AV488" s="1558">
        <v>0</v>
      </c>
      <c r="AW488" s="1558">
        <v>0</v>
      </c>
      <c r="AX488" s="1558">
        <v>0</v>
      </c>
      <c r="AY488" s="1558">
        <v>0</v>
      </c>
      <c r="AZ488" s="1558">
        <v>0</v>
      </c>
      <c r="BA488" s="1558">
        <v>0</v>
      </c>
      <c r="BB488" s="1558">
        <v>0</v>
      </c>
      <c r="BC488" s="1558">
        <v>0</v>
      </c>
      <c r="BD488" s="1558">
        <v>0</v>
      </c>
      <c r="BE488" s="1559">
        <v>0</v>
      </c>
      <c r="BF488" s="1548"/>
    </row>
    <row r="489" spans="1:58" x14ac:dyDescent="0.45">
      <c r="A489" s="695"/>
      <c r="B489" s="888"/>
      <c r="C489" s="889" t="str">
        <f>'II. Inputs, Baseline Energy Mix'!$E$85</f>
        <v>Front-end Fee, Public Guarantee</v>
      </c>
      <c r="D489" s="889"/>
      <c r="E489" s="889"/>
      <c r="F489" s="889"/>
      <c r="G489" s="1558"/>
      <c r="H489" s="1558">
        <f>IF($G470&gt;0, $G470*$G473*'II. Inputs, Baseline Energy Mix'!$P$85/10000,0)</f>
        <v>0</v>
      </c>
      <c r="I489" s="1558">
        <v>0</v>
      </c>
      <c r="J489" s="1558">
        <v>0</v>
      </c>
      <c r="K489" s="1558">
        <v>0</v>
      </c>
      <c r="L489" s="1558">
        <v>0</v>
      </c>
      <c r="M489" s="1558">
        <v>0</v>
      </c>
      <c r="N489" s="1558">
        <v>0</v>
      </c>
      <c r="O489" s="1558">
        <v>0</v>
      </c>
      <c r="P489" s="1558">
        <v>0</v>
      </c>
      <c r="Q489" s="1558">
        <v>0</v>
      </c>
      <c r="R489" s="1558">
        <v>0</v>
      </c>
      <c r="S489" s="1558">
        <v>0</v>
      </c>
      <c r="T489" s="1558">
        <v>0</v>
      </c>
      <c r="U489" s="1558">
        <v>0</v>
      </c>
      <c r="V489" s="1558">
        <v>0</v>
      </c>
      <c r="W489" s="1558">
        <v>0</v>
      </c>
      <c r="X489" s="1558">
        <v>0</v>
      </c>
      <c r="Y489" s="1558">
        <v>0</v>
      </c>
      <c r="Z489" s="1558">
        <v>0</v>
      </c>
      <c r="AA489" s="1558">
        <v>0</v>
      </c>
      <c r="AB489" s="1558">
        <v>0</v>
      </c>
      <c r="AC489" s="1558">
        <v>0</v>
      </c>
      <c r="AD489" s="1558">
        <v>0</v>
      </c>
      <c r="AE489" s="1558">
        <v>0</v>
      </c>
      <c r="AF489" s="1558">
        <v>0</v>
      </c>
      <c r="AG489" s="1558">
        <v>0</v>
      </c>
      <c r="AH489" s="1558">
        <v>0</v>
      </c>
      <c r="AI489" s="1558">
        <v>0</v>
      </c>
      <c r="AJ489" s="1558">
        <v>0</v>
      </c>
      <c r="AK489" s="1558">
        <v>0</v>
      </c>
      <c r="AL489" s="1558">
        <v>0</v>
      </c>
      <c r="AM489" s="1558">
        <v>0</v>
      </c>
      <c r="AN489" s="1558">
        <v>0</v>
      </c>
      <c r="AO489" s="1558">
        <v>0</v>
      </c>
      <c r="AP489" s="1558">
        <v>0</v>
      </c>
      <c r="AQ489" s="1558">
        <v>0</v>
      </c>
      <c r="AR489" s="1558">
        <v>0</v>
      </c>
      <c r="AS489" s="1558">
        <v>0</v>
      </c>
      <c r="AT489" s="1558">
        <v>0</v>
      </c>
      <c r="AU489" s="1558">
        <v>0</v>
      </c>
      <c r="AV489" s="1558">
        <v>0</v>
      </c>
      <c r="AW489" s="1558">
        <v>0</v>
      </c>
      <c r="AX489" s="1558">
        <v>0</v>
      </c>
      <c r="AY489" s="1558">
        <v>0</v>
      </c>
      <c r="AZ489" s="1558">
        <v>0</v>
      </c>
      <c r="BA489" s="1558">
        <v>0</v>
      </c>
      <c r="BB489" s="1558">
        <v>0</v>
      </c>
      <c r="BC489" s="1558">
        <v>0</v>
      </c>
      <c r="BD489" s="1558">
        <v>0</v>
      </c>
      <c r="BE489" s="1559">
        <v>0</v>
      </c>
      <c r="BF489" s="1548"/>
    </row>
    <row r="490" spans="1:58" x14ac:dyDescent="0.45">
      <c r="A490" s="695"/>
      <c r="B490" s="888"/>
      <c r="C490" s="889" t="str">
        <f>'II. Inputs, Baseline Energy Mix'!$E$86</f>
        <v xml:space="preserve">Annual Public Guarantee Fee </v>
      </c>
      <c r="D490" s="889"/>
      <c r="E490" s="889"/>
      <c r="F490" s="889"/>
      <c r="G490" s="1558"/>
      <c r="H490" s="1558">
        <f>IF(H$292&gt;$G474,0,((H482+H485)/2)*$G473*'II. Inputs, Baseline Energy Mix'!$P$86/10000)</f>
        <v>0</v>
      </c>
      <c r="I490" s="1558">
        <f>IF(I$292&gt;$G474,0,((I482+I485)/2)*$G473*'II. Inputs, Baseline Energy Mix'!$P$86/10000)</f>
        <v>0</v>
      </c>
      <c r="J490" s="1558">
        <f>IF(J$292&gt;$G474,0,((J482+J485)/2)*$G473*'II. Inputs, Baseline Energy Mix'!$P$86/10000)</f>
        <v>0</v>
      </c>
      <c r="K490" s="1558">
        <f>IF(K$292&gt;$G474,0,((K482+K485)/2)*$G473*'II. Inputs, Baseline Energy Mix'!$P$86/10000)</f>
        <v>0</v>
      </c>
      <c r="L490" s="1558">
        <f>IF(L$292&gt;$G474,0,((L482+L485)/2)*$G473*'II. Inputs, Baseline Energy Mix'!$P$86/10000)</f>
        <v>0</v>
      </c>
      <c r="M490" s="1558">
        <f>IF(M$292&gt;$G474,0,((M482+M485)/2)*$G473*'II. Inputs, Baseline Energy Mix'!$P$86/10000)</f>
        <v>0</v>
      </c>
      <c r="N490" s="1558">
        <f>IF(N$292&gt;$G474,0,((N482+N485)/2)*$G473*'II. Inputs, Baseline Energy Mix'!$P$86/10000)</f>
        <v>0</v>
      </c>
      <c r="O490" s="1558">
        <f>IF(O$292&gt;$G474,0,((O482+O485)/2)*$G473*'II. Inputs, Baseline Energy Mix'!$P$86/10000)</f>
        <v>0</v>
      </c>
      <c r="P490" s="1558">
        <f>IF(P$292&gt;$G474,0,((P482+P485)/2)*$G473*'II. Inputs, Baseline Energy Mix'!$P$86/10000)</f>
        <v>0</v>
      </c>
      <c r="Q490" s="1558">
        <f>IF(Q$292&gt;$G474,0,((Q482+Q485)/2)*$G473*'II. Inputs, Baseline Energy Mix'!$P$86/10000)</f>
        <v>0</v>
      </c>
      <c r="R490" s="1558">
        <f>IF(R$292&gt;$G474,0,((R482+R485)/2)*$G473*'II. Inputs, Baseline Energy Mix'!$P$86/10000)</f>
        <v>0</v>
      </c>
      <c r="S490" s="1558">
        <f>IF(S$292&gt;$G474,0,((S482+S485)/2)*$G473*'II. Inputs, Baseline Energy Mix'!$P$86/10000)</f>
        <v>0</v>
      </c>
      <c r="T490" s="1558">
        <f>IF(T$292&gt;$G474,0,((T482+T485)/2)*$G473*'II. Inputs, Baseline Energy Mix'!$P$86/10000)</f>
        <v>0</v>
      </c>
      <c r="U490" s="1558">
        <f>IF(U$292&gt;$G474,0,((U482+U485)/2)*$G473*'II. Inputs, Baseline Energy Mix'!$P$86/10000)</f>
        <v>0</v>
      </c>
      <c r="V490" s="1558">
        <f>IF(V$292&gt;$G474,0,((V482+V485)/2)*$G473*'II. Inputs, Baseline Energy Mix'!$P$86/10000)</f>
        <v>0</v>
      </c>
      <c r="W490" s="1558">
        <f>IF(W$292&gt;$G474,0,((W482+W485)/2)*$G473*'II. Inputs, Baseline Energy Mix'!$P$86/10000)</f>
        <v>0</v>
      </c>
      <c r="X490" s="1558">
        <f>IF(X$292&gt;$G474,0,((X482+X485)/2)*$G473*'II. Inputs, Baseline Energy Mix'!$P$86/10000)</f>
        <v>0</v>
      </c>
      <c r="Y490" s="1558">
        <f>IF(Y$292&gt;$G474,0,((Y482+Y485)/2)*$G473*'II. Inputs, Baseline Energy Mix'!$P$86/10000)</f>
        <v>0</v>
      </c>
      <c r="Z490" s="1558">
        <f>IF(Z$292&gt;$G474,0,((Z482+Z485)/2)*$G473*'II. Inputs, Baseline Energy Mix'!$P$86/10000)</f>
        <v>0</v>
      </c>
      <c r="AA490" s="1558">
        <f>IF(AA$292&gt;$G474,0,((AA482+AA485)/2)*$G473*'II. Inputs, Baseline Energy Mix'!$P$86/10000)</f>
        <v>0</v>
      </c>
      <c r="AB490" s="1558">
        <f>IF(AB$292&gt;$G474,0,((AB482+AB485)/2)*$G473*'II. Inputs, Baseline Energy Mix'!$P$86/10000)</f>
        <v>0</v>
      </c>
      <c r="AC490" s="1558">
        <f>IF(AC$292&gt;$G474,0,((AC482+AC485)/2)*$G473*'II. Inputs, Baseline Energy Mix'!$P$86/10000)</f>
        <v>0</v>
      </c>
      <c r="AD490" s="1558">
        <f>IF(AD$292&gt;$G474,0,((AD482+AD485)/2)*$G473*'II. Inputs, Baseline Energy Mix'!$P$86/10000)</f>
        <v>0</v>
      </c>
      <c r="AE490" s="1558">
        <f>IF(AE$292&gt;$G474,0,((AE482+AE485)/2)*$G473*'II. Inputs, Baseline Energy Mix'!$P$86/10000)</f>
        <v>0</v>
      </c>
      <c r="AF490" s="1558">
        <f>IF(AF$292&gt;$G474,0,((AF482+AF485)/2)*$G473*'II. Inputs, Baseline Energy Mix'!$P$86/10000)</f>
        <v>0</v>
      </c>
      <c r="AG490" s="1558">
        <f>IF(AG$292&gt;$G474,0,((AG482+AG485)/2)*$G473*'II. Inputs, Baseline Energy Mix'!$P$86/10000)</f>
        <v>0</v>
      </c>
      <c r="AH490" s="1558">
        <f>IF(AH$292&gt;$G474,0,((AH482+AH485)/2)*$G473*'II. Inputs, Baseline Energy Mix'!$P$86/10000)</f>
        <v>0</v>
      </c>
      <c r="AI490" s="1558">
        <f>IF(AI$292&gt;$G474,0,((AI482+AI485)/2)*$G473*'II. Inputs, Baseline Energy Mix'!$P$86/10000)</f>
        <v>0</v>
      </c>
      <c r="AJ490" s="1558">
        <f>IF(AJ$292&gt;$G474,0,((AJ482+AJ485)/2)*$G473*'II. Inputs, Baseline Energy Mix'!$P$86/10000)</f>
        <v>0</v>
      </c>
      <c r="AK490" s="1558">
        <f>IF(AK$292&gt;$G474,0,((AK482+AK485)/2)*$G473*'II. Inputs, Baseline Energy Mix'!$P$86/10000)</f>
        <v>0</v>
      </c>
      <c r="AL490" s="1558">
        <f>IF(AL$292&gt;$G474,0,((AL482+AL485)/2)*$G473*'II. Inputs, Baseline Energy Mix'!$P$86/10000)</f>
        <v>0</v>
      </c>
      <c r="AM490" s="1558">
        <f>IF(AM$292&gt;$G474,0,((AM482+AM485)/2)*$G473*'II. Inputs, Baseline Energy Mix'!$P$86/10000)</f>
        <v>0</v>
      </c>
      <c r="AN490" s="1558">
        <f>IF(AN$292&gt;$G474,0,((AN482+AN485)/2)*$G473*'II. Inputs, Baseline Energy Mix'!$P$86/10000)</f>
        <v>0</v>
      </c>
      <c r="AO490" s="1558">
        <f>IF(AO$292&gt;$G474,0,((AO482+AO485)/2)*$G473*'II. Inputs, Baseline Energy Mix'!$P$86/10000)</f>
        <v>0</v>
      </c>
      <c r="AP490" s="1558">
        <f>IF(AP$292&gt;$G474,0,((AP482+AP485)/2)*$G473*'II. Inputs, Baseline Energy Mix'!$P$86/10000)</f>
        <v>0</v>
      </c>
      <c r="AQ490" s="1558">
        <f>IF(AQ$292&gt;$G474,0,((AQ482+AQ485)/2)*$G473*'II. Inputs, Baseline Energy Mix'!$P$86/10000)</f>
        <v>0</v>
      </c>
      <c r="AR490" s="1558">
        <f>IF(AR$292&gt;$G474,0,((AR482+AR485)/2)*$G473*'II. Inputs, Baseline Energy Mix'!$P$86/10000)</f>
        <v>0</v>
      </c>
      <c r="AS490" s="1558">
        <f>IF(AS$292&gt;$G474,0,((AS482+AS485)/2)*$G473*'II. Inputs, Baseline Energy Mix'!$P$86/10000)</f>
        <v>0</v>
      </c>
      <c r="AT490" s="1558">
        <f>IF(AT$292&gt;$G474,0,((AT482+AT485)/2)*$G473*'II. Inputs, Baseline Energy Mix'!$P$86/10000)</f>
        <v>0</v>
      </c>
      <c r="AU490" s="1558">
        <f>IF(AU$292&gt;$G474,0,((AU482+AU485)/2)*$G473*'II. Inputs, Baseline Energy Mix'!$P$86/10000)</f>
        <v>0</v>
      </c>
      <c r="AV490" s="1558">
        <f>IF(AV$292&gt;$G474,0,((AV482+AV485)/2)*$G473*'II. Inputs, Baseline Energy Mix'!$P$86/10000)</f>
        <v>0</v>
      </c>
      <c r="AW490" s="1558">
        <f>IF(AW$292&gt;$G474,0,((AW482+AW485)/2)*$G473*'II. Inputs, Baseline Energy Mix'!$P$86/10000)</f>
        <v>0</v>
      </c>
      <c r="AX490" s="1558">
        <f>IF(AX$292&gt;$G474,0,((AX482+AX485)/2)*$G473*'II. Inputs, Baseline Energy Mix'!$P$86/10000)</f>
        <v>0</v>
      </c>
      <c r="AY490" s="1558">
        <f>IF(AY$292&gt;$G474,0,((AY482+AY485)/2)*$G473*'II. Inputs, Baseline Energy Mix'!$P$86/10000)</f>
        <v>0</v>
      </c>
      <c r="AZ490" s="1558">
        <f>IF(AZ$292&gt;$G474,0,((AZ482+AZ485)/2)*$G473*'II. Inputs, Baseline Energy Mix'!$P$86/10000)</f>
        <v>0</v>
      </c>
      <c r="BA490" s="1558">
        <f>IF(BA$292&gt;$G474,0,((BA482+BA485)/2)*$G473*'II. Inputs, Baseline Energy Mix'!$P$86/10000)</f>
        <v>0</v>
      </c>
      <c r="BB490" s="1558">
        <f>IF(BB$292&gt;$G474,0,((BB482+BB485)/2)*$G473*'II. Inputs, Baseline Energy Mix'!$P$86/10000)</f>
        <v>0</v>
      </c>
      <c r="BC490" s="1558">
        <f>IF(BC$292&gt;$G474,0,((BC482+BC485)/2)*$G473*'II. Inputs, Baseline Energy Mix'!$P$86/10000)</f>
        <v>0</v>
      </c>
      <c r="BD490" s="1558">
        <f>IF(BD$292&gt;$G474,0,((BD482+BD485)/2)*$G473*'II. Inputs, Baseline Energy Mix'!$P$86/10000)</f>
        <v>0</v>
      </c>
      <c r="BE490" s="1559">
        <f>IF(BE$292&gt;$G474,0,((BE482+BE485)/2)*$G473*'II. Inputs, Baseline Energy Mix'!$P$86/10000)</f>
        <v>0</v>
      </c>
      <c r="BF490" s="1548"/>
    </row>
    <row r="491" spans="1:58" x14ac:dyDescent="0.45">
      <c r="A491" s="695"/>
      <c r="B491" s="888"/>
      <c r="C491" s="889"/>
      <c r="D491" s="889"/>
      <c r="E491" s="889"/>
      <c r="F491" s="889"/>
      <c r="G491" s="889"/>
      <c r="H491" s="889"/>
      <c r="I491" s="889"/>
      <c r="J491" s="889"/>
      <c r="K491" s="889"/>
      <c r="L491" s="889"/>
      <c r="M491" s="889"/>
      <c r="N491" s="889"/>
      <c r="O491" s="889"/>
      <c r="P491" s="889"/>
      <c r="Q491" s="889"/>
      <c r="R491" s="889"/>
      <c r="S491" s="889"/>
      <c r="T491" s="889"/>
      <c r="U491" s="889"/>
      <c r="V491" s="889"/>
      <c r="W491" s="889"/>
      <c r="X491" s="889"/>
      <c r="Y491" s="889"/>
      <c r="Z491" s="889"/>
      <c r="AA491" s="889"/>
      <c r="AB491" s="889"/>
      <c r="AC491" s="889"/>
      <c r="AD491" s="889"/>
      <c r="AE491" s="889"/>
      <c r="AF491" s="889"/>
      <c r="AG491" s="889"/>
      <c r="AH491" s="889"/>
      <c r="AI491" s="889"/>
      <c r="AJ491" s="889"/>
      <c r="AK491" s="889"/>
      <c r="AL491" s="889"/>
      <c r="AM491" s="889"/>
      <c r="AN491" s="889"/>
      <c r="AO491" s="889"/>
      <c r="AP491" s="889"/>
      <c r="AQ491" s="889"/>
      <c r="AR491" s="889"/>
      <c r="AS491" s="889"/>
      <c r="AT491" s="889"/>
      <c r="AU491" s="889"/>
      <c r="AV491" s="889"/>
      <c r="AW491" s="889"/>
      <c r="AX491" s="889"/>
      <c r="AY491" s="889"/>
      <c r="AZ491" s="889"/>
      <c r="BA491" s="889"/>
      <c r="BB491" s="889"/>
      <c r="BC491" s="889"/>
      <c r="BD491" s="889"/>
      <c r="BE491" s="890"/>
      <c r="BF491" s="695"/>
    </row>
    <row r="492" spans="1:58" ht="13.15" x14ac:dyDescent="0.45">
      <c r="A492" s="695"/>
      <c r="B492" s="903" t="s">
        <v>152</v>
      </c>
      <c r="C492" s="889"/>
      <c r="D492" s="889"/>
      <c r="E492" s="889"/>
      <c r="F492" s="889"/>
      <c r="G492" s="889"/>
      <c r="H492" s="889"/>
      <c r="I492" s="889"/>
      <c r="J492" s="889"/>
      <c r="K492" s="889"/>
      <c r="L492" s="889"/>
      <c r="M492" s="889"/>
      <c r="N492" s="889"/>
      <c r="O492" s="889"/>
      <c r="P492" s="889"/>
      <c r="Q492" s="889"/>
      <c r="R492" s="889"/>
      <c r="S492" s="889"/>
      <c r="T492" s="889"/>
      <c r="U492" s="889"/>
      <c r="V492" s="889"/>
      <c r="W492" s="889"/>
      <c r="X492" s="889"/>
      <c r="Y492" s="889"/>
      <c r="Z492" s="889"/>
      <c r="AA492" s="889"/>
      <c r="AB492" s="889"/>
      <c r="AC492" s="889"/>
      <c r="AD492" s="889"/>
      <c r="AE492" s="889"/>
      <c r="AF492" s="889"/>
      <c r="AG492" s="889"/>
      <c r="AH492" s="889"/>
      <c r="AI492" s="889"/>
      <c r="AJ492" s="889"/>
      <c r="AK492" s="889"/>
      <c r="AL492" s="889"/>
      <c r="AM492" s="889"/>
      <c r="AN492" s="889"/>
      <c r="AO492" s="889"/>
      <c r="AP492" s="889"/>
      <c r="AQ492" s="889"/>
      <c r="AR492" s="889"/>
      <c r="AS492" s="889"/>
      <c r="AT492" s="889"/>
      <c r="AU492" s="889"/>
      <c r="AV492" s="889"/>
      <c r="AW492" s="889"/>
      <c r="AX492" s="889"/>
      <c r="AY492" s="889"/>
      <c r="AZ492" s="889"/>
      <c r="BA492" s="889"/>
      <c r="BB492" s="889"/>
      <c r="BC492" s="889"/>
      <c r="BD492" s="889"/>
      <c r="BE492" s="890"/>
      <c r="BF492" s="695"/>
    </row>
    <row r="493" spans="1:58" x14ac:dyDescent="0.45">
      <c r="A493" s="695"/>
      <c r="B493" s="888"/>
      <c r="C493" s="1030" t="s">
        <v>61</v>
      </c>
      <c r="D493" s="889"/>
      <c r="E493" s="889"/>
      <c r="F493" s="889"/>
      <c r="G493" s="1558">
        <f>IF('II. Inputs, Baseline Energy Mix'!$P$19&gt;0,('II. Inputs, Baseline Energy Mix'!$P$20*'II. Inputs, Baseline Energy Mix'!$P$21*'II. Inputs, Baseline Energy Mix'!$P$36*'II. Inputs, Baseline Energy Mix'!$P$40),0)</f>
        <v>0</v>
      </c>
      <c r="H493" s="889"/>
      <c r="I493" s="889"/>
      <c r="J493" s="889"/>
      <c r="K493" s="889"/>
      <c r="L493" s="889"/>
      <c r="M493" s="889"/>
      <c r="N493" s="889"/>
      <c r="O493" s="889"/>
      <c r="P493" s="889"/>
      <c r="Q493" s="889"/>
      <c r="R493" s="889"/>
      <c r="S493" s="889"/>
      <c r="T493" s="889"/>
      <c r="U493" s="889"/>
      <c r="V493" s="889"/>
      <c r="W493" s="889"/>
      <c r="X493" s="889"/>
      <c r="Y493" s="889"/>
      <c r="Z493" s="889"/>
      <c r="AA493" s="889"/>
      <c r="AB493" s="889"/>
      <c r="AC493" s="889"/>
      <c r="AD493" s="889"/>
      <c r="AE493" s="889"/>
      <c r="AF493" s="889"/>
      <c r="AG493" s="889"/>
      <c r="AH493" s="889"/>
      <c r="AI493" s="889"/>
      <c r="AJ493" s="889"/>
      <c r="AK493" s="889"/>
      <c r="AL493" s="889"/>
      <c r="AM493" s="889"/>
      <c r="AN493" s="889"/>
      <c r="AO493" s="889"/>
      <c r="AP493" s="889"/>
      <c r="AQ493" s="889"/>
      <c r="AR493" s="889"/>
      <c r="AS493" s="889"/>
      <c r="AT493" s="889"/>
      <c r="AU493" s="889"/>
      <c r="AV493" s="889"/>
      <c r="AW493" s="889"/>
      <c r="AX493" s="889"/>
      <c r="AY493" s="889"/>
      <c r="AZ493" s="889"/>
      <c r="BA493" s="889"/>
      <c r="BB493" s="889"/>
      <c r="BC493" s="889"/>
      <c r="BD493" s="889"/>
      <c r="BE493" s="890"/>
      <c r="BF493" s="695"/>
    </row>
    <row r="494" spans="1:58" x14ac:dyDescent="0.45">
      <c r="A494" s="695"/>
      <c r="B494" s="888"/>
      <c r="C494" s="1030" t="s">
        <v>62</v>
      </c>
      <c r="D494" s="889"/>
      <c r="E494" s="889"/>
      <c r="F494" s="889"/>
      <c r="G494" s="891">
        <f>SUM('II. Inputs, Baseline Energy Mix'!$P$52)</f>
        <v>0</v>
      </c>
      <c r="H494" s="889"/>
      <c r="I494" s="889"/>
      <c r="J494" s="889"/>
      <c r="K494" s="889"/>
      <c r="L494" s="889"/>
      <c r="M494" s="889"/>
      <c r="N494" s="889"/>
      <c r="O494" s="889"/>
      <c r="P494" s="889"/>
      <c r="Q494" s="889"/>
      <c r="R494" s="889"/>
      <c r="S494" s="889"/>
      <c r="T494" s="889"/>
      <c r="U494" s="889"/>
      <c r="V494" s="889"/>
      <c r="W494" s="889"/>
      <c r="X494" s="889"/>
      <c r="Y494" s="889"/>
      <c r="Z494" s="889"/>
      <c r="AA494" s="889"/>
      <c r="AB494" s="889"/>
      <c r="AC494" s="889"/>
      <c r="AD494" s="889"/>
      <c r="AE494" s="889"/>
      <c r="AF494" s="889"/>
      <c r="AG494" s="889"/>
      <c r="AH494" s="889"/>
      <c r="AI494" s="889"/>
      <c r="AJ494" s="889"/>
      <c r="AK494" s="889"/>
      <c r="AL494" s="889"/>
      <c r="AM494" s="889"/>
      <c r="AN494" s="889"/>
      <c r="AO494" s="889"/>
      <c r="AP494" s="889"/>
      <c r="AQ494" s="889"/>
      <c r="AR494" s="889"/>
      <c r="AS494" s="889"/>
      <c r="AT494" s="889"/>
      <c r="AU494" s="889"/>
      <c r="AV494" s="889"/>
      <c r="AW494" s="889"/>
      <c r="AX494" s="889"/>
      <c r="AY494" s="889"/>
      <c r="AZ494" s="889"/>
      <c r="BA494" s="889"/>
      <c r="BB494" s="889"/>
      <c r="BC494" s="889"/>
      <c r="BD494" s="889"/>
      <c r="BE494" s="890"/>
      <c r="BF494" s="695"/>
    </row>
    <row r="495" spans="1:58" x14ac:dyDescent="0.45">
      <c r="A495" s="695"/>
      <c r="B495" s="888"/>
      <c r="C495" s="1030" t="s">
        <v>63</v>
      </c>
      <c r="D495" s="889"/>
      <c r="E495" s="889"/>
      <c r="F495" s="889"/>
      <c r="G495" s="1035">
        <f>SUM('II. Inputs, Baseline Energy Mix'!$P$47)</f>
        <v>0</v>
      </c>
      <c r="H495" s="889"/>
      <c r="I495" s="889"/>
      <c r="J495" s="889"/>
      <c r="K495" s="889"/>
      <c r="L495" s="889"/>
      <c r="M495" s="889"/>
      <c r="N495" s="889"/>
      <c r="O495" s="889"/>
      <c r="P495" s="889"/>
      <c r="Q495" s="889"/>
      <c r="R495" s="889"/>
      <c r="S495" s="889"/>
      <c r="T495" s="889"/>
      <c r="U495" s="889"/>
      <c r="V495" s="889"/>
      <c r="W495" s="889"/>
      <c r="X495" s="889"/>
      <c r="Y495" s="889"/>
      <c r="Z495" s="889"/>
      <c r="AA495" s="889"/>
      <c r="AB495" s="889"/>
      <c r="AC495" s="889"/>
      <c r="AD495" s="889"/>
      <c r="AE495" s="889"/>
      <c r="AF495" s="889"/>
      <c r="AG495" s="889"/>
      <c r="AH495" s="889"/>
      <c r="AI495" s="889"/>
      <c r="AJ495" s="889"/>
      <c r="AK495" s="889"/>
      <c r="AL495" s="889"/>
      <c r="AM495" s="889"/>
      <c r="AN495" s="889"/>
      <c r="AO495" s="889"/>
      <c r="AP495" s="889"/>
      <c r="AQ495" s="889"/>
      <c r="AR495" s="889"/>
      <c r="AS495" s="889"/>
      <c r="AT495" s="889"/>
      <c r="AU495" s="889"/>
      <c r="AV495" s="889"/>
      <c r="AW495" s="889"/>
      <c r="AX495" s="889"/>
      <c r="AY495" s="889"/>
      <c r="AZ495" s="889"/>
      <c r="BA495" s="889"/>
      <c r="BB495" s="889"/>
      <c r="BC495" s="889"/>
      <c r="BD495" s="889"/>
      <c r="BE495" s="890"/>
      <c r="BF495" s="695"/>
    </row>
    <row r="496" spans="1:58" x14ac:dyDescent="0.45">
      <c r="A496" s="695"/>
      <c r="B496" s="888"/>
      <c r="C496" s="889"/>
      <c r="D496" s="889"/>
      <c r="E496" s="889"/>
      <c r="F496" s="889"/>
      <c r="G496" s="889"/>
      <c r="H496" s="889"/>
      <c r="I496" s="889"/>
      <c r="J496" s="889"/>
      <c r="K496" s="889"/>
      <c r="L496" s="889"/>
      <c r="M496" s="889"/>
      <c r="N496" s="889"/>
      <c r="O496" s="889"/>
      <c r="P496" s="889"/>
      <c r="Q496" s="889"/>
      <c r="R496" s="889"/>
      <c r="S496" s="889"/>
      <c r="T496" s="889"/>
      <c r="U496" s="889"/>
      <c r="V496" s="889"/>
      <c r="W496" s="889"/>
      <c r="X496" s="889"/>
      <c r="Y496" s="889"/>
      <c r="Z496" s="889"/>
      <c r="AA496" s="889"/>
      <c r="AB496" s="889"/>
      <c r="AC496" s="889"/>
      <c r="AD496" s="889"/>
      <c r="AE496" s="889"/>
      <c r="AF496" s="889"/>
      <c r="AG496" s="889"/>
      <c r="AH496" s="889"/>
      <c r="AI496" s="889"/>
      <c r="AJ496" s="889"/>
      <c r="AK496" s="889"/>
      <c r="AL496" s="889"/>
      <c r="AM496" s="889"/>
      <c r="AN496" s="889"/>
      <c r="AO496" s="889"/>
      <c r="AP496" s="889"/>
      <c r="AQ496" s="889"/>
      <c r="AR496" s="889"/>
      <c r="AS496" s="889"/>
      <c r="AT496" s="889"/>
      <c r="AU496" s="889"/>
      <c r="AV496" s="889"/>
      <c r="AW496" s="889"/>
      <c r="AX496" s="889"/>
      <c r="AY496" s="889"/>
      <c r="AZ496" s="889"/>
      <c r="BA496" s="889"/>
      <c r="BB496" s="889"/>
      <c r="BC496" s="889"/>
      <c r="BD496" s="889"/>
      <c r="BE496" s="890"/>
      <c r="BF496" s="695"/>
    </row>
    <row r="497" spans="1:58" x14ac:dyDescent="0.45">
      <c r="A497" s="695"/>
      <c r="B497" s="888"/>
      <c r="C497" s="1032" t="s">
        <v>60</v>
      </c>
      <c r="D497" s="889"/>
      <c r="E497" s="889"/>
      <c r="F497" s="889"/>
      <c r="G497" s="1558"/>
      <c r="H497" s="1558"/>
      <c r="I497" s="1558"/>
      <c r="J497" s="1558"/>
      <c r="K497" s="1558"/>
      <c r="L497" s="1558"/>
      <c r="M497" s="1558"/>
      <c r="N497" s="1558"/>
      <c r="O497" s="1558"/>
      <c r="P497" s="1558"/>
      <c r="Q497" s="1558"/>
      <c r="R497" s="1558"/>
      <c r="S497" s="1558"/>
      <c r="T497" s="1558"/>
      <c r="U497" s="1558"/>
      <c r="V497" s="1558"/>
      <c r="W497" s="1558"/>
      <c r="X497" s="1558"/>
      <c r="Y497" s="1558"/>
      <c r="Z497" s="1558"/>
      <c r="AA497" s="1558"/>
      <c r="AB497" s="1558"/>
      <c r="AC497" s="1558"/>
      <c r="AD497" s="1558"/>
      <c r="AE497" s="1558"/>
      <c r="AF497" s="1558"/>
      <c r="AG497" s="1558"/>
      <c r="AH497" s="1558"/>
      <c r="AI497" s="1558"/>
      <c r="AJ497" s="1558"/>
      <c r="AK497" s="1558"/>
      <c r="AL497" s="1558"/>
      <c r="AM497" s="1558"/>
      <c r="AN497" s="1558"/>
      <c r="AO497" s="1558"/>
      <c r="AP497" s="1558"/>
      <c r="AQ497" s="1558"/>
      <c r="AR497" s="1558"/>
      <c r="AS497" s="1558"/>
      <c r="AT497" s="1558"/>
      <c r="AU497" s="1558"/>
      <c r="AV497" s="1558"/>
      <c r="AW497" s="1558"/>
      <c r="AX497" s="1558"/>
      <c r="AY497" s="1558"/>
      <c r="AZ497" s="1558"/>
      <c r="BA497" s="1558"/>
      <c r="BB497" s="1558"/>
      <c r="BC497" s="1558"/>
      <c r="BD497" s="1558"/>
      <c r="BE497" s="1559"/>
      <c r="BF497" s="1548"/>
    </row>
    <row r="498" spans="1:58" x14ac:dyDescent="0.45">
      <c r="A498" s="695"/>
      <c r="B498" s="888"/>
      <c r="C498" s="889" t="s">
        <v>66</v>
      </c>
      <c r="D498" s="889"/>
      <c r="E498" s="889"/>
      <c r="F498" s="889"/>
      <c r="G498" s="1558"/>
      <c r="H498" s="1558">
        <f>IF(H$292&gt;$G494,0,IPMT($G495,H$292,$G494,-$G493))</f>
        <v>0</v>
      </c>
      <c r="I498" s="1558">
        <f t="shared" ref="I498:BE498" si="176">IF(I$292&gt;$G494,0,IPMT($G495,I$292,$G494,-$G493))</f>
        <v>0</v>
      </c>
      <c r="J498" s="1558">
        <f t="shared" si="176"/>
        <v>0</v>
      </c>
      <c r="K498" s="1558">
        <f t="shared" si="176"/>
        <v>0</v>
      </c>
      <c r="L498" s="1558">
        <f t="shared" si="176"/>
        <v>0</v>
      </c>
      <c r="M498" s="1558">
        <f t="shared" si="176"/>
        <v>0</v>
      </c>
      <c r="N498" s="1558">
        <f t="shared" si="176"/>
        <v>0</v>
      </c>
      <c r="O498" s="1558">
        <f t="shared" si="176"/>
        <v>0</v>
      </c>
      <c r="P498" s="1558">
        <f t="shared" si="176"/>
        <v>0</v>
      </c>
      <c r="Q498" s="1558">
        <f t="shared" si="176"/>
        <v>0</v>
      </c>
      <c r="R498" s="1558">
        <f t="shared" si="176"/>
        <v>0</v>
      </c>
      <c r="S498" s="1558">
        <f t="shared" si="176"/>
        <v>0</v>
      </c>
      <c r="T498" s="1558">
        <f t="shared" si="176"/>
        <v>0</v>
      </c>
      <c r="U498" s="1558">
        <f t="shared" si="176"/>
        <v>0</v>
      </c>
      <c r="V498" s="1558">
        <f t="shared" si="176"/>
        <v>0</v>
      </c>
      <c r="W498" s="1558">
        <f t="shared" si="176"/>
        <v>0</v>
      </c>
      <c r="X498" s="1558">
        <f t="shared" si="176"/>
        <v>0</v>
      </c>
      <c r="Y498" s="1558">
        <f t="shared" si="176"/>
        <v>0</v>
      </c>
      <c r="Z498" s="1558">
        <f t="shared" si="176"/>
        <v>0</v>
      </c>
      <c r="AA498" s="1558">
        <f t="shared" si="176"/>
        <v>0</v>
      </c>
      <c r="AB498" s="1558">
        <f t="shared" si="176"/>
        <v>0</v>
      </c>
      <c r="AC498" s="1558">
        <f t="shared" si="176"/>
        <v>0</v>
      </c>
      <c r="AD498" s="1558">
        <f t="shared" si="176"/>
        <v>0</v>
      </c>
      <c r="AE498" s="1558">
        <f t="shared" si="176"/>
        <v>0</v>
      </c>
      <c r="AF498" s="1558">
        <f t="shared" si="176"/>
        <v>0</v>
      </c>
      <c r="AG498" s="1558">
        <f t="shared" si="176"/>
        <v>0</v>
      </c>
      <c r="AH498" s="1558">
        <f t="shared" si="176"/>
        <v>0</v>
      </c>
      <c r="AI498" s="1558">
        <f t="shared" si="176"/>
        <v>0</v>
      </c>
      <c r="AJ498" s="1558">
        <f t="shared" si="176"/>
        <v>0</v>
      </c>
      <c r="AK498" s="1558">
        <f t="shared" si="176"/>
        <v>0</v>
      </c>
      <c r="AL498" s="1558">
        <f t="shared" si="176"/>
        <v>0</v>
      </c>
      <c r="AM498" s="1558">
        <f t="shared" si="176"/>
        <v>0</v>
      </c>
      <c r="AN498" s="1558">
        <f t="shared" si="176"/>
        <v>0</v>
      </c>
      <c r="AO498" s="1558">
        <f t="shared" si="176"/>
        <v>0</v>
      </c>
      <c r="AP498" s="1558">
        <f t="shared" si="176"/>
        <v>0</v>
      </c>
      <c r="AQ498" s="1558">
        <f t="shared" si="176"/>
        <v>0</v>
      </c>
      <c r="AR498" s="1558">
        <f t="shared" si="176"/>
        <v>0</v>
      </c>
      <c r="AS498" s="1558">
        <f t="shared" si="176"/>
        <v>0</v>
      </c>
      <c r="AT498" s="1558">
        <f t="shared" si="176"/>
        <v>0</v>
      </c>
      <c r="AU498" s="1558">
        <f t="shared" si="176"/>
        <v>0</v>
      </c>
      <c r="AV498" s="1558">
        <f t="shared" si="176"/>
        <v>0</v>
      </c>
      <c r="AW498" s="1558">
        <f t="shared" si="176"/>
        <v>0</v>
      </c>
      <c r="AX498" s="1558">
        <f t="shared" si="176"/>
        <v>0</v>
      </c>
      <c r="AY498" s="1558">
        <f t="shared" si="176"/>
        <v>0</v>
      </c>
      <c r="AZ498" s="1558">
        <f t="shared" si="176"/>
        <v>0</v>
      </c>
      <c r="BA498" s="1558">
        <f t="shared" si="176"/>
        <v>0</v>
      </c>
      <c r="BB498" s="1558">
        <f t="shared" si="176"/>
        <v>0</v>
      </c>
      <c r="BC498" s="1558">
        <f t="shared" si="176"/>
        <v>0</v>
      </c>
      <c r="BD498" s="1558">
        <f t="shared" si="176"/>
        <v>0</v>
      </c>
      <c r="BE498" s="1559">
        <f t="shared" si="176"/>
        <v>0</v>
      </c>
      <c r="BF498" s="1548"/>
    </row>
    <row r="499" spans="1:58" x14ac:dyDescent="0.45">
      <c r="A499" s="695"/>
      <c r="B499" s="888"/>
      <c r="C499" s="896" t="s">
        <v>65</v>
      </c>
      <c r="D499" s="896"/>
      <c r="E499" s="896"/>
      <c r="F499" s="896"/>
      <c r="G499" s="1560"/>
      <c r="H499" s="1560">
        <f>IF(H$292&gt;$G494,0,PPMT($G495,H$292,$G494,-$G493))</f>
        <v>0</v>
      </c>
      <c r="I499" s="1560">
        <f t="shared" ref="I499:BE499" si="177">IF(I$292&gt;$G494,0,PPMT($G495,I$292,$G494,-$G493))</f>
        <v>0</v>
      </c>
      <c r="J499" s="1560">
        <f t="shared" si="177"/>
        <v>0</v>
      </c>
      <c r="K499" s="1560">
        <f t="shared" si="177"/>
        <v>0</v>
      </c>
      <c r="L499" s="1560">
        <f t="shared" si="177"/>
        <v>0</v>
      </c>
      <c r="M499" s="1560">
        <f t="shared" si="177"/>
        <v>0</v>
      </c>
      <c r="N499" s="1560">
        <f t="shared" si="177"/>
        <v>0</v>
      </c>
      <c r="O499" s="1560">
        <f t="shared" si="177"/>
        <v>0</v>
      </c>
      <c r="P499" s="1560">
        <f t="shared" si="177"/>
        <v>0</v>
      </c>
      <c r="Q499" s="1560">
        <f t="shared" si="177"/>
        <v>0</v>
      </c>
      <c r="R499" s="1560">
        <f t="shared" si="177"/>
        <v>0</v>
      </c>
      <c r="S499" s="1560">
        <f t="shared" si="177"/>
        <v>0</v>
      </c>
      <c r="T499" s="1560">
        <f t="shared" si="177"/>
        <v>0</v>
      </c>
      <c r="U499" s="1560">
        <f t="shared" si="177"/>
        <v>0</v>
      </c>
      <c r="V499" s="1560">
        <f t="shared" si="177"/>
        <v>0</v>
      </c>
      <c r="W499" s="1560">
        <f t="shared" si="177"/>
        <v>0</v>
      </c>
      <c r="X499" s="1560">
        <f t="shared" si="177"/>
        <v>0</v>
      </c>
      <c r="Y499" s="1560">
        <f t="shared" si="177"/>
        <v>0</v>
      </c>
      <c r="Z499" s="1560">
        <f t="shared" si="177"/>
        <v>0</v>
      </c>
      <c r="AA499" s="1560">
        <f t="shared" si="177"/>
        <v>0</v>
      </c>
      <c r="AB499" s="1560">
        <f t="shared" si="177"/>
        <v>0</v>
      </c>
      <c r="AC499" s="1560">
        <f t="shared" si="177"/>
        <v>0</v>
      </c>
      <c r="AD499" s="1560">
        <f t="shared" si="177"/>
        <v>0</v>
      </c>
      <c r="AE499" s="1560">
        <f t="shared" si="177"/>
        <v>0</v>
      </c>
      <c r="AF499" s="1560">
        <f t="shared" si="177"/>
        <v>0</v>
      </c>
      <c r="AG499" s="1560">
        <f t="shared" si="177"/>
        <v>0</v>
      </c>
      <c r="AH499" s="1560">
        <f t="shared" si="177"/>
        <v>0</v>
      </c>
      <c r="AI499" s="1560">
        <f t="shared" si="177"/>
        <v>0</v>
      </c>
      <c r="AJ499" s="1560">
        <f t="shared" si="177"/>
        <v>0</v>
      </c>
      <c r="AK499" s="1560">
        <f t="shared" si="177"/>
        <v>0</v>
      </c>
      <c r="AL499" s="1560">
        <f t="shared" si="177"/>
        <v>0</v>
      </c>
      <c r="AM499" s="1560">
        <f t="shared" si="177"/>
        <v>0</v>
      </c>
      <c r="AN499" s="1560">
        <f t="shared" si="177"/>
        <v>0</v>
      </c>
      <c r="AO499" s="1560">
        <f t="shared" si="177"/>
        <v>0</v>
      </c>
      <c r="AP499" s="1560">
        <f t="shared" si="177"/>
        <v>0</v>
      </c>
      <c r="AQ499" s="1560">
        <f t="shared" si="177"/>
        <v>0</v>
      </c>
      <c r="AR499" s="1560">
        <f t="shared" si="177"/>
        <v>0</v>
      </c>
      <c r="AS499" s="1560">
        <f t="shared" si="177"/>
        <v>0</v>
      </c>
      <c r="AT499" s="1560">
        <f t="shared" si="177"/>
        <v>0</v>
      </c>
      <c r="AU499" s="1560">
        <f t="shared" si="177"/>
        <v>0</v>
      </c>
      <c r="AV499" s="1560">
        <f t="shared" si="177"/>
        <v>0</v>
      </c>
      <c r="AW499" s="1560">
        <f t="shared" si="177"/>
        <v>0</v>
      </c>
      <c r="AX499" s="1560">
        <f t="shared" si="177"/>
        <v>0</v>
      </c>
      <c r="AY499" s="1560">
        <f t="shared" si="177"/>
        <v>0</v>
      </c>
      <c r="AZ499" s="1560">
        <f t="shared" si="177"/>
        <v>0</v>
      </c>
      <c r="BA499" s="1560">
        <f t="shared" si="177"/>
        <v>0</v>
      </c>
      <c r="BB499" s="1560">
        <f t="shared" si="177"/>
        <v>0</v>
      </c>
      <c r="BC499" s="1560">
        <f t="shared" si="177"/>
        <v>0</v>
      </c>
      <c r="BD499" s="1560">
        <f t="shared" si="177"/>
        <v>0</v>
      </c>
      <c r="BE499" s="1561">
        <f t="shared" si="177"/>
        <v>0</v>
      </c>
      <c r="BF499" s="1548"/>
    </row>
    <row r="500" spans="1:58" x14ac:dyDescent="0.45">
      <c r="A500" s="695"/>
      <c r="B500" s="888"/>
      <c r="C500" s="889" t="s">
        <v>67</v>
      </c>
      <c r="D500" s="889"/>
      <c r="E500" s="889"/>
      <c r="F500" s="889"/>
      <c r="G500" s="1558"/>
      <c r="H500" s="1558">
        <f>SUM(H498:H499)</f>
        <v>0</v>
      </c>
      <c r="I500" s="1558">
        <f t="shared" ref="I500:BE500" si="178">SUM(I498:I499)</f>
        <v>0</v>
      </c>
      <c r="J500" s="1558">
        <f t="shared" si="178"/>
        <v>0</v>
      </c>
      <c r="K500" s="1558">
        <f t="shared" si="178"/>
        <v>0</v>
      </c>
      <c r="L500" s="1558">
        <f t="shared" si="178"/>
        <v>0</v>
      </c>
      <c r="M500" s="1558">
        <f t="shared" si="178"/>
        <v>0</v>
      </c>
      <c r="N500" s="1558">
        <f t="shared" si="178"/>
        <v>0</v>
      </c>
      <c r="O500" s="1558">
        <f t="shared" si="178"/>
        <v>0</v>
      </c>
      <c r="P500" s="1558">
        <f t="shared" si="178"/>
        <v>0</v>
      </c>
      <c r="Q500" s="1558">
        <f t="shared" si="178"/>
        <v>0</v>
      </c>
      <c r="R500" s="1558">
        <f t="shared" si="178"/>
        <v>0</v>
      </c>
      <c r="S500" s="1558">
        <f t="shared" si="178"/>
        <v>0</v>
      </c>
      <c r="T500" s="1558">
        <f t="shared" si="178"/>
        <v>0</v>
      </c>
      <c r="U500" s="1558">
        <f t="shared" si="178"/>
        <v>0</v>
      </c>
      <c r="V500" s="1558">
        <f t="shared" si="178"/>
        <v>0</v>
      </c>
      <c r="W500" s="1558">
        <f t="shared" si="178"/>
        <v>0</v>
      </c>
      <c r="X500" s="1558">
        <f t="shared" si="178"/>
        <v>0</v>
      </c>
      <c r="Y500" s="1558">
        <f t="shared" si="178"/>
        <v>0</v>
      </c>
      <c r="Z500" s="1558">
        <f t="shared" si="178"/>
        <v>0</v>
      </c>
      <c r="AA500" s="1558">
        <f t="shared" si="178"/>
        <v>0</v>
      </c>
      <c r="AB500" s="1558">
        <f t="shared" si="178"/>
        <v>0</v>
      </c>
      <c r="AC500" s="1558">
        <f t="shared" si="178"/>
        <v>0</v>
      </c>
      <c r="AD500" s="1558">
        <f t="shared" si="178"/>
        <v>0</v>
      </c>
      <c r="AE500" s="1558">
        <f t="shared" si="178"/>
        <v>0</v>
      </c>
      <c r="AF500" s="1558">
        <f t="shared" si="178"/>
        <v>0</v>
      </c>
      <c r="AG500" s="1558">
        <f t="shared" si="178"/>
        <v>0</v>
      </c>
      <c r="AH500" s="1558">
        <f t="shared" si="178"/>
        <v>0</v>
      </c>
      <c r="AI500" s="1558">
        <f t="shared" si="178"/>
        <v>0</v>
      </c>
      <c r="AJ500" s="1558">
        <f t="shared" si="178"/>
        <v>0</v>
      </c>
      <c r="AK500" s="1558">
        <f t="shared" si="178"/>
        <v>0</v>
      </c>
      <c r="AL500" s="1558">
        <f t="shared" si="178"/>
        <v>0</v>
      </c>
      <c r="AM500" s="1558">
        <f t="shared" si="178"/>
        <v>0</v>
      </c>
      <c r="AN500" s="1558">
        <f t="shared" si="178"/>
        <v>0</v>
      </c>
      <c r="AO500" s="1558">
        <f t="shared" si="178"/>
        <v>0</v>
      </c>
      <c r="AP500" s="1558">
        <f t="shared" si="178"/>
        <v>0</v>
      </c>
      <c r="AQ500" s="1558">
        <f t="shared" si="178"/>
        <v>0</v>
      </c>
      <c r="AR500" s="1558">
        <f t="shared" si="178"/>
        <v>0</v>
      </c>
      <c r="AS500" s="1558">
        <f t="shared" si="178"/>
        <v>0</v>
      </c>
      <c r="AT500" s="1558">
        <f t="shared" si="178"/>
        <v>0</v>
      </c>
      <c r="AU500" s="1558">
        <f t="shared" si="178"/>
        <v>0</v>
      </c>
      <c r="AV500" s="1558">
        <f t="shared" si="178"/>
        <v>0</v>
      </c>
      <c r="AW500" s="1558">
        <f t="shared" si="178"/>
        <v>0</v>
      </c>
      <c r="AX500" s="1558">
        <f t="shared" si="178"/>
        <v>0</v>
      </c>
      <c r="AY500" s="1558">
        <f t="shared" si="178"/>
        <v>0</v>
      </c>
      <c r="AZ500" s="1558">
        <f t="shared" si="178"/>
        <v>0</v>
      </c>
      <c r="BA500" s="1558">
        <f t="shared" si="178"/>
        <v>0</v>
      </c>
      <c r="BB500" s="1558">
        <f t="shared" si="178"/>
        <v>0</v>
      </c>
      <c r="BC500" s="1558">
        <f t="shared" si="178"/>
        <v>0</v>
      </c>
      <c r="BD500" s="1558">
        <f t="shared" si="178"/>
        <v>0</v>
      </c>
      <c r="BE500" s="1559">
        <f t="shared" si="178"/>
        <v>0</v>
      </c>
      <c r="BF500" s="1548"/>
    </row>
    <row r="501" spans="1:58" x14ac:dyDescent="0.45">
      <c r="A501" s="695"/>
      <c r="B501" s="888"/>
      <c r="C501" s="889"/>
      <c r="D501" s="889"/>
      <c r="E501" s="889"/>
      <c r="F501" s="889"/>
      <c r="G501" s="1558"/>
      <c r="H501" s="1558"/>
      <c r="I501" s="1558"/>
      <c r="J501" s="1558"/>
      <c r="K501" s="1558"/>
      <c r="L501" s="1558"/>
      <c r="M501" s="1558"/>
      <c r="N501" s="1558"/>
      <c r="O501" s="1558"/>
      <c r="P501" s="1558"/>
      <c r="Q501" s="1558"/>
      <c r="R501" s="1558"/>
      <c r="S501" s="1558"/>
      <c r="T501" s="1558"/>
      <c r="U501" s="1558"/>
      <c r="V501" s="1558"/>
      <c r="W501" s="1558"/>
      <c r="X501" s="1558"/>
      <c r="Y501" s="1558"/>
      <c r="Z501" s="1558"/>
      <c r="AA501" s="1558"/>
      <c r="AB501" s="1558"/>
      <c r="AC501" s="1558"/>
      <c r="AD501" s="1558"/>
      <c r="AE501" s="1558"/>
      <c r="AF501" s="1558"/>
      <c r="AG501" s="1558"/>
      <c r="AH501" s="1558"/>
      <c r="AI501" s="1558"/>
      <c r="AJ501" s="1558"/>
      <c r="AK501" s="1558"/>
      <c r="AL501" s="1558"/>
      <c r="AM501" s="1558"/>
      <c r="AN501" s="1558"/>
      <c r="AO501" s="1558"/>
      <c r="AP501" s="1558"/>
      <c r="AQ501" s="1558"/>
      <c r="AR501" s="1558"/>
      <c r="AS501" s="1558"/>
      <c r="AT501" s="1558"/>
      <c r="AU501" s="1558"/>
      <c r="AV501" s="1558"/>
      <c r="AW501" s="1558"/>
      <c r="AX501" s="1558"/>
      <c r="AY501" s="1558"/>
      <c r="AZ501" s="1558"/>
      <c r="BA501" s="1558"/>
      <c r="BB501" s="1558"/>
      <c r="BC501" s="1558"/>
      <c r="BD501" s="1558"/>
      <c r="BE501" s="1559"/>
      <c r="BF501" s="1548"/>
    </row>
    <row r="502" spans="1:58" x14ac:dyDescent="0.45">
      <c r="A502" s="695"/>
      <c r="B502" s="888"/>
      <c r="C502" s="1033" t="s">
        <v>58</v>
      </c>
      <c r="D502" s="889"/>
      <c r="E502" s="889"/>
      <c r="F502" s="889"/>
      <c r="G502" s="1558"/>
      <c r="H502" s="1558"/>
      <c r="I502" s="1558"/>
      <c r="J502" s="1558"/>
      <c r="K502" s="1558"/>
      <c r="L502" s="1558"/>
      <c r="M502" s="1558"/>
      <c r="N502" s="1558"/>
      <c r="O502" s="1558"/>
      <c r="P502" s="1558"/>
      <c r="Q502" s="1558"/>
      <c r="R502" s="1558"/>
      <c r="S502" s="1558"/>
      <c r="T502" s="1558"/>
      <c r="U502" s="1558"/>
      <c r="V502" s="1558"/>
      <c r="W502" s="1558"/>
      <c r="X502" s="1558"/>
      <c r="Y502" s="1558"/>
      <c r="Z502" s="1558"/>
      <c r="AA502" s="1558"/>
      <c r="AB502" s="1558"/>
      <c r="AC502" s="1558"/>
      <c r="AD502" s="1558"/>
      <c r="AE502" s="1558"/>
      <c r="AF502" s="1558"/>
      <c r="AG502" s="1558"/>
      <c r="AH502" s="1558"/>
      <c r="AI502" s="1558"/>
      <c r="AJ502" s="1558"/>
      <c r="AK502" s="1558"/>
      <c r="AL502" s="1558"/>
      <c r="AM502" s="1558"/>
      <c r="AN502" s="1558"/>
      <c r="AO502" s="1558"/>
      <c r="AP502" s="1558"/>
      <c r="AQ502" s="1558"/>
      <c r="AR502" s="1558"/>
      <c r="AS502" s="1558"/>
      <c r="AT502" s="1558"/>
      <c r="AU502" s="1558"/>
      <c r="AV502" s="1558"/>
      <c r="AW502" s="1558"/>
      <c r="AX502" s="1558"/>
      <c r="AY502" s="1558"/>
      <c r="AZ502" s="1558"/>
      <c r="BA502" s="1558"/>
      <c r="BB502" s="1558"/>
      <c r="BC502" s="1558"/>
      <c r="BD502" s="1558"/>
      <c r="BE502" s="1559"/>
      <c r="BF502" s="1548"/>
    </row>
    <row r="503" spans="1:58" x14ac:dyDescent="0.45">
      <c r="A503" s="695"/>
      <c r="B503" s="888"/>
      <c r="C503" s="889" t="s">
        <v>68</v>
      </c>
      <c r="D503" s="889"/>
      <c r="E503" s="889"/>
      <c r="F503" s="889"/>
      <c r="G503" s="1558">
        <v>0</v>
      </c>
      <c r="H503" s="1558">
        <f t="shared" ref="H503:AM503" si="179">G506</f>
        <v>0</v>
      </c>
      <c r="I503" s="1558">
        <f t="shared" si="179"/>
        <v>0</v>
      </c>
      <c r="J503" s="1558">
        <f t="shared" si="179"/>
        <v>0</v>
      </c>
      <c r="K503" s="1558">
        <f t="shared" si="179"/>
        <v>0</v>
      </c>
      <c r="L503" s="1558">
        <f t="shared" si="179"/>
        <v>0</v>
      </c>
      <c r="M503" s="1558">
        <f t="shared" si="179"/>
        <v>0</v>
      </c>
      <c r="N503" s="1558">
        <f t="shared" si="179"/>
        <v>0</v>
      </c>
      <c r="O503" s="1558">
        <f t="shared" si="179"/>
        <v>0</v>
      </c>
      <c r="P503" s="1558">
        <f t="shared" si="179"/>
        <v>0</v>
      </c>
      <c r="Q503" s="1558">
        <f t="shared" si="179"/>
        <v>0</v>
      </c>
      <c r="R503" s="1558">
        <f t="shared" si="179"/>
        <v>0</v>
      </c>
      <c r="S503" s="1558">
        <f t="shared" si="179"/>
        <v>0</v>
      </c>
      <c r="T503" s="1558">
        <f t="shared" si="179"/>
        <v>0</v>
      </c>
      <c r="U503" s="1558">
        <f t="shared" si="179"/>
        <v>0</v>
      </c>
      <c r="V503" s="1558">
        <f t="shared" si="179"/>
        <v>0</v>
      </c>
      <c r="W503" s="1558">
        <f t="shared" si="179"/>
        <v>0</v>
      </c>
      <c r="X503" s="1558">
        <f t="shared" si="179"/>
        <v>0</v>
      </c>
      <c r="Y503" s="1558">
        <f t="shared" si="179"/>
        <v>0</v>
      </c>
      <c r="Z503" s="1558">
        <f t="shared" si="179"/>
        <v>0</v>
      </c>
      <c r="AA503" s="1558">
        <f t="shared" si="179"/>
        <v>0</v>
      </c>
      <c r="AB503" s="1558">
        <f t="shared" si="179"/>
        <v>0</v>
      </c>
      <c r="AC503" s="1558">
        <f t="shared" si="179"/>
        <v>0</v>
      </c>
      <c r="AD503" s="1558">
        <f t="shared" si="179"/>
        <v>0</v>
      </c>
      <c r="AE503" s="1558">
        <f t="shared" si="179"/>
        <v>0</v>
      </c>
      <c r="AF503" s="1558">
        <f t="shared" si="179"/>
        <v>0</v>
      </c>
      <c r="AG503" s="1558">
        <f t="shared" si="179"/>
        <v>0</v>
      </c>
      <c r="AH503" s="1558">
        <f t="shared" si="179"/>
        <v>0</v>
      </c>
      <c r="AI503" s="1558">
        <f t="shared" si="179"/>
        <v>0</v>
      </c>
      <c r="AJ503" s="1558">
        <f t="shared" si="179"/>
        <v>0</v>
      </c>
      <c r="AK503" s="1558">
        <f t="shared" si="179"/>
        <v>0</v>
      </c>
      <c r="AL503" s="1558">
        <f t="shared" si="179"/>
        <v>0</v>
      </c>
      <c r="AM503" s="1558">
        <f t="shared" si="179"/>
        <v>0</v>
      </c>
      <c r="AN503" s="1558">
        <f t="shared" ref="AN503:BE503" si="180">AM506</f>
        <v>0</v>
      </c>
      <c r="AO503" s="1558">
        <f t="shared" si="180"/>
        <v>0</v>
      </c>
      <c r="AP503" s="1558">
        <f t="shared" si="180"/>
        <v>0</v>
      </c>
      <c r="AQ503" s="1558">
        <f t="shared" si="180"/>
        <v>0</v>
      </c>
      <c r="AR503" s="1558">
        <f t="shared" si="180"/>
        <v>0</v>
      </c>
      <c r="AS503" s="1558">
        <f t="shared" si="180"/>
        <v>0</v>
      </c>
      <c r="AT503" s="1558">
        <f t="shared" si="180"/>
        <v>0</v>
      </c>
      <c r="AU503" s="1558">
        <f t="shared" si="180"/>
        <v>0</v>
      </c>
      <c r="AV503" s="1558">
        <f t="shared" si="180"/>
        <v>0</v>
      </c>
      <c r="AW503" s="1558">
        <f t="shared" si="180"/>
        <v>0</v>
      </c>
      <c r="AX503" s="1558">
        <f t="shared" si="180"/>
        <v>0</v>
      </c>
      <c r="AY503" s="1558">
        <f t="shared" si="180"/>
        <v>0</v>
      </c>
      <c r="AZ503" s="1558">
        <f t="shared" si="180"/>
        <v>0</v>
      </c>
      <c r="BA503" s="1558">
        <f t="shared" si="180"/>
        <v>0</v>
      </c>
      <c r="BB503" s="1558">
        <f t="shared" si="180"/>
        <v>0</v>
      </c>
      <c r="BC503" s="1558">
        <f t="shared" si="180"/>
        <v>0</v>
      </c>
      <c r="BD503" s="1558">
        <f t="shared" si="180"/>
        <v>0</v>
      </c>
      <c r="BE503" s="1559">
        <f t="shared" si="180"/>
        <v>0</v>
      </c>
      <c r="BF503" s="1548"/>
    </row>
    <row r="504" spans="1:58" x14ac:dyDescent="0.45">
      <c r="A504" s="695"/>
      <c r="B504" s="888"/>
      <c r="C504" s="889" t="s">
        <v>69</v>
      </c>
      <c r="D504" s="889"/>
      <c r="E504" s="889"/>
      <c r="F504" s="889"/>
      <c r="G504" s="1558">
        <f>G493</f>
        <v>0</v>
      </c>
      <c r="H504" s="1558">
        <v>0</v>
      </c>
      <c r="I504" s="1558">
        <v>0</v>
      </c>
      <c r="J504" s="1558">
        <v>0</v>
      </c>
      <c r="K504" s="1558">
        <v>0</v>
      </c>
      <c r="L504" s="1558">
        <v>0</v>
      </c>
      <c r="M504" s="1558">
        <v>0</v>
      </c>
      <c r="N504" s="1558">
        <v>0</v>
      </c>
      <c r="O504" s="1558">
        <v>0</v>
      </c>
      <c r="P504" s="1558">
        <v>0</v>
      </c>
      <c r="Q504" s="1558">
        <v>0</v>
      </c>
      <c r="R504" s="1558">
        <v>0</v>
      </c>
      <c r="S504" s="1558">
        <v>0</v>
      </c>
      <c r="T504" s="1558">
        <v>0</v>
      </c>
      <c r="U504" s="1558">
        <v>0</v>
      </c>
      <c r="V504" s="1558">
        <v>0</v>
      </c>
      <c r="W504" s="1558">
        <v>0</v>
      </c>
      <c r="X504" s="1558">
        <v>0</v>
      </c>
      <c r="Y504" s="1558">
        <v>0</v>
      </c>
      <c r="Z504" s="1558">
        <v>0</v>
      </c>
      <c r="AA504" s="1558">
        <v>0</v>
      </c>
      <c r="AB504" s="1558">
        <v>0</v>
      </c>
      <c r="AC504" s="1558">
        <v>0</v>
      </c>
      <c r="AD504" s="1558">
        <v>0</v>
      </c>
      <c r="AE504" s="1558">
        <v>0</v>
      </c>
      <c r="AF504" s="1558">
        <v>0</v>
      </c>
      <c r="AG504" s="1558">
        <v>0</v>
      </c>
      <c r="AH504" s="1558">
        <v>0</v>
      </c>
      <c r="AI504" s="1558">
        <v>0</v>
      </c>
      <c r="AJ504" s="1558">
        <v>0</v>
      </c>
      <c r="AK504" s="1558">
        <v>0</v>
      </c>
      <c r="AL504" s="1558">
        <v>0</v>
      </c>
      <c r="AM504" s="1558">
        <v>0</v>
      </c>
      <c r="AN504" s="1558">
        <v>0</v>
      </c>
      <c r="AO504" s="1558">
        <v>0</v>
      </c>
      <c r="AP504" s="1558">
        <v>0</v>
      </c>
      <c r="AQ504" s="1558">
        <v>0</v>
      </c>
      <c r="AR504" s="1558">
        <v>0</v>
      </c>
      <c r="AS504" s="1558">
        <v>0</v>
      </c>
      <c r="AT504" s="1558">
        <v>0</v>
      </c>
      <c r="AU504" s="1558">
        <v>0</v>
      </c>
      <c r="AV504" s="1558">
        <v>0</v>
      </c>
      <c r="AW504" s="1558">
        <v>0</v>
      </c>
      <c r="AX504" s="1558">
        <v>0</v>
      </c>
      <c r="AY504" s="1558">
        <v>0</v>
      </c>
      <c r="AZ504" s="1558">
        <v>0</v>
      </c>
      <c r="BA504" s="1558">
        <v>0</v>
      </c>
      <c r="BB504" s="1558">
        <v>0</v>
      </c>
      <c r="BC504" s="1558">
        <v>0</v>
      </c>
      <c r="BD504" s="1558">
        <v>0</v>
      </c>
      <c r="BE504" s="1559">
        <v>0</v>
      </c>
      <c r="BF504" s="1548"/>
    </row>
    <row r="505" spans="1:58" x14ac:dyDescent="0.45">
      <c r="A505" s="695"/>
      <c r="B505" s="888"/>
      <c r="C505" s="896" t="s">
        <v>70</v>
      </c>
      <c r="D505" s="896"/>
      <c r="E505" s="896"/>
      <c r="F505" s="896"/>
      <c r="G505" s="1560">
        <v>0</v>
      </c>
      <c r="H505" s="1560">
        <f>-H499</f>
        <v>0</v>
      </c>
      <c r="I505" s="1560">
        <f t="shared" ref="I505:BE505" si="181">-I499</f>
        <v>0</v>
      </c>
      <c r="J505" s="1560">
        <f t="shared" si="181"/>
        <v>0</v>
      </c>
      <c r="K505" s="1560">
        <f t="shared" si="181"/>
        <v>0</v>
      </c>
      <c r="L505" s="1560">
        <f t="shared" si="181"/>
        <v>0</v>
      </c>
      <c r="M505" s="1560">
        <f t="shared" si="181"/>
        <v>0</v>
      </c>
      <c r="N505" s="1560">
        <f t="shared" si="181"/>
        <v>0</v>
      </c>
      <c r="O505" s="1560">
        <f t="shared" si="181"/>
        <v>0</v>
      </c>
      <c r="P505" s="1560">
        <f t="shared" si="181"/>
        <v>0</v>
      </c>
      <c r="Q505" s="1560">
        <f t="shared" si="181"/>
        <v>0</v>
      </c>
      <c r="R505" s="1560">
        <f t="shared" si="181"/>
        <v>0</v>
      </c>
      <c r="S505" s="1560">
        <f t="shared" si="181"/>
        <v>0</v>
      </c>
      <c r="T505" s="1560">
        <f t="shared" si="181"/>
        <v>0</v>
      </c>
      <c r="U505" s="1560">
        <f t="shared" si="181"/>
        <v>0</v>
      </c>
      <c r="V505" s="1560">
        <f t="shared" si="181"/>
        <v>0</v>
      </c>
      <c r="W505" s="1560">
        <f t="shared" si="181"/>
        <v>0</v>
      </c>
      <c r="X505" s="1560">
        <f t="shared" si="181"/>
        <v>0</v>
      </c>
      <c r="Y505" s="1560">
        <f t="shared" si="181"/>
        <v>0</v>
      </c>
      <c r="Z505" s="1560">
        <f t="shared" si="181"/>
        <v>0</v>
      </c>
      <c r="AA505" s="1560">
        <f t="shared" si="181"/>
        <v>0</v>
      </c>
      <c r="AB505" s="1560">
        <f t="shared" si="181"/>
        <v>0</v>
      </c>
      <c r="AC505" s="1560">
        <f t="shared" si="181"/>
        <v>0</v>
      </c>
      <c r="AD505" s="1560">
        <f t="shared" si="181"/>
        <v>0</v>
      </c>
      <c r="AE505" s="1560">
        <f t="shared" si="181"/>
        <v>0</v>
      </c>
      <c r="AF505" s="1560">
        <f t="shared" si="181"/>
        <v>0</v>
      </c>
      <c r="AG505" s="1560">
        <f t="shared" si="181"/>
        <v>0</v>
      </c>
      <c r="AH505" s="1560">
        <f t="shared" si="181"/>
        <v>0</v>
      </c>
      <c r="AI505" s="1560">
        <f t="shared" si="181"/>
        <v>0</v>
      </c>
      <c r="AJ505" s="1560">
        <f t="shared" si="181"/>
        <v>0</v>
      </c>
      <c r="AK505" s="1560">
        <f t="shared" si="181"/>
        <v>0</v>
      </c>
      <c r="AL505" s="1560">
        <f t="shared" si="181"/>
        <v>0</v>
      </c>
      <c r="AM505" s="1560">
        <f t="shared" si="181"/>
        <v>0</v>
      </c>
      <c r="AN505" s="1560">
        <f t="shared" si="181"/>
        <v>0</v>
      </c>
      <c r="AO505" s="1560">
        <f t="shared" si="181"/>
        <v>0</v>
      </c>
      <c r="AP505" s="1560">
        <f t="shared" si="181"/>
        <v>0</v>
      </c>
      <c r="AQ505" s="1560">
        <f t="shared" si="181"/>
        <v>0</v>
      </c>
      <c r="AR505" s="1560">
        <f t="shared" si="181"/>
        <v>0</v>
      </c>
      <c r="AS505" s="1560">
        <f t="shared" si="181"/>
        <v>0</v>
      </c>
      <c r="AT505" s="1560">
        <f t="shared" si="181"/>
        <v>0</v>
      </c>
      <c r="AU505" s="1560">
        <f t="shared" si="181"/>
        <v>0</v>
      </c>
      <c r="AV505" s="1560">
        <f t="shared" si="181"/>
        <v>0</v>
      </c>
      <c r="AW505" s="1560">
        <f t="shared" si="181"/>
        <v>0</v>
      </c>
      <c r="AX505" s="1560">
        <f t="shared" si="181"/>
        <v>0</v>
      </c>
      <c r="AY505" s="1560">
        <f t="shared" si="181"/>
        <v>0</v>
      </c>
      <c r="AZ505" s="1560">
        <f t="shared" si="181"/>
        <v>0</v>
      </c>
      <c r="BA505" s="1560">
        <f t="shared" si="181"/>
        <v>0</v>
      </c>
      <c r="BB505" s="1560">
        <f t="shared" si="181"/>
        <v>0</v>
      </c>
      <c r="BC505" s="1560">
        <f t="shared" si="181"/>
        <v>0</v>
      </c>
      <c r="BD505" s="1560">
        <f t="shared" si="181"/>
        <v>0</v>
      </c>
      <c r="BE505" s="1561">
        <f t="shared" si="181"/>
        <v>0</v>
      </c>
      <c r="BF505" s="1548"/>
    </row>
    <row r="506" spans="1:58" x14ac:dyDescent="0.45">
      <c r="A506" s="695"/>
      <c r="B506" s="888"/>
      <c r="C506" s="889" t="s">
        <v>59</v>
      </c>
      <c r="D506" s="889"/>
      <c r="E506" s="889"/>
      <c r="F506" s="889"/>
      <c r="G506" s="1558">
        <f>SUM(G503:G505)</f>
        <v>0</v>
      </c>
      <c r="H506" s="1558">
        <f>SUM(H503:H505)</f>
        <v>0</v>
      </c>
      <c r="I506" s="1558">
        <f t="shared" ref="I506:BE506" si="182">SUM(I503:I505)</f>
        <v>0</v>
      </c>
      <c r="J506" s="1558">
        <f t="shared" si="182"/>
        <v>0</v>
      </c>
      <c r="K506" s="1558">
        <f t="shared" si="182"/>
        <v>0</v>
      </c>
      <c r="L506" s="1558">
        <f t="shared" si="182"/>
        <v>0</v>
      </c>
      <c r="M506" s="1558">
        <f t="shared" si="182"/>
        <v>0</v>
      </c>
      <c r="N506" s="1558">
        <f t="shared" si="182"/>
        <v>0</v>
      </c>
      <c r="O506" s="1558">
        <f t="shared" si="182"/>
        <v>0</v>
      </c>
      <c r="P506" s="1558">
        <f t="shared" si="182"/>
        <v>0</v>
      </c>
      <c r="Q506" s="1558">
        <f t="shared" si="182"/>
        <v>0</v>
      </c>
      <c r="R506" s="1558">
        <f t="shared" si="182"/>
        <v>0</v>
      </c>
      <c r="S506" s="1558">
        <f t="shared" si="182"/>
        <v>0</v>
      </c>
      <c r="T506" s="1558">
        <f t="shared" si="182"/>
        <v>0</v>
      </c>
      <c r="U506" s="1558">
        <f t="shared" si="182"/>
        <v>0</v>
      </c>
      <c r="V506" s="1558">
        <f t="shared" si="182"/>
        <v>0</v>
      </c>
      <c r="W506" s="1558">
        <f t="shared" si="182"/>
        <v>0</v>
      </c>
      <c r="X506" s="1558">
        <f t="shared" si="182"/>
        <v>0</v>
      </c>
      <c r="Y506" s="1558">
        <f t="shared" si="182"/>
        <v>0</v>
      </c>
      <c r="Z506" s="1558">
        <f t="shared" si="182"/>
        <v>0</v>
      </c>
      <c r="AA506" s="1558">
        <f t="shared" si="182"/>
        <v>0</v>
      </c>
      <c r="AB506" s="1558">
        <f t="shared" si="182"/>
        <v>0</v>
      </c>
      <c r="AC506" s="1558">
        <f t="shared" si="182"/>
        <v>0</v>
      </c>
      <c r="AD506" s="1558">
        <f t="shared" si="182"/>
        <v>0</v>
      </c>
      <c r="AE506" s="1558">
        <f t="shared" si="182"/>
        <v>0</v>
      </c>
      <c r="AF506" s="1558">
        <f t="shared" si="182"/>
        <v>0</v>
      </c>
      <c r="AG506" s="1558">
        <f t="shared" si="182"/>
        <v>0</v>
      </c>
      <c r="AH506" s="1558">
        <f t="shared" si="182"/>
        <v>0</v>
      </c>
      <c r="AI506" s="1558">
        <f t="shared" si="182"/>
        <v>0</v>
      </c>
      <c r="AJ506" s="1558">
        <f t="shared" si="182"/>
        <v>0</v>
      </c>
      <c r="AK506" s="1558">
        <f t="shared" si="182"/>
        <v>0</v>
      </c>
      <c r="AL506" s="1558">
        <f t="shared" si="182"/>
        <v>0</v>
      </c>
      <c r="AM506" s="1558">
        <f t="shared" si="182"/>
        <v>0</v>
      </c>
      <c r="AN506" s="1558">
        <f t="shared" si="182"/>
        <v>0</v>
      </c>
      <c r="AO506" s="1558">
        <f t="shared" si="182"/>
        <v>0</v>
      </c>
      <c r="AP506" s="1558">
        <f t="shared" si="182"/>
        <v>0</v>
      </c>
      <c r="AQ506" s="1558">
        <f t="shared" si="182"/>
        <v>0</v>
      </c>
      <c r="AR506" s="1558">
        <f t="shared" si="182"/>
        <v>0</v>
      </c>
      <c r="AS506" s="1558">
        <f t="shared" si="182"/>
        <v>0</v>
      </c>
      <c r="AT506" s="1558">
        <f t="shared" si="182"/>
        <v>0</v>
      </c>
      <c r="AU506" s="1558">
        <f t="shared" si="182"/>
        <v>0</v>
      </c>
      <c r="AV506" s="1558">
        <f t="shared" si="182"/>
        <v>0</v>
      </c>
      <c r="AW506" s="1558">
        <f t="shared" si="182"/>
        <v>0</v>
      </c>
      <c r="AX506" s="1558">
        <f t="shared" si="182"/>
        <v>0</v>
      </c>
      <c r="AY506" s="1558">
        <f t="shared" si="182"/>
        <v>0</v>
      </c>
      <c r="AZ506" s="1558">
        <f t="shared" si="182"/>
        <v>0</v>
      </c>
      <c r="BA506" s="1558">
        <f t="shared" si="182"/>
        <v>0</v>
      </c>
      <c r="BB506" s="1558">
        <f t="shared" si="182"/>
        <v>0</v>
      </c>
      <c r="BC506" s="1558">
        <f t="shared" si="182"/>
        <v>0</v>
      </c>
      <c r="BD506" s="1558">
        <f t="shared" si="182"/>
        <v>0</v>
      </c>
      <c r="BE506" s="1559">
        <f t="shared" si="182"/>
        <v>0</v>
      </c>
      <c r="BF506" s="1548"/>
    </row>
    <row r="507" spans="1:58" x14ac:dyDescent="0.45">
      <c r="A507" s="695"/>
      <c r="B507" s="888"/>
      <c r="C507" s="889"/>
      <c r="D507" s="889"/>
      <c r="E507" s="889"/>
      <c r="F507" s="889"/>
      <c r="G507" s="1558"/>
      <c r="H507" s="1558"/>
      <c r="I507" s="1558"/>
      <c r="J507" s="1558"/>
      <c r="K507" s="1558"/>
      <c r="L507" s="1558"/>
      <c r="M507" s="1558"/>
      <c r="N507" s="1558"/>
      <c r="O507" s="1558"/>
      <c r="P507" s="1558"/>
      <c r="Q507" s="1558"/>
      <c r="R507" s="1558"/>
      <c r="S507" s="1558"/>
      <c r="T507" s="1558"/>
      <c r="U507" s="1558"/>
      <c r="V507" s="1558"/>
      <c r="W507" s="1558"/>
      <c r="X507" s="1558"/>
      <c r="Y507" s="1558"/>
      <c r="Z507" s="1558"/>
      <c r="AA507" s="1558"/>
      <c r="AB507" s="1558"/>
      <c r="AC507" s="1558"/>
      <c r="AD507" s="1558"/>
      <c r="AE507" s="1558"/>
      <c r="AF507" s="1558"/>
      <c r="AG507" s="1558"/>
      <c r="AH507" s="1558"/>
      <c r="AI507" s="1558"/>
      <c r="AJ507" s="1558"/>
      <c r="AK507" s="1558"/>
      <c r="AL507" s="1558"/>
      <c r="AM507" s="1558"/>
      <c r="AN507" s="1558"/>
      <c r="AO507" s="1558"/>
      <c r="AP507" s="1558"/>
      <c r="AQ507" s="1558"/>
      <c r="AR507" s="1558"/>
      <c r="AS507" s="1558"/>
      <c r="AT507" s="1558"/>
      <c r="AU507" s="1558"/>
      <c r="AV507" s="1558"/>
      <c r="AW507" s="1558"/>
      <c r="AX507" s="1558"/>
      <c r="AY507" s="1558"/>
      <c r="AZ507" s="1558"/>
      <c r="BA507" s="1558"/>
      <c r="BB507" s="1558"/>
      <c r="BC507" s="1558"/>
      <c r="BD507" s="1558"/>
      <c r="BE507" s="1559"/>
      <c r="BF507" s="1548"/>
    </row>
    <row r="508" spans="1:58" x14ac:dyDescent="0.45">
      <c r="A508" s="695"/>
      <c r="B508" s="888"/>
      <c r="C508" s="1033" t="s">
        <v>64</v>
      </c>
      <c r="D508" s="889"/>
      <c r="E508" s="889"/>
      <c r="F508" s="889"/>
      <c r="G508" s="1558"/>
      <c r="H508" s="1558"/>
      <c r="I508" s="1558"/>
      <c r="J508" s="1558"/>
      <c r="K508" s="1558"/>
      <c r="L508" s="1558"/>
      <c r="M508" s="1558"/>
      <c r="N508" s="1558"/>
      <c r="O508" s="1558"/>
      <c r="P508" s="1558"/>
      <c r="Q508" s="1558"/>
      <c r="R508" s="1558"/>
      <c r="S508" s="1558"/>
      <c r="T508" s="1558"/>
      <c r="U508" s="1558"/>
      <c r="V508" s="1558"/>
      <c r="W508" s="1558"/>
      <c r="X508" s="1558"/>
      <c r="Y508" s="1558"/>
      <c r="Z508" s="1558"/>
      <c r="AA508" s="1558"/>
      <c r="AB508" s="1558"/>
      <c r="AC508" s="1558"/>
      <c r="AD508" s="1558"/>
      <c r="AE508" s="1558"/>
      <c r="AF508" s="1558"/>
      <c r="AG508" s="1558"/>
      <c r="AH508" s="1558"/>
      <c r="AI508" s="1558"/>
      <c r="AJ508" s="1558"/>
      <c r="AK508" s="1558"/>
      <c r="AL508" s="1558"/>
      <c r="AM508" s="1558"/>
      <c r="AN508" s="1558"/>
      <c r="AO508" s="1558"/>
      <c r="AP508" s="1558"/>
      <c r="AQ508" s="1558"/>
      <c r="AR508" s="1558"/>
      <c r="AS508" s="1558"/>
      <c r="AT508" s="1558"/>
      <c r="AU508" s="1558"/>
      <c r="AV508" s="1558"/>
      <c r="AW508" s="1558"/>
      <c r="AX508" s="1558"/>
      <c r="AY508" s="1558"/>
      <c r="AZ508" s="1558"/>
      <c r="BA508" s="1558"/>
      <c r="BB508" s="1558"/>
      <c r="BC508" s="1558"/>
      <c r="BD508" s="1558"/>
      <c r="BE508" s="1559"/>
      <c r="BF508" s="1548"/>
    </row>
    <row r="509" spans="1:58" x14ac:dyDescent="0.45">
      <c r="A509" s="695"/>
      <c r="B509" s="888"/>
      <c r="C509" s="889" t="s">
        <v>205</v>
      </c>
      <c r="D509" s="889"/>
      <c r="E509" s="889"/>
      <c r="F509" s="889"/>
      <c r="G509" s="1558"/>
      <c r="H509" s="1558">
        <f>IF($G493&gt;0, $G493*'II. Inputs, Baseline Energy Mix'!$P$57/10000,0)</f>
        <v>0</v>
      </c>
      <c r="I509" s="1558">
        <v>0</v>
      </c>
      <c r="J509" s="1558">
        <v>0</v>
      </c>
      <c r="K509" s="1558">
        <v>0</v>
      </c>
      <c r="L509" s="1558">
        <v>0</v>
      </c>
      <c r="M509" s="1558">
        <v>0</v>
      </c>
      <c r="N509" s="1558">
        <v>0</v>
      </c>
      <c r="O509" s="1558">
        <v>0</v>
      </c>
      <c r="P509" s="1558">
        <v>0</v>
      </c>
      <c r="Q509" s="1558">
        <v>0</v>
      </c>
      <c r="R509" s="1558">
        <v>0</v>
      </c>
      <c r="S509" s="1558">
        <v>0</v>
      </c>
      <c r="T509" s="1558">
        <v>0</v>
      </c>
      <c r="U509" s="1558">
        <v>0</v>
      </c>
      <c r="V509" s="1558">
        <v>0</v>
      </c>
      <c r="W509" s="1558">
        <v>0</v>
      </c>
      <c r="X509" s="1558">
        <v>0</v>
      </c>
      <c r="Y509" s="1558">
        <v>0</v>
      </c>
      <c r="Z509" s="1558">
        <v>0</v>
      </c>
      <c r="AA509" s="1558">
        <v>0</v>
      </c>
      <c r="AB509" s="1558">
        <v>0</v>
      </c>
      <c r="AC509" s="1558">
        <v>0</v>
      </c>
      <c r="AD509" s="1558">
        <v>0</v>
      </c>
      <c r="AE509" s="1558">
        <v>0</v>
      </c>
      <c r="AF509" s="1558">
        <v>0</v>
      </c>
      <c r="AG509" s="1558">
        <v>0</v>
      </c>
      <c r="AH509" s="1558">
        <v>0</v>
      </c>
      <c r="AI509" s="1558">
        <v>0</v>
      </c>
      <c r="AJ509" s="1558">
        <v>0</v>
      </c>
      <c r="AK509" s="1558">
        <v>0</v>
      </c>
      <c r="AL509" s="1558">
        <v>0</v>
      </c>
      <c r="AM509" s="1558">
        <v>0</v>
      </c>
      <c r="AN509" s="1558">
        <v>0</v>
      </c>
      <c r="AO509" s="1558">
        <v>0</v>
      </c>
      <c r="AP509" s="1558">
        <v>0</v>
      </c>
      <c r="AQ509" s="1558">
        <v>0</v>
      </c>
      <c r="AR509" s="1558">
        <v>0</v>
      </c>
      <c r="AS509" s="1558">
        <v>0</v>
      </c>
      <c r="AT509" s="1558">
        <v>0</v>
      </c>
      <c r="AU509" s="1558">
        <v>0</v>
      </c>
      <c r="AV509" s="1558">
        <v>0</v>
      </c>
      <c r="AW509" s="1558">
        <v>0</v>
      </c>
      <c r="AX509" s="1558">
        <v>0</v>
      </c>
      <c r="AY509" s="1558">
        <v>0</v>
      </c>
      <c r="AZ509" s="1558">
        <v>0</v>
      </c>
      <c r="BA509" s="1558">
        <v>0</v>
      </c>
      <c r="BB509" s="1558">
        <v>0</v>
      </c>
      <c r="BC509" s="1558">
        <v>0</v>
      </c>
      <c r="BD509" s="1558">
        <v>0</v>
      </c>
      <c r="BE509" s="1559">
        <v>0</v>
      </c>
      <c r="BF509" s="1548"/>
    </row>
    <row r="510" spans="1:58" x14ac:dyDescent="0.45">
      <c r="A510" s="695"/>
      <c r="B510" s="888"/>
      <c r="C510" s="889"/>
      <c r="D510" s="889"/>
      <c r="E510" s="889"/>
      <c r="F510" s="889"/>
      <c r="G510" s="889"/>
      <c r="H510" s="889"/>
      <c r="I510" s="889"/>
      <c r="J510" s="889"/>
      <c r="K510" s="889"/>
      <c r="L510" s="889"/>
      <c r="M510" s="889"/>
      <c r="N510" s="889"/>
      <c r="O510" s="889"/>
      <c r="P510" s="889"/>
      <c r="Q510" s="889"/>
      <c r="R510" s="889"/>
      <c r="S510" s="889"/>
      <c r="T510" s="889"/>
      <c r="U510" s="889"/>
      <c r="V510" s="889"/>
      <c r="W510" s="889"/>
      <c r="X510" s="889"/>
      <c r="Y510" s="889"/>
      <c r="Z510" s="889"/>
      <c r="AA510" s="889"/>
      <c r="AB510" s="889"/>
      <c r="AC510" s="889"/>
      <c r="AD510" s="889"/>
      <c r="AE510" s="889"/>
      <c r="AF510" s="889"/>
      <c r="AG510" s="889"/>
      <c r="AH510" s="889"/>
      <c r="AI510" s="889"/>
      <c r="AJ510" s="889"/>
      <c r="AK510" s="889"/>
      <c r="AL510" s="889"/>
      <c r="AM510" s="889"/>
      <c r="AN510" s="889"/>
      <c r="AO510" s="889"/>
      <c r="AP510" s="889"/>
      <c r="AQ510" s="889"/>
      <c r="AR510" s="889"/>
      <c r="AS510" s="889"/>
      <c r="AT510" s="889"/>
      <c r="AU510" s="889"/>
      <c r="AV510" s="889"/>
      <c r="AW510" s="889"/>
      <c r="AX510" s="889"/>
      <c r="AY510" s="889"/>
      <c r="AZ510" s="889"/>
      <c r="BA510" s="889"/>
      <c r="BB510" s="889"/>
      <c r="BC510" s="889"/>
      <c r="BD510" s="889"/>
      <c r="BE510" s="890"/>
      <c r="BF510" s="695"/>
    </row>
    <row r="511" spans="1:58" x14ac:dyDescent="0.45">
      <c r="A511" s="695"/>
      <c r="B511" s="888"/>
      <c r="C511" s="889"/>
      <c r="D511" s="889"/>
      <c r="E511" s="889"/>
      <c r="F511" s="889"/>
      <c r="G511" s="889"/>
      <c r="H511" s="889"/>
      <c r="I511" s="889"/>
      <c r="J511" s="889"/>
      <c r="K511" s="889"/>
      <c r="L511" s="889"/>
      <c r="M511" s="889"/>
      <c r="N511" s="889"/>
      <c r="O511" s="889"/>
      <c r="P511" s="889"/>
      <c r="Q511" s="889"/>
      <c r="R511" s="889"/>
      <c r="S511" s="889"/>
      <c r="T511" s="889"/>
      <c r="U511" s="889"/>
      <c r="V511" s="889"/>
      <c r="W511" s="889"/>
      <c r="X511" s="889"/>
      <c r="Y511" s="889"/>
      <c r="Z511" s="889"/>
      <c r="AA511" s="889"/>
      <c r="AB511" s="889"/>
      <c r="AC511" s="889"/>
      <c r="AD511" s="889"/>
      <c r="AE511" s="889"/>
      <c r="AF511" s="889"/>
      <c r="AG511" s="889"/>
      <c r="AH511" s="889"/>
      <c r="AI511" s="889"/>
      <c r="AJ511" s="889"/>
      <c r="AK511" s="889"/>
      <c r="AL511" s="889"/>
      <c r="AM511" s="889"/>
      <c r="AN511" s="889"/>
      <c r="AO511" s="889"/>
      <c r="AP511" s="889"/>
      <c r="AQ511" s="889"/>
      <c r="AR511" s="889"/>
      <c r="AS511" s="889"/>
      <c r="AT511" s="889"/>
      <c r="AU511" s="889"/>
      <c r="AV511" s="889"/>
      <c r="AW511" s="889"/>
      <c r="AX511" s="889"/>
      <c r="AY511" s="889"/>
      <c r="AZ511" s="889"/>
      <c r="BA511" s="889"/>
      <c r="BB511" s="889"/>
      <c r="BC511" s="889"/>
      <c r="BD511" s="889"/>
      <c r="BE511" s="890"/>
      <c r="BF511" s="695"/>
    </row>
    <row r="512" spans="1:58" ht="13.15" x14ac:dyDescent="0.45">
      <c r="A512" s="695"/>
      <c r="B512" s="903" t="s">
        <v>79</v>
      </c>
      <c r="C512" s="889"/>
      <c r="D512" s="889"/>
      <c r="E512" s="889"/>
      <c r="F512" s="889"/>
      <c r="G512" s="901"/>
      <c r="H512" s="889"/>
      <c r="I512" s="889"/>
      <c r="J512" s="889"/>
      <c r="K512" s="889"/>
      <c r="L512" s="889"/>
      <c r="M512" s="889"/>
      <c r="N512" s="889"/>
      <c r="O512" s="889"/>
      <c r="P512" s="889"/>
      <c r="Q512" s="889"/>
      <c r="R512" s="889"/>
      <c r="S512" s="889"/>
      <c r="T512" s="889"/>
      <c r="U512" s="889"/>
      <c r="V512" s="889"/>
      <c r="W512" s="889"/>
      <c r="X512" s="889"/>
      <c r="Y512" s="889"/>
      <c r="Z512" s="889"/>
      <c r="AA512" s="889"/>
      <c r="AB512" s="889"/>
      <c r="AC512" s="889"/>
      <c r="AD512" s="889"/>
      <c r="AE512" s="889"/>
      <c r="AF512" s="889"/>
      <c r="AG512" s="889"/>
      <c r="AH512" s="889"/>
      <c r="AI512" s="889"/>
      <c r="AJ512" s="889"/>
      <c r="AK512" s="889"/>
      <c r="AL512" s="889"/>
      <c r="AM512" s="889"/>
      <c r="AN512" s="889"/>
      <c r="AO512" s="889"/>
      <c r="AP512" s="889"/>
      <c r="AQ512" s="889"/>
      <c r="AR512" s="889"/>
      <c r="AS512" s="889"/>
      <c r="AT512" s="889"/>
      <c r="AU512" s="889"/>
      <c r="AV512" s="889"/>
      <c r="AW512" s="889"/>
      <c r="AX512" s="889"/>
      <c r="AY512" s="889"/>
      <c r="AZ512" s="889"/>
      <c r="BA512" s="889"/>
      <c r="BB512" s="889"/>
      <c r="BC512" s="889"/>
      <c r="BD512" s="889"/>
      <c r="BE512" s="890"/>
      <c r="BF512" s="695"/>
    </row>
    <row r="513" spans="1:58" x14ac:dyDescent="0.45">
      <c r="A513" s="695"/>
      <c r="B513" s="888"/>
      <c r="C513" s="1030" t="s">
        <v>77</v>
      </c>
      <c r="D513" s="889"/>
      <c r="E513" s="889"/>
      <c r="F513" s="889"/>
      <c r="G513" s="1558">
        <f>IF('II. Inputs, Baseline Energy Mix'!$P$19&gt;0, ('II. Inputs, Baseline Energy Mix'!$P$20*'II. Inputs, Baseline Energy Mix'!$P$21*'II. Inputs, Baseline Energy Mix'!$P$35*'II. Inputs, Baseline Energy Mix'!$P$88),0)</f>
        <v>0</v>
      </c>
      <c r="H513" s="889"/>
      <c r="I513" s="889"/>
      <c r="J513" s="889"/>
      <c r="K513" s="889"/>
      <c r="L513" s="889"/>
      <c r="M513" s="889"/>
      <c r="N513" s="889"/>
      <c r="O513" s="889"/>
      <c r="P513" s="889"/>
      <c r="Q513" s="889"/>
      <c r="R513" s="889"/>
      <c r="S513" s="889"/>
      <c r="T513" s="889"/>
      <c r="U513" s="889"/>
      <c r="V513" s="889"/>
      <c r="W513" s="889"/>
      <c r="X513" s="889"/>
      <c r="Y513" s="889"/>
      <c r="Z513" s="889"/>
      <c r="AA513" s="889"/>
      <c r="AB513" s="889"/>
      <c r="AC513" s="889"/>
      <c r="AD513" s="889"/>
      <c r="AE513" s="889"/>
      <c r="AF513" s="889"/>
      <c r="AG513" s="889"/>
      <c r="AH513" s="889"/>
      <c r="AI513" s="889"/>
      <c r="AJ513" s="889"/>
      <c r="AK513" s="889"/>
      <c r="AL513" s="889"/>
      <c r="AM513" s="889"/>
      <c r="AN513" s="889"/>
      <c r="AO513" s="889"/>
      <c r="AP513" s="889"/>
      <c r="AQ513" s="889"/>
      <c r="AR513" s="889"/>
      <c r="AS513" s="889"/>
      <c r="AT513" s="889"/>
      <c r="AU513" s="889"/>
      <c r="AV513" s="889"/>
      <c r="AW513" s="889"/>
      <c r="AX513" s="889"/>
      <c r="AY513" s="889"/>
      <c r="AZ513" s="889"/>
      <c r="BA513" s="889"/>
      <c r="BB513" s="889"/>
      <c r="BC513" s="889"/>
      <c r="BD513" s="889"/>
      <c r="BE513" s="890"/>
      <c r="BF513" s="695"/>
    </row>
    <row r="514" spans="1:58" x14ac:dyDescent="0.45">
      <c r="A514" s="695"/>
      <c r="B514" s="888"/>
      <c r="C514" s="1030" t="str">
        <f>'II. Inputs, Baseline Energy Mix'!$E$89</f>
        <v xml:space="preserve">Term of Political Risk Insurance </v>
      </c>
      <c r="D514" s="889"/>
      <c r="E514" s="889"/>
      <c r="F514" s="889"/>
      <c r="G514" s="891">
        <f>'II. Inputs, Baseline Energy Mix'!$P$89</f>
        <v>0</v>
      </c>
      <c r="H514" s="889"/>
      <c r="I514" s="889"/>
      <c r="J514" s="889"/>
      <c r="K514" s="889"/>
      <c r="L514" s="889"/>
      <c r="M514" s="889"/>
      <c r="N514" s="889"/>
      <c r="O514" s="889"/>
      <c r="P514" s="889"/>
      <c r="Q514" s="889"/>
      <c r="R514" s="889"/>
      <c r="S514" s="889"/>
      <c r="T514" s="889"/>
      <c r="U514" s="889"/>
      <c r="V514" s="889"/>
      <c r="W514" s="889"/>
      <c r="X514" s="889"/>
      <c r="Y514" s="889"/>
      <c r="Z514" s="889"/>
      <c r="AA514" s="889"/>
      <c r="AB514" s="889"/>
      <c r="AC514" s="889"/>
      <c r="AD514" s="889"/>
      <c r="AE514" s="889"/>
      <c r="AF514" s="889"/>
      <c r="AG514" s="889"/>
      <c r="AH514" s="889"/>
      <c r="AI514" s="889"/>
      <c r="AJ514" s="889"/>
      <c r="AK514" s="889"/>
      <c r="AL514" s="889"/>
      <c r="AM514" s="889"/>
      <c r="AN514" s="889"/>
      <c r="AO514" s="889"/>
      <c r="AP514" s="889"/>
      <c r="AQ514" s="889"/>
      <c r="AR514" s="889"/>
      <c r="AS514" s="889"/>
      <c r="AT514" s="889"/>
      <c r="AU514" s="889"/>
      <c r="AV514" s="889"/>
      <c r="AW514" s="889"/>
      <c r="AX514" s="889"/>
      <c r="AY514" s="889"/>
      <c r="AZ514" s="889"/>
      <c r="BA514" s="889"/>
      <c r="BB514" s="889"/>
      <c r="BC514" s="889"/>
      <c r="BD514" s="889"/>
      <c r="BE514" s="890"/>
      <c r="BF514" s="695"/>
    </row>
    <row r="515" spans="1:58" x14ac:dyDescent="0.45">
      <c r="A515" s="695"/>
      <c r="B515" s="888"/>
      <c r="C515" s="1030" t="str">
        <f>'II. Inputs, Baseline Energy Mix'!$E$90</f>
        <v xml:space="preserve">Front-end Fee </v>
      </c>
      <c r="D515" s="889"/>
      <c r="E515" s="889"/>
      <c r="F515" s="889"/>
      <c r="G515" s="1036">
        <f>'II. Inputs, Baseline Energy Mix'!$P$90</f>
        <v>0</v>
      </c>
      <c r="H515" s="889"/>
      <c r="I515" s="889"/>
      <c r="J515" s="889"/>
      <c r="K515" s="889"/>
      <c r="L515" s="889"/>
      <c r="M515" s="889"/>
      <c r="N515" s="889"/>
      <c r="O515" s="889"/>
      <c r="P515" s="889"/>
      <c r="Q515" s="889"/>
      <c r="R515" s="889"/>
      <c r="S515" s="889"/>
      <c r="T515" s="889"/>
      <c r="U515" s="889"/>
      <c r="V515" s="889"/>
      <c r="W515" s="889"/>
      <c r="X515" s="889"/>
      <c r="Y515" s="889"/>
      <c r="Z515" s="889"/>
      <c r="AA515" s="889"/>
      <c r="AB515" s="889"/>
      <c r="AC515" s="889"/>
      <c r="AD515" s="889"/>
      <c r="AE515" s="889"/>
      <c r="AF515" s="889"/>
      <c r="AG515" s="889"/>
      <c r="AH515" s="889"/>
      <c r="AI515" s="889"/>
      <c r="AJ515" s="889"/>
      <c r="AK515" s="889"/>
      <c r="AL515" s="889"/>
      <c r="AM515" s="889"/>
      <c r="AN515" s="889"/>
      <c r="AO515" s="889"/>
      <c r="AP515" s="889"/>
      <c r="AQ515" s="889"/>
      <c r="AR515" s="889"/>
      <c r="AS515" s="889"/>
      <c r="AT515" s="889"/>
      <c r="AU515" s="889"/>
      <c r="AV515" s="889"/>
      <c r="AW515" s="889"/>
      <c r="AX515" s="889"/>
      <c r="AY515" s="889"/>
      <c r="AZ515" s="889"/>
      <c r="BA515" s="889"/>
      <c r="BB515" s="889"/>
      <c r="BC515" s="889"/>
      <c r="BD515" s="889"/>
      <c r="BE515" s="890"/>
      <c r="BF515" s="695"/>
    </row>
    <row r="516" spans="1:58" x14ac:dyDescent="0.45">
      <c r="A516" s="695"/>
      <c r="B516" s="888"/>
      <c r="C516" s="1030" t="str">
        <f>'II. Inputs, Baseline Energy Mix'!$E$91</f>
        <v xml:space="preserve">Annual Political Risk Insurance Premium </v>
      </c>
      <c r="D516" s="889"/>
      <c r="E516" s="889"/>
      <c r="F516" s="889"/>
      <c r="G516" s="1036">
        <f>'II. Inputs, Baseline Energy Mix'!$P$91</f>
        <v>0</v>
      </c>
      <c r="H516" s="889"/>
      <c r="I516" s="889"/>
      <c r="J516" s="889"/>
      <c r="K516" s="889"/>
      <c r="L516" s="889"/>
      <c r="M516" s="889"/>
      <c r="N516" s="889"/>
      <c r="O516" s="889"/>
      <c r="P516" s="889"/>
      <c r="Q516" s="889"/>
      <c r="R516" s="889"/>
      <c r="S516" s="889"/>
      <c r="T516" s="889"/>
      <c r="U516" s="889"/>
      <c r="V516" s="889"/>
      <c r="W516" s="889"/>
      <c r="X516" s="889"/>
      <c r="Y516" s="889"/>
      <c r="Z516" s="889"/>
      <c r="AA516" s="889"/>
      <c r="AB516" s="889"/>
      <c r="AC516" s="889"/>
      <c r="AD516" s="889"/>
      <c r="AE516" s="889"/>
      <c r="AF516" s="889"/>
      <c r="AG516" s="889"/>
      <c r="AH516" s="889"/>
      <c r="AI516" s="889"/>
      <c r="AJ516" s="889"/>
      <c r="AK516" s="889"/>
      <c r="AL516" s="889"/>
      <c r="AM516" s="889"/>
      <c r="AN516" s="889"/>
      <c r="AO516" s="889"/>
      <c r="AP516" s="889"/>
      <c r="AQ516" s="889"/>
      <c r="AR516" s="889"/>
      <c r="AS516" s="889"/>
      <c r="AT516" s="889"/>
      <c r="AU516" s="889"/>
      <c r="AV516" s="889"/>
      <c r="AW516" s="889"/>
      <c r="AX516" s="889"/>
      <c r="AY516" s="889"/>
      <c r="AZ516" s="889"/>
      <c r="BA516" s="889"/>
      <c r="BB516" s="889"/>
      <c r="BC516" s="889"/>
      <c r="BD516" s="889"/>
      <c r="BE516" s="890"/>
      <c r="BF516" s="695"/>
    </row>
    <row r="517" spans="1:58" x14ac:dyDescent="0.45">
      <c r="A517" s="695"/>
      <c r="B517" s="888"/>
      <c r="C517" s="889"/>
      <c r="D517" s="889"/>
      <c r="E517" s="889"/>
      <c r="F517" s="889"/>
      <c r="G517" s="889"/>
      <c r="H517" s="889"/>
      <c r="I517" s="889"/>
      <c r="J517" s="889"/>
      <c r="K517" s="889"/>
      <c r="L517" s="889"/>
      <c r="M517" s="889"/>
      <c r="N517" s="889"/>
      <c r="O517" s="889"/>
      <c r="P517" s="889"/>
      <c r="Q517" s="889"/>
      <c r="R517" s="889"/>
      <c r="S517" s="889"/>
      <c r="T517" s="889"/>
      <c r="U517" s="889"/>
      <c r="V517" s="889"/>
      <c r="W517" s="889"/>
      <c r="X517" s="889"/>
      <c r="Y517" s="889"/>
      <c r="Z517" s="889"/>
      <c r="AA517" s="889"/>
      <c r="AB517" s="889"/>
      <c r="AC517" s="889"/>
      <c r="AD517" s="889"/>
      <c r="AE517" s="889"/>
      <c r="AF517" s="889"/>
      <c r="AG517" s="889"/>
      <c r="AH517" s="889"/>
      <c r="AI517" s="889"/>
      <c r="AJ517" s="889"/>
      <c r="AK517" s="889"/>
      <c r="AL517" s="889"/>
      <c r="AM517" s="889"/>
      <c r="AN517" s="889"/>
      <c r="AO517" s="889"/>
      <c r="AP517" s="889"/>
      <c r="AQ517" s="889"/>
      <c r="AR517" s="889"/>
      <c r="AS517" s="889"/>
      <c r="AT517" s="889"/>
      <c r="AU517" s="889"/>
      <c r="AV517" s="889"/>
      <c r="AW517" s="889"/>
      <c r="AX517" s="889"/>
      <c r="AY517" s="889"/>
      <c r="AZ517" s="889"/>
      <c r="BA517" s="889"/>
      <c r="BB517" s="889"/>
      <c r="BC517" s="889"/>
      <c r="BD517" s="889"/>
      <c r="BE517" s="890"/>
      <c r="BF517" s="695"/>
    </row>
    <row r="518" spans="1:58" x14ac:dyDescent="0.45">
      <c r="A518" s="695"/>
      <c r="B518" s="888"/>
      <c r="C518" s="1033" t="s">
        <v>64</v>
      </c>
      <c r="D518" s="889"/>
      <c r="E518" s="889"/>
      <c r="F518" s="889"/>
      <c r="G518" s="889"/>
      <c r="H518" s="889"/>
      <c r="I518" s="889"/>
      <c r="J518" s="889"/>
      <c r="K518" s="889"/>
      <c r="L518" s="889"/>
      <c r="M518" s="889"/>
      <c r="N518" s="889"/>
      <c r="O518" s="889"/>
      <c r="P518" s="889"/>
      <c r="Q518" s="889"/>
      <c r="R518" s="889"/>
      <c r="S518" s="889"/>
      <c r="T518" s="889"/>
      <c r="U518" s="889"/>
      <c r="V518" s="889"/>
      <c r="W518" s="889"/>
      <c r="X518" s="889"/>
      <c r="Y518" s="889"/>
      <c r="Z518" s="889"/>
      <c r="AA518" s="889"/>
      <c r="AB518" s="889"/>
      <c r="AC518" s="889"/>
      <c r="AD518" s="889"/>
      <c r="AE518" s="889"/>
      <c r="AF518" s="889"/>
      <c r="AG518" s="889"/>
      <c r="AH518" s="889"/>
      <c r="AI518" s="889"/>
      <c r="AJ518" s="889"/>
      <c r="AK518" s="889"/>
      <c r="AL518" s="889"/>
      <c r="AM518" s="889"/>
      <c r="AN518" s="889"/>
      <c r="AO518" s="889"/>
      <c r="AP518" s="889"/>
      <c r="AQ518" s="889"/>
      <c r="AR518" s="889"/>
      <c r="AS518" s="889"/>
      <c r="AT518" s="889"/>
      <c r="AU518" s="889"/>
      <c r="AV518" s="889"/>
      <c r="AW518" s="889"/>
      <c r="AX518" s="889"/>
      <c r="AY518" s="889"/>
      <c r="AZ518" s="889"/>
      <c r="BA518" s="889"/>
      <c r="BB518" s="889"/>
      <c r="BC518" s="889"/>
      <c r="BD518" s="889"/>
      <c r="BE518" s="890"/>
      <c r="BF518" s="695"/>
    </row>
    <row r="519" spans="1:58" x14ac:dyDescent="0.45">
      <c r="A519" s="695"/>
      <c r="B519" s="888"/>
      <c r="C519" s="889" t="str">
        <f>'II. Inputs, Baseline Energy Mix'!$E$90</f>
        <v xml:space="preserve">Front-end Fee </v>
      </c>
      <c r="D519" s="889"/>
      <c r="E519" s="889"/>
      <c r="F519" s="889"/>
      <c r="G519" s="889"/>
      <c r="H519" s="1558">
        <f>IF(G513&gt;0, G513*G515/10000, 0)</f>
        <v>0</v>
      </c>
      <c r="I519" s="1558">
        <v>0</v>
      </c>
      <c r="J519" s="1558">
        <v>0</v>
      </c>
      <c r="K519" s="1558">
        <v>0</v>
      </c>
      <c r="L519" s="1558">
        <v>0</v>
      </c>
      <c r="M519" s="1558">
        <v>0</v>
      </c>
      <c r="N519" s="1558">
        <v>0</v>
      </c>
      <c r="O519" s="1558">
        <v>0</v>
      </c>
      <c r="P519" s="1558">
        <v>0</v>
      </c>
      <c r="Q519" s="1558">
        <v>0</v>
      </c>
      <c r="R519" s="1558">
        <v>0</v>
      </c>
      <c r="S519" s="1558">
        <v>0</v>
      </c>
      <c r="T519" s="1558">
        <v>0</v>
      </c>
      <c r="U519" s="1558">
        <v>0</v>
      </c>
      <c r="V519" s="1558">
        <v>0</v>
      </c>
      <c r="W519" s="1558">
        <v>0</v>
      </c>
      <c r="X519" s="1558">
        <v>0</v>
      </c>
      <c r="Y519" s="1558">
        <v>0</v>
      </c>
      <c r="Z519" s="1558">
        <v>0</v>
      </c>
      <c r="AA519" s="1558">
        <v>0</v>
      </c>
      <c r="AB519" s="1558">
        <v>0</v>
      </c>
      <c r="AC519" s="1558">
        <v>0</v>
      </c>
      <c r="AD519" s="1558">
        <v>0</v>
      </c>
      <c r="AE519" s="1558">
        <v>0</v>
      </c>
      <c r="AF519" s="1558">
        <v>0</v>
      </c>
      <c r="AG519" s="1558">
        <v>0</v>
      </c>
      <c r="AH519" s="1558">
        <v>0</v>
      </c>
      <c r="AI519" s="1558">
        <v>0</v>
      </c>
      <c r="AJ519" s="1558">
        <v>0</v>
      </c>
      <c r="AK519" s="1558">
        <v>0</v>
      </c>
      <c r="AL519" s="1558">
        <v>0</v>
      </c>
      <c r="AM519" s="1558">
        <v>0</v>
      </c>
      <c r="AN519" s="1558">
        <v>0</v>
      </c>
      <c r="AO519" s="1558">
        <v>0</v>
      </c>
      <c r="AP519" s="1558">
        <v>0</v>
      </c>
      <c r="AQ519" s="1558">
        <v>0</v>
      </c>
      <c r="AR519" s="1558">
        <v>0</v>
      </c>
      <c r="AS519" s="1558">
        <v>0</v>
      </c>
      <c r="AT519" s="1558">
        <v>0</v>
      </c>
      <c r="AU519" s="1558">
        <v>0</v>
      </c>
      <c r="AV519" s="1558">
        <v>0</v>
      </c>
      <c r="AW519" s="1558">
        <v>0</v>
      </c>
      <c r="AX519" s="1558">
        <v>0</v>
      </c>
      <c r="AY519" s="1558">
        <v>0</v>
      </c>
      <c r="AZ519" s="1558">
        <v>0</v>
      </c>
      <c r="BA519" s="1558">
        <v>0</v>
      </c>
      <c r="BB519" s="1558">
        <v>0</v>
      </c>
      <c r="BC519" s="1558">
        <v>0</v>
      </c>
      <c r="BD519" s="1558">
        <v>0</v>
      </c>
      <c r="BE519" s="1559">
        <v>0</v>
      </c>
      <c r="BF519" s="695"/>
    </row>
    <row r="520" spans="1:58" x14ac:dyDescent="0.45">
      <c r="A520" s="695"/>
      <c r="B520" s="888"/>
      <c r="C520" s="896" t="str">
        <f>'II. Inputs, Baseline Energy Mix'!$E$91</f>
        <v xml:space="preserve">Annual Political Risk Insurance Premium </v>
      </c>
      <c r="D520" s="896"/>
      <c r="E520" s="896"/>
      <c r="F520" s="896"/>
      <c r="G520" s="896"/>
      <c r="H520" s="1560">
        <f>IF(H$292&gt;$G514,0,($G513*$G516/10000))</f>
        <v>0</v>
      </c>
      <c r="I520" s="1560">
        <f>IF(I$292&gt;$G514,0,($G513*$G516/10000))</f>
        <v>0</v>
      </c>
      <c r="J520" s="1560">
        <f t="shared" ref="J520:BE520" si="183">IF(J$292&gt;$G514,0,($G513*$G516/10000))</f>
        <v>0</v>
      </c>
      <c r="K520" s="1560">
        <f t="shared" si="183"/>
        <v>0</v>
      </c>
      <c r="L520" s="1560">
        <f t="shared" si="183"/>
        <v>0</v>
      </c>
      <c r="M520" s="1560">
        <f t="shared" si="183"/>
        <v>0</v>
      </c>
      <c r="N520" s="1560">
        <f t="shared" si="183"/>
        <v>0</v>
      </c>
      <c r="O520" s="1560">
        <f t="shared" si="183"/>
        <v>0</v>
      </c>
      <c r="P520" s="1560">
        <f t="shared" si="183"/>
        <v>0</v>
      </c>
      <c r="Q520" s="1560">
        <f t="shared" si="183"/>
        <v>0</v>
      </c>
      <c r="R520" s="1560">
        <f t="shared" si="183"/>
        <v>0</v>
      </c>
      <c r="S520" s="1560">
        <f t="shared" si="183"/>
        <v>0</v>
      </c>
      <c r="T520" s="1560">
        <f t="shared" si="183"/>
        <v>0</v>
      </c>
      <c r="U520" s="1560">
        <f t="shared" si="183"/>
        <v>0</v>
      </c>
      <c r="V520" s="1560">
        <f t="shared" si="183"/>
        <v>0</v>
      </c>
      <c r="W520" s="1560">
        <f t="shared" si="183"/>
        <v>0</v>
      </c>
      <c r="X520" s="1560">
        <f t="shared" si="183"/>
        <v>0</v>
      </c>
      <c r="Y520" s="1560">
        <f t="shared" si="183"/>
        <v>0</v>
      </c>
      <c r="Z520" s="1560">
        <f t="shared" si="183"/>
        <v>0</v>
      </c>
      <c r="AA520" s="1560">
        <f t="shared" si="183"/>
        <v>0</v>
      </c>
      <c r="AB520" s="1560">
        <f t="shared" si="183"/>
        <v>0</v>
      </c>
      <c r="AC520" s="1560">
        <f t="shared" si="183"/>
        <v>0</v>
      </c>
      <c r="AD520" s="1560">
        <f t="shared" si="183"/>
        <v>0</v>
      </c>
      <c r="AE520" s="1560">
        <f t="shared" si="183"/>
        <v>0</v>
      </c>
      <c r="AF520" s="1560">
        <f t="shared" si="183"/>
        <v>0</v>
      </c>
      <c r="AG520" s="1560">
        <f t="shared" si="183"/>
        <v>0</v>
      </c>
      <c r="AH520" s="1560">
        <f t="shared" si="183"/>
        <v>0</v>
      </c>
      <c r="AI520" s="1560">
        <f t="shared" si="183"/>
        <v>0</v>
      </c>
      <c r="AJ520" s="1560">
        <f t="shared" si="183"/>
        <v>0</v>
      </c>
      <c r="AK520" s="1560">
        <f t="shared" si="183"/>
        <v>0</v>
      </c>
      <c r="AL520" s="1560">
        <f t="shared" si="183"/>
        <v>0</v>
      </c>
      <c r="AM520" s="1560">
        <f t="shared" si="183"/>
        <v>0</v>
      </c>
      <c r="AN520" s="1560">
        <f t="shared" si="183"/>
        <v>0</v>
      </c>
      <c r="AO520" s="1560">
        <f t="shared" si="183"/>
        <v>0</v>
      </c>
      <c r="AP520" s="1560">
        <f t="shared" si="183"/>
        <v>0</v>
      </c>
      <c r="AQ520" s="1560">
        <f t="shared" si="183"/>
        <v>0</v>
      </c>
      <c r="AR520" s="1560">
        <f t="shared" si="183"/>
        <v>0</v>
      </c>
      <c r="AS520" s="1560">
        <f t="shared" si="183"/>
        <v>0</v>
      </c>
      <c r="AT520" s="1560">
        <f t="shared" si="183"/>
        <v>0</v>
      </c>
      <c r="AU520" s="1560">
        <f t="shared" si="183"/>
        <v>0</v>
      </c>
      <c r="AV520" s="1560">
        <f t="shared" si="183"/>
        <v>0</v>
      </c>
      <c r="AW520" s="1560">
        <f t="shared" si="183"/>
        <v>0</v>
      </c>
      <c r="AX520" s="1560">
        <f t="shared" si="183"/>
        <v>0</v>
      </c>
      <c r="AY520" s="1560">
        <f t="shared" si="183"/>
        <v>0</v>
      </c>
      <c r="AZ520" s="1560">
        <f t="shared" si="183"/>
        <v>0</v>
      </c>
      <c r="BA520" s="1560">
        <f t="shared" si="183"/>
        <v>0</v>
      </c>
      <c r="BB520" s="1560">
        <f t="shared" si="183"/>
        <v>0</v>
      </c>
      <c r="BC520" s="1560">
        <f t="shared" si="183"/>
        <v>0</v>
      </c>
      <c r="BD520" s="1560">
        <f t="shared" si="183"/>
        <v>0</v>
      </c>
      <c r="BE520" s="1561">
        <f t="shared" si="183"/>
        <v>0</v>
      </c>
      <c r="BF520" s="695"/>
    </row>
    <row r="521" spans="1:58" x14ac:dyDescent="0.45">
      <c r="A521" s="695"/>
      <c r="B521" s="888"/>
      <c r="C521" s="889" t="s">
        <v>78</v>
      </c>
      <c r="D521" s="889"/>
      <c r="E521" s="889"/>
      <c r="F521" s="889"/>
      <c r="G521" s="889"/>
      <c r="H521" s="1558">
        <f>H519+H520</f>
        <v>0</v>
      </c>
      <c r="I521" s="1558">
        <f t="shared" ref="I521:BE521" si="184">I519+I520</f>
        <v>0</v>
      </c>
      <c r="J521" s="1558">
        <f t="shared" si="184"/>
        <v>0</v>
      </c>
      <c r="K521" s="1558">
        <f t="shared" si="184"/>
        <v>0</v>
      </c>
      <c r="L521" s="1558">
        <f t="shared" si="184"/>
        <v>0</v>
      </c>
      <c r="M521" s="1558">
        <f t="shared" si="184"/>
        <v>0</v>
      </c>
      <c r="N521" s="1558">
        <f t="shared" si="184"/>
        <v>0</v>
      </c>
      <c r="O521" s="1558">
        <f t="shared" si="184"/>
        <v>0</v>
      </c>
      <c r="P521" s="1558">
        <f t="shared" si="184"/>
        <v>0</v>
      </c>
      <c r="Q521" s="1558">
        <f t="shared" si="184"/>
        <v>0</v>
      </c>
      <c r="R521" s="1558">
        <f t="shared" si="184"/>
        <v>0</v>
      </c>
      <c r="S521" s="1558">
        <f t="shared" si="184"/>
        <v>0</v>
      </c>
      <c r="T521" s="1558">
        <f t="shared" si="184"/>
        <v>0</v>
      </c>
      <c r="U521" s="1558">
        <f t="shared" si="184"/>
        <v>0</v>
      </c>
      <c r="V521" s="1558">
        <f t="shared" si="184"/>
        <v>0</v>
      </c>
      <c r="W521" s="1558">
        <f t="shared" si="184"/>
        <v>0</v>
      </c>
      <c r="X521" s="1558">
        <f t="shared" si="184"/>
        <v>0</v>
      </c>
      <c r="Y521" s="1558">
        <f t="shared" si="184"/>
        <v>0</v>
      </c>
      <c r="Z521" s="1558">
        <f t="shared" si="184"/>
        <v>0</v>
      </c>
      <c r="AA521" s="1558">
        <f t="shared" si="184"/>
        <v>0</v>
      </c>
      <c r="AB521" s="1558">
        <f t="shared" si="184"/>
        <v>0</v>
      </c>
      <c r="AC521" s="1558">
        <f t="shared" si="184"/>
        <v>0</v>
      </c>
      <c r="AD521" s="1558">
        <f t="shared" si="184"/>
        <v>0</v>
      </c>
      <c r="AE521" s="1558">
        <f t="shared" si="184"/>
        <v>0</v>
      </c>
      <c r="AF521" s="1558">
        <f t="shared" si="184"/>
        <v>0</v>
      </c>
      <c r="AG521" s="1558">
        <f t="shared" si="184"/>
        <v>0</v>
      </c>
      <c r="AH521" s="1558">
        <f t="shared" si="184"/>
        <v>0</v>
      </c>
      <c r="AI521" s="1558">
        <f t="shared" si="184"/>
        <v>0</v>
      </c>
      <c r="AJ521" s="1558">
        <f t="shared" si="184"/>
        <v>0</v>
      </c>
      <c r="AK521" s="1558">
        <f t="shared" si="184"/>
        <v>0</v>
      </c>
      <c r="AL521" s="1558">
        <f t="shared" si="184"/>
        <v>0</v>
      </c>
      <c r="AM521" s="1558">
        <f t="shared" si="184"/>
        <v>0</v>
      </c>
      <c r="AN521" s="1558">
        <f t="shared" si="184"/>
        <v>0</v>
      </c>
      <c r="AO521" s="1558">
        <f t="shared" si="184"/>
        <v>0</v>
      </c>
      <c r="AP521" s="1558">
        <f t="shared" si="184"/>
        <v>0</v>
      </c>
      <c r="AQ521" s="1558">
        <f t="shared" si="184"/>
        <v>0</v>
      </c>
      <c r="AR521" s="1558">
        <f t="shared" si="184"/>
        <v>0</v>
      </c>
      <c r="AS521" s="1558">
        <f t="shared" si="184"/>
        <v>0</v>
      </c>
      <c r="AT521" s="1558">
        <f t="shared" si="184"/>
        <v>0</v>
      </c>
      <c r="AU521" s="1558">
        <f t="shared" si="184"/>
        <v>0</v>
      </c>
      <c r="AV521" s="1558">
        <f t="shared" si="184"/>
        <v>0</v>
      </c>
      <c r="AW521" s="1558">
        <f t="shared" si="184"/>
        <v>0</v>
      </c>
      <c r="AX521" s="1558">
        <f t="shared" si="184"/>
        <v>0</v>
      </c>
      <c r="AY521" s="1558">
        <f t="shared" si="184"/>
        <v>0</v>
      </c>
      <c r="AZ521" s="1558">
        <f t="shared" si="184"/>
        <v>0</v>
      </c>
      <c r="BA521" s="1558">
        <f t="shared" si="184"/>
        <v>0</v>
      </c>
      <c r="BB521" s="1558">
        <f t="shared" si="184"/>
        <v>0</v>
      </c>
      <c r="BC521" s="1558">
        <f t="shared" si="184"/>
        <v>0</v>
      </c>
      <c r="BD521" s="1558">
        <f t="shared" si="184"/>
        <v>0</v>
      </c>
      <c r="BE521" s="1559">
        <f t="shared" si="184"/>
        <v>0</v>
      </c>
      <c r="BF521" s="695"/>
    </row>
    <row r="522" spans="1:58" ht="13.15" thickBot="1" x14ac:dyDescent="0.5">
      <c r="A522" s="695"/>
      <c r="B522" s="912"/>
      <c r="C522" s="913"/>
      <c r="D522" s="913"/>
      <c r="E522" s="913"/>
      <c r="F522" s="913"/>
      <c r="G522" s="913"/>
      <c r="H522" s="1563"/>
      <c r="I522" s="1563"/>
      <c r="J522" s="1563"/>
      <c r="K522" s="1563"/>
      <c r="L522" s="1563"/>
      <c r="M522" s="1563"/>
      <c r="N522" s="1563"/>
      <c r="O522" s="1563"/>
      <c r="P522" s="1563"/>
      <c r="Q522" s="1563"/>
      <c r="R522" s="1563"/>
      <c r="S522" s="1563"/>
      <c r="T522" s="1563"/>
      <c r="U522" s="1563"/>
      <c r="V522" s="1563"/>
      <c r="W522" s="1563"/>
      <c r="X522" s="1563"/>
      <c r="Y522" s="1563"/>
      <c r="Z522" s="1563"/>
      <c r="AA522" s="1563"/>
      <c r="AB522" s="1563"/>
      <c r="AC522" s="1563"/>
      <c r="AD522" s="1563"/>
      <c r="AE522" s="1563"/>
      <c r="AF522" s="1563"/>
      <c r="AG522" s="1563"/>
      <c r="AH522" s="1563"/>
      <c r="AI522" s="1563"/>
      <c r="AJ522" s="1563"/>
      <c r="AK522" s="1563"/>
      <c r="AL522" s="1563"/>
      <c r="AM522" s="1563"/>
      <c r="AN522" s="1563"/>
      <c r="AO522" s="1563"/>
      <c r="AP522" s="1563"/>
      <c r="AQ522" s="1563"/>
      <c r="AR522" s="1563"/>
      <c r="AS522" s="1563"/>
      <c r="AT522" s="1563"/>
      <c r="AU522" s="1563"/>
      <c r="AV522" s="1563"/>
      <c r="AW522" s="1563"/>
      <c r="AX522" s="1563"/>
      <c r="AY522" s="1563"/>
      <c r="AZ522" s="1563"/>
      <c r="BA522" s="1563"/>
      <c r="BB522" s="1563"/>
      <c r="BC522" s="1563"/>
      <c r="BD522" s="1563"/>
      <c r="BE522" s="1598"/>
      <c r="BF522" s="695"/>
    </row>
    <row r="523" spans="1:58" ht="15.75" customHeight="1" thickBot="1" x14ac:dyDescent="0.5">
      <c r="A523" s="695"/>
      <c r="B523" s="695"/>
      <c r="C523" s="695"/>
      <c r="D523" s="695"/>
      <c r="E523" s="695"/>
      <c r="F523" s="695"/>
      <c r="G523" s="695"/>
      <c r="H523" s="1548"/>
      <c r="I523" s="1548"/>
      <c r="J523" s="1548"/>
      <c r="K523" s="1548"/>
      <c r="L523" s="1548"/>
      <c r="M523" s="1548"/>
      <c r="N523" s="1548"/>
      <c r="O523" s="1548"/>
      <c r="P523" s="1548"/>
      <c r="Q523" s="1548"/>
      <c r="R523" s="1548"/>
      <c r="S523" s="1548"/>
      <c r="T523" s="1548"/>
      <c r="U523" s="1548"/>
      <c r="V523" s="1548"/>
      <c r="W523" s="1548"/>
      <c r="X523" s="1548"/>
      <c r="Y523" s="1548"/>
      <c r="Z523" s="1548"/>
      <c r="AA523" s="1548"/>
      <c r="AB523" s="1548"/>
      <c r="AC523" s="1548"/>
      <c r="AD523" s="1548"/>
      <c r="AE523" s="1548"/>
      <c r="AF523" s="1548"/>
      <c r="AG523" s="1548"/>
      <c r="AH523" s="1548"/>
      <c r="AI523" s="1548"/>
      <c r="AJ523" s="1548"/>
      <c r="AK523" s="1548"/>
      <c r="AL523" s="1548"/>
      <c r="AM523" s="1548"/>
      <c r="AN523" s="1548"/>
      <c r="AO523" s="1548"/>
      <c r="AP523" s="1548"/>
      <c r="AQ523" s="1548"/>
      <c r="AR523" s="1548"/>
      <c r="AS523" s="1548"/>
      <c r="AT523" s="1548"/>
      <c r="AU523" s="1548"/>
      <c r="AV523" s="1548"/>
      <c r="AW523" s="1548"/>
      <c r="AX523" s="1548"/>
      <c r="AY523" s="1548"/>
      <c r="AZ523" s="1548"/>
      <c r="BA523" s="1548"/>
      <c r="BB523" s="1548"/>
      <c r="BC523" s="1548"/>
      <c r="BD523" s="1548"/>
      <c r="BE523" s="1548"/>
      <c r="BF523" s="695"/>
    </row>
    <row r="524" spans="1:58" s="479" customFormat="1" ht="13.15" x14ac:dyDescent="0.45">
      <c r="A524" s="704"/>
      <c r="B524" s="915" t="str">
        <f>B152</f>
        <v>Technology #4</v>
      </c>
      <c r="C524" s="916"/>
      <c r="D524" s="916"/>
      <c r="E524" s="916"/>
      <c r="F524" s="916"/>
      <c r="G524" s="916"/>
      <c r="H524" s="916"/>
      <c r="I524" s="916"/>
      <c r="J524" s="916"/>
      <c r="K524" s="916"/>
      <c r="L524" s="916"/>
      <c r="M524" s="916"/>
      <c r="N524" s="916"/>
      <c r="O524" s="916"/>
      <c r="P524" s="916"/>
      <c r="Q524" s="916"/>
      <c r="R524" s="916"/>
      <c r="S524" s="916"/>
      <c r="T524" s="916"/>
      <c r="U524" s="916"/>
      <c r="V524" s="916"/>
      <c r="W524" s="916"/>
      <c r="X524" s="916"/>
      <c r="Y524" s="916"/>
      <c r="Z524" s="916"/>
      <c r="AA524" s="916"/>
      <c r="AB524" s="916"/>
      <c r="AC524" s="916"/>
      <c r="AD524" s="916"/>
      <c r="AE524" s="916"/>
      <c r="AF524" s="916"/>
      <c r="AG524" s="916"/>
      <c r="AH524" s="916"/>
      <c r="AI524" s="916"/>
      <c r="AJ524" s="916"/>
      <c r="AK524" s="916"/>
      <c r="AL524" s="916"/>
      <c r="AM524" s="916"/>
      <c r="AN524" s="916"/>
      <c r="AO524" s="916"/>
      <c r="AP524" s="916"/>
      <c r="AQ524" s="916"/>
      <c r="AR524" s="916"/>
      <c r="AS524" s="916"/>
      <c r="AT524" s="916"/>
      <c r="AU524" s="916"/>
      <c r="AV524" s="916"/>
      <c r="AW524" s="916"/>
      <c r="AX524" s="916"/>
      <c r="AY524" s="916"/>
      <c r="AZ524" s="916"/>
      <c r="BA524" s="916"/>
      <c r="BB524" s="916"/>
      <c r="BC524" s="916"/>
      <c r="BD524" s="916"/>
      <c r="BE524" s="917"/>
      <c r="BF524" s="704"/>
    </row>
    <row r="525" spans="1:58" x14ac:dyDescent="0.45">
      <c r="A525" s="695"/>
      <c r="B525" s="918"/>
      <c r="C525" s="919"/>
      <c r="D525" s="919"/>
      <c r="E525" s="919"/>
      <c r="F525" s="919"/>
      <c r="G525" s="919"/>
      <c r="H525" s="919"/>
      <c r="I525" s="919"/>
      <c r="J525" s="919"/>
      <c r="K525" s="919"/>
      <c r="L525" s="919"/>
      <c r="M525" s="919"/>
      <c r="N525" s="919"/>
      <c r="O525" s="919"/>
      <c r="P525" s="919"/>
      <c r="Q525" s="919"/>
      <c r="R525" s="919"/>
      <c r="S525" s="919"/>
      <c r="T525" s="919"/>
      <c r="U525" s="919"/>
      <c r="V525" s="919"/>
      <c r="W525" s="919"/>
      <c r="X525" s="919"/>
      <c r="Y525" s="919"/>
      <c r="Z525" s="919"/>
      <c r="AA525" s="919"/>
      <c r="AB525" s="919"/>
      <c r="AC525" s="919"/>
      <c r="AD525" s="919"/>
      <c r="AE525" s="919"/>
      <c r="AF525" s="919"/>
      <c r="AG525" s="919"/>
      <c r="AH525" s="919"/>
      <c r="AI525" s="919"/>
      <c r="AJ525" s="919"/>
      <c r="AK525" s="919"/>
      <c r="AL525" s="919"/>
      <c r="AM525" s="919"/>
      <c r="AN525" s="919"/>
      <c r="AO525" s="919"/>
      <c r="AP525" s="919"/>
      <c r="AQ525" s="919"/>
      <c r="AR525" s="919"/>
      <c r="AS525" s="919"/>
      <c r="AT525" s="919"/>
      <c r="AU525" s="919"/>
      <c r="AV525" s="919"/>
      <c r="AW525" s="919"/>
      <c r="AX525" s="919"/>
      <c r="AY525" s="919"/>
      <c r="AZ525" s="919"/>
      <c r="BA525" s="919"/>
      <c r="BB525" s="919"/>
      <c r="BC525" s="919"/>
      <c r="BD525" s="919"/>
      <c r="BE525" s="920"/>
      <c r="BF525" s="695"/>
    </row>
    <row r="526" spans="1:58" ht="13.15" x14ac:dyDescent="0.45">
      <c r="A526" s="695"/>
      <c r="B526" s="931" t="s">
        <v>220</v>
      </c>
      <c r="C526" s="919"/>
      <c r="D526" s="919"/>
      <c r="E526" s="919"/>
      <c r="F526" s="919"/>
      <c r="G526" s="919"/>
      <c r="H526" s="919"/>
      <c r="I526" s="919"/>
      <c r="J526" s="919"/>
      <c r="K526" s="919"/>
      <c r="L526" s="919"/>
      <c r="M526" s="919"/>
      <c r="N526" s="919"/>
      <c r="O526" s="919"/>
      <c r="P526" s="919"/>
      <c r="Q526" s="919"/>
      <c r="R526" s="919"/>
      <c r="S526" s="919"/>
      <c r="T526" s="919"/>
      <c r="U526" s="919"/>
      <c r="V526" s="919"/>
      <c r="W526" s="919"/>
      <c r="X526" s="919"/>
      <c r="Y526" s="919"/>
      <c r="Z526" s="919"/>
      <c r="AA526" s="919"/>
      <c r="AB526" s="919"/>
      <c r="AC526" s="919"/>
      <c r="AD526" s="919"/>
      <c r="AE526" s="919"/>
      <c r="AF526" s="919"/>
      <c r="AG526" s="919"/>
      <c r="AH526" s="919"/>
      <c r="AI526" s="919"/>
      <c r="AJ526" s="919"/>
      <c r="AK526" s="919"/>
      <c r="AL526" s="919"/>
      <c r="AM526" s="919"/>
      <c r="AN526" s="919"/>
      <c r="AO526" s="919"/>
      <c r="AP526" s="919"/>
      <c r="AQ526" s="919"/>
      <c r="AR526" s="919"/>
      <c r="AS526" s="919"/>
      <c r="AT526" s="919"/>
      <c r="AU526" s="919"/>
      <c r="AV526" s="919"/>
      <c r="AW526" s="919"/>
      <c r="AX526" s="919"/>
      <c r="AY526" s="919"/>
      <c r="AZ526" s="919"/>
      <c r="BA526" s="919"/>
      <c r="BB526" s="919"/>
      <c r="BC526" s="919"/>
      <c r="BD526" s="919"/>
      <c r="BE526" s="920"/>
      <c r="BF526" s="695"/>
    </row>
    <row r="527" spans="1:58" x14ac:dyDescent="0.45">
      <c r="A527" s="695"/>
      <c r="B527" s="918"/>
      <c r="C527" s="1037" t="s">
        <v>61</v>
      </c>
      <c r="D527" s="922" t="s">
        <v>748</v>
      </c>
      <c r="E527" s="919"/>
      <c r="F527" s="919"/>
      <c r="G527" s="1566">
        <f>IF('II. Inputs, Baseline Energy Mix'!$Q$19&gt;0,('II. Inputs, Baseline Energy Mix'!$Q$20*'II. Inputs, Baseline Energy Mix'!$Q$21*'II. Inputs, Baseline Energy Mix'!$Q$36*'II. Inputs, Baseline Energy Mix'!$Q$38),0)</f>
        <v>0</v>
      </c>
      <c r="H527" s="919"/>
      <c r="I527" s="919"/>
      <c r="J527" s="919"/>
      <c r="K527" s="919"/>
      <c r="L527" s="919"/>
      <c r="M527" s="919"/>
      <c r="N527" s="919"/>
      <c r="O527" s="919"/>
      <c r="P527" s="919"/>
      <c r="Q527" s="919"/>
      <c r="R527" s="919"/>
      <c r="S527" s="919"/>
      <c r="T527" s="919"/>
      <c r="U527" s="919"/>
      <c r="V527" s="919"/>
      <c r="W527" s="919"/>
      <c r="X527" s="919"/>
      <c r="Y527" s="919"/>
      <c r="Z527" s="919"/>
      <c r="AA527" s="919"/>
      <c r="AB527" s="919"/>
      <c r="AC527" s="919"/>
      <c r="AD527" s="919"/>
      <c r="AE527" s="919"/>
      <c r="AF527" s="919"/>
      <c r="AG527" s="919"/>
      <c r="AH527" s="919"/>
      <c r="AI527" s="919"/>
      <c r="AJ527" s="919"/>
      <c r="AK527" s="919"/>
      <c r="AL527" s="919"/>
      <c r="AM527" s="919"/>
      <c r="AN527" s="919"/>
      <c r="AO527" s="919"/>
      <c r="AP527" s="919"/>
      <c r="AQ527" s="919"/>
      <c r="AR527" s="919"/>
      <c r="AS527" s="919"/>
      <c r="AT527" s="919"/>
      <c r="AU527" s="919"/>
      <c r="AV527" s="919"/>
      <c r="AW527" s="919"/>
      <c r="AX527" s="919"/>
      <c r="AY527" s="919"/>
      <c r="AZ527" s="919"/>
      <c r="BA527" s="919"/>
      <c r="BB527" s="919"/>
      <c r="BC527" s="919"/>
      <c r="BD527" s="919"/>
      <c r="BE527" s="920"/>
      <c r="BF527" s="695"/>
    </row>
    <row r="528" spans="1:58" x14ac:dyDescent="0.45">
      <c r="A528" s="695"/>
      <c r="B528" s="918"/>
      <c r="C528" s="1037" t="s">
        <v>62</v>
      </c>
      <c r="D528" s="922" t="s">
        <v>18</v>
      </c>
      <c r="E528" s="919"/>
      <c r="F528" s="919"/>
      <c r="G528" s="921">
        <f>SUM('II. Inputs, Baseline Energy Mix'!$Q$77)</f>
        <v>0</v>
      </c>
      <c r="H528" s="919"/>
      <c r="I528" s="919"/>
      <c r="J528" s="919"/>
      <c r="K528" s="919"/>
      <c r="L528" s="919"/>
      <c r="M528" s="919"/>
      <c r="N528" s="919"/>
      <c r="O528" s="919"/>
      <c r="P528" s="919"/>
      <c r="Q528" s="919"/>
      <c r="R528" s="919"/>
      <c r="S528" s="919"/>
      <c r="T528" s="919"/>
      <c r="U528" s="919"/>
      <c r="V528" s="919"/>
      <c r="W528" s="919"/>
      <c r="X528" s="919"/>
      <c r="Y528" s="919"/>
      <c r="Z528" s="919"/>
      <c r="AA528" s="919"/>
      <c r="AB528" s="919"/>
      <c r="AC528" s="919"/>
      <c r="AD528" s="919"/>
      <c r="AE528" s="919"/>
      <c r="AF528" s="919"/>
      <c r="AG528" s="919"/>
      <c r="AH528" s="919"/>
      <c r="AI528" s="919"/>
      <c r="AJ528" s="919"/>
      <c r="AK528" s="919"/>
      <c r="AL528" s="919"/>
      <c r="AM528" s="919"/>
      <c r="AN528" s="919"/>
      <c r="AO528" s="919"/>
      <c r="AP528" s="919"/>
      <c r="AQ528" s="919"/>
      <c r="AR528" s="919"/>
      <c r="AS528" s="919"/>
      <c r="AT528" s="919"/>
      <c r="AU528" s="919"/>
      <c r="AV528" s="919"/>
      <c r="AW528" s="919"/>
      <c r="AX528" s="919"/>
      <c r="AY528" s="919"/>
      <c r="AZ528" s="919"/>
      <c r="BA528" s="919"/>
      <c r="BB528" s="919"/>
      <c r="BC528" s="919"/>
      <c r="BD528" s="919"/>
      <c r="BE528" s="920"/>
      <c r="BF528" s="695"/>
    </row>
    <row r="529" spans="1:58" x14ac:dyDescent="0.45">
      <c r="A529" s="695"/>
      <c r="B529" s="918"/>
      <c r="C529" s="1037" t="s">
        <v>63</v>
      </c>
      <c r="D529" s="922" t="s">
        <v>14</v>
      </c>
      <c r="E529" s="919"/>
      <c r="F529" s="919"/>
      <c r="G529" s="1038">
        <f>SUM('II. Inputs, Baseline Energy Mix'!$Q$76)</f>
        <v>0</v>
      </c>
      <c r="H529" s="919"/>
      <c r="I529" s="919"/>
      <c r="J529" s="919"/>
      <c r="K529" s="919"/>
      <c r="L529" s="919"/>
      <c r="M529" s="919"/>
      <c r="N529" s="919"/>
      <c r="O529" s="919"/>
      <c r="P529" s="919"/>
      <c r="Q529" s="919"/>
      <c r="R529" s="919"/>
      <c r="S529" s="919"/>
      <c r="T529" s="919"/>
      <c r="U529" s="919"/>
      <c r="V529" s="919"/>
      <c r="W529" s="919"/>
      <c r="X529" s="919"/>
      <c r="Y529" s="919"/>
      <c r="Z529" s="919"/>
      <c r="AA529" s="919"/>
      <c r="AB529" s="919"/>
      <c r="AC529" s="919"/>
      <c r="AD529" s="919"/>
      <c r="AE529" s="919"/>
      <c r="AF529" s="919"/>
      <c r="AG529" s="919"/>
      <c r="AH529" s="919"/>
      <c r="AI529" s="919"/>
      <c r="AJ529" s="919"/>
      <c r="AK529" s="919"/>
      <c r="AL529" s="919"/>
      <c r="AM529" s="919"/>
      <c r="AN529" s="919"/>
      <c r="AO529" s="919"/>
      <c r="AP529" s="919"/>
      <c r="AQ529" s="919"/>
      <c r="AR529" s="919"/>
      <c r="AS529" s="919"/>
      <c r="AT529" s="919"/>
      <c r="AU529" s="919"/>
      <c r="AV529" s="919"/>
      <c r="AW529" s="919"/>
      <c r="AX529" s="919"/>
      <c r="AY529" s="919"/>
      <c r="AZ529" s="919"/>
      <c r="BA529" s="919"/>
      <c r="BB529" s="919"/>
      <c r="BC529" s="919"/>
      <c r="BD529" s="919"/>
      <c r="BE529" s="920"/>
      <c r="BF529" s="695"/>
    </row>
    <row r="530" spans="1:58" x14ac:dyDescent="0.45">
      <c r="A530" s="695"/>
      <c r="B530" s="918"/>
      <c r="C530" s="919"/>
      <c r="D530" s="919"/>
      <c r="E530" s="919"/>
      <c r="F530" s="919"/>
      <c r="G530" s="919"/>
      <c r="H530" s="919"/>
      <c r="I530" s="919"/>
      <c r="J530" s="919"/>
      <c r="K530" s="919"/>
      <c r="L530" s="919"/>
      <c r="M530" s="919"/>
      <c r="N530" s="919"/>
      <c r="O530" s="919"/>
      <c r="P530" s="919"/>
      <c r="Q530" s="919"/>
      <c r="R530" s="919"/>
      <c r="S530" s="919"/>
      <c r="T530" s="919"/>
      <c r="U530" s="919"/>
      <c r="V530" s="919"/>
      <c r="W530" s="919"/>
      <c r="X530" s="919"/>
      <c r="Y530" s="919"/>
      <c r="Z530" s="919"/>
      <c r="AA530" s="919"/>
      <c r="AB530" s="919"/>
      <c r="AC530" s="919"/>
      <c r="AD530" s="919"/>
      <c r="AE530" s="919"/>
      <c r="AF530" s="919"/>
      <c r="AG530" s="919"/>
      <c r="AH530" s="919"/>
      <c r="AI530" s="919"/>
      <c r="AJ530" s="919"/>
      <c r="AK530" s="919"/>
      <c r="AL530" s="919"/>
      <c r="AM530" s="919"/>
      <c r="AN530" s="919"/>
      <c r="AO530" s="919"/>
      <c r="AP530" s="919"/>
      <c r="AQ530" s="919"/>
      <c r="AR530" s="919"/>
      <c r="AS530" s="919"/>
      <c r="AT530" s="919"/>
      <c r="AU530" s="919"/>
      <c r="AV530" s="919"/>
      <c r="AW530" s="919"/>
      <c r="AX530" s="919"/>
      <c r="AY530" s="919"/>
      <c r="AZ530" s="919"/>
      <c r="BA530" s="919"/>
      <c r="BB530" s="919"/>
      <c r="BC530" s="919"/>
      <c r="BD530" s="919"/>
      <c r="BE530" s="920"/>
      <c r="BF530" s="695"/>
    </row>
    <row r="531" spans="1:58" x14ac:dyDescent="0.45">
      <c r="A531" s="695"/>
      <c r="B531" s="918"/>
      <c r="C531" s="1039" t="s">
        <v>60</v>
      </c>
      <c r="D531" s="919"/>
      <c r="E531" s="919"/>
      <c r="F531" s="919"/>
      <c r="G531" s="919"/>
      <c r="H531" s="919"/>
      <c r="I531" s="919"/>
      <c r="J531" s="919"/>
      <c r="K531" s="919"/>
      <c r="L531" s="919"/>
      <c r="M531" s="919"/>
      <c r="N531" s="919"/>
      <c r="O531" s="919"/>
      <c r="P531" s="919"/>
      <c r="Q531" s="919"/>
      <c r="R531" s="919"/>
      <c r="S531" s="919"/>
      <c r="T531" s="919"/>
      <c r="U531" s="919"/>
      <c r="V531" s="919"/>
      <c r="W531" s="919"/>
      <c r="X531" s="919"/>
      <c r="Y531" s="919"/>
      <c r="Z531" s="919"/>
      <c r="AA531" s="919"/>
      <c r="AB531" s="919"/>
      <c r="AC531" s="919"/>
      <c r="AD531" s="919"/>
      <c r="AE531" s="919"/>
      <c r="AF531" s="919"/>
      <c r="AG531" s="919"/>
      <c r="AH531" s="919"/>
      <c r="AI531" s="919"/>
      <c r="AJ531" s="919"/>
      <c r="AK531" s="919"/>
      <c r="AL531" s="919"/>
      <c r="AM531" s="919"/>
      <c r="AN531" s="919"/>
      <c r="AO531" s="919"/>
      <c r="AP531" s="919"/>
      <c r="AQ531" s="919"/>
      <c r="AR531" s="919"/>
      <c r="AS531" s="919"/>
      <c r="AT531" s="919"/>
      <c r="AU531" s="919"/>
      <c r="AV531" s="919"/>
      <c r="AW531" s="919"/>
      <c r="AX531" s="919"/>
      <c r="AY531" s="919"/>
      <c r="AZ531" s="919"/>
      <c r="BA531" s="919"/>
      <c r="BB531" s="919"/>
      <c r="BC531" s="919"/>
      <c r="BD531" s="919"/>
      <c r="BE531" s="920"/>
      <c r="BF531" s="695"/>
    </row>
    <row r="532" spans="1:58" x14ac:dyDescent="0.45">
      <c r="A532" s="695"/>
      <c r="B532" s="918"/>
      <c r="C532" s="919" t="s">
        <v>66</v>
      </c>
      <c r="D532" s="919"/>
      <c r="E532" s="919"/>
      <c r="F532" s="919"/>
      <c r="G532" s="1566"/>
      <c r="H532" s="1566">
        <f>IF(H$292&gt;$G528,0,IPMT($G529,H$292,$G528,-$G527))</f>
        <v>0</v>
      </c>
      <c r="I532" s="1566">
        <f>IF(I$292&gt;$G528,0,IPMT($G529,I$292,$G528,-$G527))</f>
        <v>0</v>
      </c>
      <c r="J532" s="1566">
        <f>IF(J$292&gt;$G528,0,IPMT($G529,J$292,$G528,-$G527))</f>
        <v>0</v>
      </c>
      <c r="K532" s="1566">
        <f>IF(K$292&gt;$G528,0,IPMT($G529,K$292,$G528,-$G527))</f>
        <v>0</v>
      </c>
      <c r="L532" s="1566">
        <f t="shared" ref="L532:BE532" si="185">IF(L$292&gt;$G528,0,IPMT($G529,L$292,$G528,-$G527))</f>
        <v>0</v>
      </c>
      <c r="M532" s="1566">
        <f t="shared" si="185"/>
        <v>0</v>
      </c>
      <c r="N532" s="1566">
        <f t="shared" si="185"/>
        <v>0</v>
      </c>
      <c r="O532" s="1566">
        <f t="shared" si="185"/>
        <v>0</v>
      </c>
      <c r="P532" s="1566">
        <f t="shared" si="185"/>
        <v>0</v>
      </c>
      <c r="Q532" s="1566">
        <f t="shared" si="185"/>
        <v>0</v>
      </c>
      <c r="R532" s="1566">
        <f t="shared" si="185"/>
        <v>0</v>
      </c>
      <c r="S532" s="1566">
        <f t="shared" si="185"/>
        <v>0</v>
      </c>
      <c r="T532" s="1566">
        <f t="shared" si="185"/>
        <v>0</v>
      </c>
      <c r="U532" s="1566">
        <f t="shared" si="185"/>
        <v>0</v>
      </c>
      <c r="V532" s="1566">
        <f t="shared" si="185"/>
        <v>0</v>
      </c>
      <c r="W532" s="1566">
        <f t="shared" si="185"/>
        <v>0</v>
      </c>
      <c r="X532" s="1566">
        <f t="shared" si="185"/>
        <v>0</v>
      </c>
      <c r="Y532" s="1566">
        <f t="shared" si="185"/>
        <v>0</v>
      </c>
      <c r="Z532" s="1566">
        <f t="shared" si="185"/>
        <v>0</v>
      </c>
      <c r="AA532" s="1566">
        <f t="shared" si="185"/>
        <v>0</v>
      </c>
      <c r="AB532" s="1566">
        <f t="shared" si="185"/>
        <v>0</v>
      </c>
      <c r="AC532" s="1566">
        <f t="shared" si="185"/>
        <v>0</v>
      </c>
      <c r="AD532" s="1566">
        <f t="shared" si="185"/>
        <v>0</v>
      </c>
      <c r="AE532" s="1566">
        <f t="shared" si="185"/>
        <v>0</v>
      </c>
      <c r="AF532" s="1566">
        <f t="shared" si="185"/>
        <v>0</v>
      </c>
      <c r="AG532" s="1566">
        <f t="shared" si="185"/>
        <v>0</v>
      </c>
      <c r="AH532" s="1566">
        <f t="shared" si="185"/>
        <v>0</v>
      </c>
      <c r="AI532" s="1566">
        <f t="shared" si="185"/>
        <v>0</v>
      </c>
      <c r="AJ532" s="1566">
        <f t="shared" si="185"/>
        <v>0</v>
      </c>
      <c r="AK532" s="1566">
        <f t="shared" si="185"/>
        <v>0</v>
      </c>
      <c r="AL532" s="1566">
        <f t="shared" si="185"/>
        <v>0</v>
      </c>
      <c r="AM532" s="1566">
        <f t="shared" si="185"/>
        <v>0</v>
      </c>
      <c r="AN532" s="1566">
        <f t="shared" si="185"/>
        <v>0</v>
      </c>
      <c r="AO532" s="1566">
        <f t="shared" si="185"/>
        <v>0</v>
      </c>
      <c r="AP532" s="1566">
        <f t="shared" si="185"/>
        <v>0</v>
      </c>
      <c r="AQ532" s="1566">
        <f t="shared" si="185"/>
        <v>0</v>
      </c>
      <c r="AR532" s="1566">
        <f t="shared" si="185"/>
        <v>0</v>
      </c>
      <c r="AS532" s="1566">
        <f t="shared" si="185"/>
        <v>0</v>
      </c>
      <c r="AT532" s="1566">
        <f t="shared" si="185"/>
        <v>0</v>
      </c>
      <c r="AU532" s="1566">
        <f t="shared" si="185"/>
        <v>0</v>
      </c>
      <c r="AV532" s="1566">
        <f t="shared" si="185"/>
        <v>0</v>
      </c>
      <c r="AW532" s="1566">
        <f t="shared" si="185"/>
        <v>0</v>
      </c>
      <c r="AX532" s="1566">
        <f t="shared" si="185"/>
        <v>0</v>
      </c>
      <c r="AY532" s="1566">
        <f t="shared" si="185"/>
        <v>0</v>
      </c>
      <c r="AZ532" s="1566">
        <f t="shared" si="185"/>
        <v>0</v>
      </c>
      <c r="BA532" s="1566">
        <f t="shared" si="185"/>
        <v>0</v>
      </c>
      <c r="BB532" s="1566">
        <f t="shared" si="185"/>
        <v>0</v>
      </c>
      <c r="BC532" s="1566">
        <f t="shared" si="185"/>
        <v>0</v>
      </c>
      <c r="BD532" s="1566">
        <f t="shared" si="185"/>
        <v>0</v>
      </c>
      <c r="BE532" s="1567">
        <f t="shared" si="185"/>
        <v>0</v>
      </c>
      <c r="BF532" s="695"/>
    </row>
    <row r="533" spans="1:58" x14ac:dyDescent="0.45">
      <c r="A533" s="695"/>
      <c r="B533" s="918"/>
      <c r="C533" s="926" t="s">
        <v>65</v>
      </c>
      <c r="D533" s="926"/>
      <c r="E533" s="926"/>
      <c r="F533" s="926"/>
      <c r="G533" s="1568"/>
      <c r="H533" s="1568">
        <f>IF(H$292&gt;$G528,0,PPMT($G529,H$292,$G528,-$G527))</f>
        <v>0</v>
      </c>
      <c r="I533" s="1568">
        <f>IF(I$292&gt;$G528,0,PPMT($G529,I$292,$G528,-$G527))</f>
        <v>0</v>
      </c>
      <c r="J533" s="1568">
        <f>IF(J$292&gt;$G528,0,PPMT($G529,J$292,$G528,-$G527))</f>
        <v>0</v>
      </c>
      <c r="K533" s="1568">
        <f>IF(K$292&gt;$G528,0,PPMT($G529,K$292,$G528,-$G527))</f>
        <v>0</v>
      </c>
      <c r="L533" s="1568">
        <f t="shared" ref="L533:BE533" si="186">IF(L$292&gt;$G528,0,PPMT($G529,L$292,$G528,-$G527))</f>
        <v>0</v>
      </c>
      <c r="M533" s="1568">
        <f t="shared" si="186"/>
        <v>0</v>
      </c>
      <c r="N533" s="1568">
        <f t="shared" si="186"/>
        <v>0</v>
      </c>
      <c r="O533" s="1568">
        <f t="shared" si="186"/>
        <v>0</v>
      </c>
      <c r="P533" s="1568">
        <f t="shared" si="186"/>
        <v>0</v>
      </c>
      <c r="Q533" s="1568">
        <f t="shared" si="186"/>
        <v>0</v>
      </c>
      <c r="R533" s="1568">
        <f t="shared" si="186"/>
        <v>0</v>
      </c>
      <c r="S533" s="1568">
        <f t="shared" si="186"/>
        <v>0</v>
      </c>
      <c r="T533" s="1568">
        <f t="shared" si="186"/>
        <v>0</v>
      </c>
      <c r="U533" s="1568">
        <f t="shared" si="186"/>
        <v>0</v>
      </c>
      <c r="V533" s="1568">
        <f t="shared" si="186"/>
        <v>0</v>
      </c>
      <c r="W533" s="1568">
        <f t="shared" si="186"/>
        <v>0</v>
      </c>
      <c r="X533" s="1568">
        <f t="shared" si="186"/>
        <v>0</v>
      </c>
      <c r="Y533" s="1568">
        <f t="shared" si="186"/>
        <v>0</v>
      </c>
      <c r="Z533" s="1568">
        <f t="shared" si="186"/>
        <v>0</v>
      </c>
      <c r="AA533" s="1568">
        <f t="shared" si="186"/>
        <v>0</v>
      </c>
      <c r="AB533" s="1568">
        <f t="shared" si="186"/>
        <v>0</v>
      </c>
      <c r="AC533" s="1568">
        <f t="shared" si="186"/>
        <v>0</v>
      </c>
      <c r="AD533" s="1568">
        <f t="shared" si="186"/>
        <v>0</v>
      </c>
      <c r="AE533" s="1568">
        <f t="shared" si="186"/>
        <v>0</v>
      </c>
      <c r="AF533" s="1568">
        <f t="shared" si="186"/>
        <v>0</v>
      </c>
      <c r="AG533" s="1568">
        <f t="shared" si="186"/>
        <v>0</v>
      </c>
      <c r="AH533" s="1568">
        <f t="shared" si="186"/>
        <v>0</v>
      </c>
      <c r="AI533" s="1568">
        <f t="shared" si="186"/>
        <v>0</v>
      </c>
      <c r="AJ533" s="1568">
        <f t="shared" si="186"/>
        <v>0</v>
      </c>
      <c r="AK533" s="1568">
        <f t="shared" si="186"/>
        <v>0</v>
      </c>
      <c r="AL533" s="1568">
        <f t="shared" si="186"/>
        <v>0</v>
      </c>
      <c r="AM533" s="1568">
        <f t="shared" si="186"/>
        <v>0</v>
      </c>
      <c r="AN533" s="1568">
        <f t="shared" si="186"/>
        <v>0</v>
      </c>
      <c r="AO533" s="1568">
        <f t="shared" si="186"/>
        <v>0</v>
      </c>
      <c r="AP533" s="1568">
        <f t="shared" si="186"/>
        <v>0</v>
      </c>
      <c r="AQ533" s="1568">
        <f t="shared" si="186"/>
        <v>0</v>
      </c>
      <c r="AR533" s="1568">
        <f t="shared" si="186"/>
        <v>0</v>
      </c>
      <c r="AS533" s="1568">
        <f t="shared" si="186"/>
        <v>0</v>
      </c>
      <c r="AT533" s="1568">
        <f t="shared" si="186"/>
        <v>0</v>
      </c>
      <c r="AU533" s="1568">
        <f t="shared" si="186"/>
        <v>0</v>
      </c>
      <c r="AV533" s="1568">
        <f t="shared" si="186"/>
        <v>0</v>
      </c>
      <c r="AW533" s="1568">
        <f t="shared" si="186"/>
        <v>0</v>
      </c>
      <c r="AX533" s="1568">
        <f t="shared" si="186"/>
        <v>0</v>
      </c>
      <c r="AY533" s="1568">
        <f t="shared" si="186"/>
        <v>0</v>
      </c>
      <c r="AZ533" s="1568">
        <f t="shared" si="186"/>
        <v>0</v>
      </c>
      <c r="BA533" s="1568">
        <f t="shared" si="186"/>
        <v>0</v>
      </c>
      <c r="BB533" s="1568">
        <f t="shared" si="186"/>
        <v>0</v>
      </c>
      <c r="BC533" s="1568">
        <f t="shared" si="186"/>
        <v>0</v>
      </c>
      <c r="BD533" s="1568">
        <f t="shared" si="186"/>
        <v>0</v>
      </c>
      <c r="BE533" s="1569">
        <f t="shared" si="186"/>
        <v>0</v>
      </c>
      <c r="BF533" s="695"/>
    </row>
    <row r="534" spans="1:58" x14ac:dyDescent="0.45">
      <c r="A534" s="695"/>
      <c r="B534" s="918"/>
      <c r="C534" s="919" t="s">
        <v>67</v>
      </c>
      <c r="D534" s="919"/>
      <c r="E534" s="919"/>
      <c r="F534" s="919"/>
      <c r="G534" s="1566"/>
      <c r="H534" s="1566">
        <f>SUM(H532:H533)</f>
        <v>0</v>
      </c>
      <c r="I534" s="1566">
        <f t="shared" ref="I534:BE534" si="187">SUM(I532:I533)</f>
        <v>0</v>
      </c>
      <c r="J534" s="1566">
        <f t="shared" si="187"/>
        <v>0</v>
      </c>
      <c r="K534" s="1566">
        <f t="shared" si="187"/>
        <v>0</v>
      </c>
      <c r="L534" s="1566">
        <f t="shared" si="187"/>
        <v>0</v>
      </c>
      <c r="M534" s="1566">
        <f t="shared" si="187"/>
        <v>0</v>
      </c>
      <c r="N534" s="1566">
        <f t="shared" si="187"/>
        <v>0</v>
      </c>
      <c r="O534" s="1566">
        <f t="shared" si="187"/>
        <v>0</v>
      </c>
      <c r="P534" s="1566">
        <f t="shared" si="187"/>
        <v>0</v>
      </c>
      <c r="Q534" s="1566">
        <f t="shared" si="187"/>
        <v>0</v>
      </c>
      <c r="R534" s="1566">
        <f t="shared" si="187"/>
        <v>0</v>
      </c>
      <c r="S534" s="1566">
        <f t="shared" si="187"/>
        <v>0</v>
      </c>
      <c r="T534" s="1566">
        <f t="shared" si="187"/>
        <v>0</v>
      </c>
      <c r="U534" s="1566">
        <f t="shared" si="187"/>
        <v>0</v>
      </c>
      <c r="V534" s="1566">
        <f t="shared" si="187"/>
        <v>0</v>
      </c>
      <c r="W534" s="1566">
        <f t="shared" si="187"/>
        <v>0</v>
      </c>
      <c r="X534" s="1566">
        <f t="shared" si="187"/>
        <v>0</v>
      </c>
      <c r="Y534" s="1566">
        <f t="shared" si="187"/>
        <v>0</v>
      </c>
      <c r="Z534" s="1566">
        <f t="shared" si="187"/>
        <v>0</v>
      </c>
      <c r="AA534" s="1566">
        <f t="shared" si="187"/>
        <v>0</v>
      </c>
      <c r="AB534" s="1566">
        <f t="shared" si="187"/>
        <v>0</v>
      </c>
      <c r="AC534" s="1566">
        <f t="shared" si="187"/>
        <v>0</v>
      </c>
      <c r="AD534" s="1566">
        <f t="shared" si="187"/>
        <v>0</v>
      </c>
      <c r="AE534" s="1566">
        <f t="shared" si="187"/>
        <v>0</v>
      </c>
      <c r="AF534" s="1566">
        <f t="shared" si="187"/>
        <v>0</v>
      </c>
      <c r="AG534" s="1566">
        <f t="shared" si="187"/>
        <v>0</v>
      </c>
      <c r="AH534" s="1566">
        <f t="shared" si="187"/>
        <v>0</v>
      </c>
      <c r="AI534" s="1566">
        <f t="shared" si="187"/>
        <v>0</v>
      </c>
      <c r="AJ534" s="1566">
        <f t="shared" si="187"/>
        <v>0</v>
      </c>
      <c r="AK534" s="1566">
        <f t="shared" si="187"/>
        <v>0</v>
      </c>
      <c r="AL534" s="1566">
        <f t="shared" si="187"/>
        <v>0</v>
      </c>
      <c r="AM534" s="1566">
        <f t="shared" si="187"/>
        <v>0</v>
      </c>
      <c r="AN534" s="1566">
        <f t="shared" si="187"/>
        <v>0</v>
      </c>
      <c r="AO534" s="1566">
        <f t="shared" si="187"/>
        <v>0</v>
      </c>
      <c r="AP534" s="1566">
        <f t="shared" si="187"/>
        <v>0</v>
      </c>
      <c r="AQ534" s="1566">
        <f t="shared" si="187"/>
        <v>0</v>
      </c>
      <c r="AR534" s="1566">
        <f t="shared" si="187"/>
        <v>0</v>
      </c>
      <c r="AS534" s="1566">
        <f t="shared" si="187"/>
        <v>0</v>
      </c>
      <c r="AT534" s="1566">
        <f t="shared" si="187"/>
        <v>0</v>
      </c>
      <c r="AU534" s="1566">
        <f t="shared" si="187"/>
        <v>0</v>
      </c>
      <c r="AV534" s="1566">
        <f t="shared" si="187"/>
        <v>0</v>
      </c>
      <c r="AW534" s="1566">
        <f t="shared" si="187"/>
        <v>0</v>
      </c>
      <c r="AX534" s="1566">
        <f t="shared" si="187"/>
        <v>0</v>
      </c>
      <c r="AY534" s="1566">
        <f t="shared" si="187"/>
        <v>0</v>
      </c>
      <c r="AZ534" s="1566">
        <f t="shared" si="187"/>
        <v>0</v>
      </c>
      <c r="BA534" s="1566">
        <f t="shared" si="187"/>
        <v>0</v>
      </c>
      <c r="BB534" s="1566">
        <f t="shared" si="187"/>
        <v>0</v>
      </c>
      <c r="BC534" s="1566">
        <f t="shared" si="187"/>
        <v>0</v>
      </c>
      <c r="BD534" s="1566">
        <f t="shared" si="187"/>
        <v>0</v>
      </c>
      <c r="BE534" s="1567">
        <f t="shared" si="187"/>
        <v>0</v>
      </c>
      <c r="BF534" s="695"/>
    </row>
    <row r="535" spans="1:58" x14ac:dyDescent="0.45">
      <c r="A535" s="695"/>
      <c r="B535" s="918"/>
      <c r="C535" s="919"/>
      <c r="D535" s="919"/>
      <c r="E535" s="919"/>
      <c r="F535" s="919"/>
      <c r="G535" s="1566"/>
      <c r="H535" s="1566"/>
      <c r="I535" s="1566"/>
      <c r="J535" s="1566"/>
      <c r="K535" s="1566"/>
      <c r="L535" s="1566"/>
      <c r="M535" s="1566"/>
      <c r="N535" s="1566"/>
      <c r="O535" s="1566"/>
      <c r="P535" s="1566"/>
      <c r="Q535" s="1566"/>
      <c r="R535" s="1566"/>
      <c r="S535" s="1566"/>
      <c r="T535" s="1566"/>
      <c r="U535" s="1566"/>
      <c r="V535" s="1566"/>
      <c r="W535" s="1566"/>
      <c r="X535" s="1566"/>
      <c r="Y535" s="1566"/>
      <c r="Z535" s="1566"/>
      <c r="AA535" s="1566"/>
      <c r="AB535" s="1566"/>
      <c r="AC535" s="1566"/>
      <c r="AD535" s="1566"/>
      <c r="AE535" s="1566"/>
      <c r="AF535" s="1566"/>
      <c r="AG535" s="1566"/>
      <c r="AH535" s="1566"/>
      <c r="AI535" s="1566"/>
      <c r="AJ535" s="1566"/>
      <c r="AK535" s="1566"/>
      <c r="AL535" s="1566"/>
      <c r="AM535" s="1566"/>
      <c r="AN535" s="1566"/>
      <c r="AO535" s="1566"/>
      <c r="AP535" s="1566"/>
      <c r="AQ535" s="1566"/>
      <c r="AR535" s="1566"/>
      <c r="AS535" s="1566"/>
      <c r="AT535" s="1566"/>
      <c r="AU535" s="1566"/>
      <c r="AV535" s="1566"/>
      <c r="AW535" s="1566"/>
      <c r="AX535" s="1566"/>
      <c r="AY535" s="1566"/>
      <c r="AZ535" s="1566"/>
      <c r="BA535" s="1566"/>
      <c r="BB535" s="1566"/>
      <c r="BC535" s="1566"/>
      <c r="BD535" s="1566"/>
      <c r="BE535" s="1567"/>
      <c r="BF535" s="695"/>
    </row>
    <row r="536" spans="1:58" x14ac:dyDescent="0.45">
      <c r="A536" s="695"/>
      <c r="B536" s="918"/>
      <c r="C536" s="1040" t="s">
        <v>58</v>
      </c>
      <c r="D536" s="919"/>
      <c r="E536" s="919"/>
      <c r="F536" s="919"/>
      <c r="G536" s="1566"/>
      <c r="H536" s="1566"/>
      <c r="I536" s="1566"/>
      <c r="J536" s="1566"/>
      <c r="K536" s="1566"/>
      <c r="L536" s="1566"/>
      <c r="M536" s="1566"/>
      <c r="N536" s="1566"/>
      <c r="O536" s="1566"/>
      <c r="P536" s="1566"/>
      <c r="Q536" s="1566"/>
      <c r="R536" s="1566"/>
      <c r="S536" s="1566"/>
      <c r="T536" s="1566"/>
      <c r="U536" s="1566"/>
      <c r="V536" s="1566"/>
      <c r="W536" s="1566"/>
      <c r="X536" s="1566"/>
      <c r="Y536" s="1566"/>
      <c r="Z536" s="1566"/>
      <c r="AA536" s="1566"/>
      <c r="AB536" s="1566"/>
      <c r="AC536" s="1566"/>
      <c r="AD536" s="1566"/>
      <c r="AE536" s="1566"/>
      <c r="AF536" s="1566"/>
      <c r="AG536" s="1566"/>
      <c r="AH536" s="1566"/>
      <c r="AI536" s="1566"/>
      <c r="AJ536" s="1566"/>
      <c r="AK536" s="1566"/>
      <c r="AL536" s="1566"/>
      <c r="AM536" s="1566"/>
      <c r="AN536" s="1566"/>
      <c r="AO536" s="1566"/>
      <c r="AP536" s="1566"/>
      <c r="AQ536" s="1566"/>
      <c r="AR536" s="1566"/>
      <c r="AS536" s="1566"/>
      <c r="AT536" s="1566"/>
      <c r="AU536" s="1566"/>
      <c r="AV536" s="1566"/>
      <c r="AW536" s="1566"/>
      <c r="AX536" s="1566"/>
      <c r="AY536" s="1566"/>
      <c r="AZ536" s="1566"/>
      <c r="BA536" s="1566"/>
      <c r="BB536" s="1566"/>
      <c r="BC536" s="1566"/>
      <c r="BD536" s="1566"/>
      <c r="BE536" s="1567"/>
      <c r="BF536" s="695"/>
    </row>
    <row r="537" spans="1:58" x14ac:dyDescent="0.45">
      <c r="A537" s="695"/>
      <c r="B537" s="918"/>
      <c r="C537" s="919" t="s">
        <v>68</v>
      </c>
      <c r="D537" s="919"/>
      <c r="E537" s="919"/>
      <c r="F537" s="919"/>
      <c r="G537" s="1566">
        <v>0</v>
      </c>
      <c r="H537" s="1566">
        <f t="shared" ref="H537:AM537" si="188">G540</f>
        <v>0</v>
      </c>
      <c r="I537" s="1566">
        <f t="shared" si="188"/>
        <v>0</v>
      </c>
      <c r="J537" s="1566">
        <f t="shared" si="188"/>
        <v>0</v>
      </c>
      <c r="K537" s="1566">
        <f t="shared" si="188"/>
        <v>0</v>
      </c>
      <c r="L537" s="1566">
        <f t="shared" si="188"/>
        <v>0</v>
      </c>
      <c r="M537" s="1566">
        <f t="shared" si="188"/>
        <v>0</v>
      </c>
      <c r="N537" s="1566">
        <f t="shared" si="188"/>
        <v>0</v>
      </c>
      <c r="O537" s="1566">
        <f t="shared" si="188"/>
        <v>0</v>
      </c>
      <c r="P537" s="1566">
        <f t="shared" si="188"/>
        <v>0</v>
      </c>
      <c r="Q537" s="1566">
        <f t="shared" si="188"/>
        <v>0</v>
      </c>
      <c r="R537" s="1566">
        <f t="shared" si="188"/>
        <v>0</v>
      </c>
      <c r="S537" s="1566">
        <f t="shared" si="188"/>
        <v>0</v>
      </c>
      <c r="T537" s="1566">
        <f t="shared" si="188"/>
        <v>0</v>
      </c>
      <c r="U537" s="1566">
        <f t="shared" si="188"/>
        <v>0</v>
      </c>
      <c r="V537" s="1566">
        <f t="shared" si="188"/>
        <v>0</v>
      </c>
      <c r="W537" s="1566">
        <f t="shared" si="188"/>
        <v>0</v>
      </c>
      <c r="X537" s="1566">
        <f t="shared" si="188"/>
        <v>0</v>
      </c>
      <c r="Y537" s="1566">
        <f t="shared" si="188"/>
        <v>0</v>
      </c>
      <c r="Z537" s="1566">
        <f t="shared" si="188"/>
        <v>0</v>
      </c>
      <c r="AA537" s="1566">
        <f t="shared" si="188"/>
        <v>0</v>
      </c>
      <c r="AB537" s="1566">
        <f t="shared" si="188"/>
        <v>0</v>
      </c>
      <c r="AC537" s="1566">
        <f t="shared" si="188"/>
        <v>0</v>
      </c>
      <c r="AD537" s="1566">
        <f t="shared" si="188"/>
        <v>0</v>
      </c>
      <c r="AE537" s="1566">
        <f t="shared" si="188"/>
        <v>0</v>
      </c>
      <c r="AF537" s="1566">
        <f t="shared" si="188"/>
        <v>0</v>
      </c>
      <c r="AG537" s="1566">
        <f t="shared" si="188"/>
        <v>0</v>
      </c>
      <c r="AH537" s="1566">
        <f t="shared" si="188"/>
        <v>0</v>
      </c>
      <c r="AI537" s="1566">
        <f t="shared" si="188"/>
        <v>0</v>
      </c>
      <c r="AJ537" s="1566">
        <f t="shared" si="188"/>
        <v>0</v>
      </c>
      <c r="AK537" s="1566">
        <f t="shared" si="188"/>
        <v>0</v>
      </c>
      <c r="AL537" s="1566">
        <f t="shared" si="188"/>
        <v>0</v>
      </c>
      <c r="AM537" s="1566">
        <f t="shared" si="188"/>
        <v>0</v>
      </c>
      <c r="AN537" s="1566">
        <f t="shared" ref="AN537:BE537" si="189">AM540</f>
        <v>0</v>
      </c>
      <c r="AO537" s="1566">
        <f t="shared" si="189"/>
        <v>0</v>
      </c>
      <c r="AP537" s="1566">
        <f t="shared" si="189"/>
        <v>0</v>
      </c>
      <c r="AQ537" s="1566">
        <f t="shared" si="189"/>
        <v>0</v>
      </c>
      <c r="AR537" s="1566">
        <f t="shared" si="189"/>
        <v>0</v>
      </c>
      <c r="AS537" s="1566">
        <f t="shared" si="189"/>
        <v>0</v>
      </c>
      <c r="AT537" s="1566">
        <f t="shared" si="189"/>
        <v>0</v>
      </c>
      <c r="AU537" s="1566">
        <f t="shared" si="189"/>
        <v>0</v>
      </c>
      <c r="AV537" s="1566">
        <f t="shared" si="189"/>
        <v>0</v>
      </c>
      <c r="AW537" s="1566">
        <f t="shared" si="189"/>
        <v>0</v>
      </c>
      <c r="AX537" s="1566">
        <f t="shared" si="189"/>
        <v>0</v>
      </c>
      <c r="AY537" s="1566">
        <f t="shared" si="189"/>
        <v>0</v>
      </c>
      <c r="AZ537" s="1566">
        <f t="shared" si="189"/>
        <v>0</v>
      </c>
      <c r="BA537" s="1566">
        <f t="shared" si="189"/>
        <v>0</v>
      </c>
      <c r="BB537" s="1566">
        <f t="shared" si="189"/>
        <v>0</v>
      </c>
      <c r="BC537" s="1566">
        <f t="shared" si="189"/>
        <v>0</v>
      </c>
      <c r="BD537" s="1566">
        <f t="shared" si="189"/>
        <v>0</v>
      </c>
      <c r="BE537" s="1567">
        <f t="shared" si="189"/>
        <v>0</v>
      </c>
      <c r="BF537" s="695"/>
    </row>
    <row r="538" spans="1:58" x14ac:dyDescent="0.45">
      <c r="A538" s="695"/>
      <c r="B538" s="918"/>
      <c r="C538" s="919" t="s">
        <v>69</v>
      </c>
      <c r="D538" s="919"/>
      <c r="E538" s="919"/>
      <c r="F538" s="919"/>
      <c r="G538" s="1566">
        <f>G527</f>
        <v>0</v>
      </c>
      <c r="H538" s="1566">
        <v>0</v>
      </c>
      <c r="I538" s="1566">
        <v>0</v>
      </c>
      <c r="J538" s="1566">
        <v>0</v>
      </c>
      <c r="K538" s="1566">
        <v>0</v>
      </c>
      <c r="L538" s="1566">
        <v>0</v>
      </c>
      <c r="M538" s="1566">
        <v>0</v>
      </c>
      <c r="N538" s="1566">
        <v>0</v>
      </c>
      <c r="O538" s="1566">
        <v>0</v>
      </c>
      <c r="P538" s="1566">
        <v>0</v>
      </c>
      <c r="Q538" s="1566">
        <v>0</v>
      </c>
      <c r="R538" s="1566">
        <v>0</v>
      </c>
      <c r="S538" s="1566">
        <v>0</v>
      </c>
      <c r="T538" s="1566">
        <v>0</v>
      </c>
      <c r="U538" s="1566">
        <v>0</v>
      </c>
      <c r="V538" s="1566">
        <v>0</v>
      </c>
      <c r="W538" s="1566">
        <v>0</v>
      </c>
      <c r="X538" s="1566">
        <v>0</v>
      </c>
      <c r="Y538" s="1566">
        <v>0</v>
      </c>
      <c r="Z538" s="1566">
        <v>0</v>
      </c>
      <c r="AA538" s="1566">
        <v>0</v>
      </c>
      <c r="AB538" s="1566">
        <v>0</v>
      </c>
      <c r="AC538" s="1566">
        <v>0</v>
      </c>
      <c r="AD538" s="1566">
        <v>0</v>
      </c>
      <c r="AE538" s="1566">
        <v>0</v>
      </c>
      <c r="AF538" s="1566">
        <v>0</v>
      </c>
      <c r="AG538" s="1566">
        <v>0</v>
      </c>
      <c r="AH538" s="1566">
        <v>0</v>
      </c>
      <c r="AI538" s="1566">
        <v>0</v>
      </c>
      <c r="AJ538" s="1566">
        <v>0</v>
      </c>
      <c r="AK538" s="1566">
        <v>0</v>
      </c>
      <c r="AL538" s="1566">
        <v>0</v>
      </c>
      <c r="AM538" s="1566">
        <v>0</v>
      </c>
      <c r="AN538" s="1566">
        <v>0</v>
      </c>
      <c r="AO538" s="1566">
        <v>0</v>
      </c>
      <c r="AP538" s="1566">
        <v>0</v>
      </c>
      <c r="AQ538" s="1566">
        <v>0</v>
      </c>
      <c r="AR538" s="1566">
        <v>0</v>
      </c>
      <c r="AS538" s="1566">
        <v>0</v>
      </c>
      <c r="AT538" s="1566">
        <v>0</v>
      </c>
      <c r="AU538" s="1566">
        <v>0</v>
      </c>
      <c r="AV538" s="1566">
        <v>0</v>
      </c>
      <c r="AW538" s="1566">
        <v>0</v>
      </c>
      <c r="AX538" s="1566">
        <v>0</v>
      </c>
      <c r="AY538" s="1566">
        <v>0</v>
      </c>
      <c r="AZ538" s="1566">
        <v>0</v>
      </c>
      <c r="BA538" s="1566">
        <v>0</v>
      </c>
      <c r="BB538" s="1566">
        <v>0</v>
      </c>
      <c r="BC538" s="1566">
        <v>0</v>
      </c>
      <c r="BD538" s="1566">
        <v>0</v>
      </c>
      <c r="BE538" s="1567">
        <v>0</v>
      </c>
      <c r="BF538" s="695"/>
    </row>
    <row r="539" spans="1:58" x14ac:dyDescent="0.45">
      <c r="A539" s="695"/>
      <c r="B539" s="918"/>
      <c r="C539" s="926" t="s">
        <v>70</v>
      </c>
      <c r="D539" s="926"/>
      <c r="E539" s="926"/>
      <c r="F539" s="926"/>
      <c r="G539" s="1568">
        <v>0</v>
      </c>
      <c r="H539" s="1568">
        <f t="shared" ref="H539:BE539" si="190">-H533</f>
        <v>0</v>
      </c>
      <c r="I539" s="1568">
        <f t="shared" si="190"/>
        <v>0</v>
      </c>
      <c r="J539" s="1568">
        <f t="shared" si="190"/>
        <v>0</v>
      </c>
      <c r="K539" s="1568">
        <f t="shared" si="190"/>
        <v>0</v>
      </c>
      <c r="L539" s="1568">
        <f t="shared" si="190"/>
        <v>0</v>
      </c>
      <c r="M539" s="1568">
        <f t="shared" si="190"/>
        <v>0</v>
      </c>
      <c r="N539" s="1568">
        <f t="shared" si="190"/>
        <v>0</v>
      </c>
      <c r="O539" s="1568">
        <f t="shared" si="190"/>
        <v>0</v>
      </c>
      <c r="P539" s="1568">
        <f t="shared" si="190"/>
        <v>0</v>
      </c>
      <c r="Q539" s="1568">
        <f t="shared" si="190"/>
        <v>0</v>
      </c>
      <c r="R539" s="1568">
        <f t="shared" si="190"/>
        <v>0</v>
      </c>
      <c r="S539" s="1568">
        <f t="shared" si="190"/>
        <v>0</v>
      </c>
      <c r="T539" s="1568">
        <f t="shared" si="190"/>
        <v>0</v>
      </c>
      <c r="U539" s="1568">
        <f t="shared" si="190"/>
        <v>0</v>
      </c>
      <c r="V539" s="1568">
        <f t="shared" si="190"/>
        <v>0</v>
      </c>
      <c r="W539" s="1568">
        <f t="shared" si="190"/>
        <v>0</v>
      </c>
      <c r="X539" s="1568">
        <f t="shared" si="190"/>
        <v>0</v>
      </c>
      <c r="Y539" s="1568">
        <f t="shared" si="190"/>
        <v>0</v>
      </c>
      <c r="Z539" s="1568">
        <f t="shared" si="190"/>
        <v>0</v>
      </c>
      <c r="AA539" s="1568">
        <f t="shared" si="190"/>
        <v>0</v>
      </c>
      <c r="AB539" s="1568">
        <f t="shared" si="190"/>
        <v>0</v>
      </c>
      <c r="AC539" s="1568">
        <f t="shared" si="190"/>
        <v>0</v>
      </c>
      <c r="AD539" s="1568">
        <f t="shared" si="190"/>
        <v>0</v>
      </c>
      <c r="AE539" s="1568">
        <f t="shared" si="190"/>
        <v>0</v>
      </c>
      <c r="AF539" s="1568">
        <f t="shared" si="190"/>
        <v>0</v>
      </c>
      <c r="AG539" s="1568">
        <f t="shared" si="190"/>
        <v>0</v>
      </c>
      <c r="AH539" s="1568">
        <f t="shared" si="190"/>
        <v>0</v>
      </c>
      <c r="AI539" s="1568">
        <f t="shared" si="190"/>
        <v>0</v>
      </c>
      <c r="AJ539" s="1568">
        <f t="shared" si="190"/>
        <v>0</v>
      </c>
      <c r="AK539" s="1568">
        <f t="shared" si="190"/>
        <v>0</v>
      </c>
      <c r="AL539" s="1568">
        <f t="shared" si="190"/>
        <v>0</v>
      </c>
      <c r="AM539" s="1568">
        <f t="shared" si="190"/>
        <v>0</v>
      </c>
      <c r="AN539" s="1568">
        <f t="shared" si="190"/>
        <v>0</v>
      </c>
      <c r="AO539" s="1568">
        <f t="shared" si="190"/>
        <v>0</v>
      </c>
      <c r="AP539" s="1568">
        <f t="shared" si="190"/>
        <v>0</v>
      </c>
      <c r="AQ539" s="1568">
        <f t="shared" si="190"/>
        <v>0</v>
      </c>
      <c r="AR539" s="1568">
        <f t="shared" si="190"/>
        <v>0</v>
      </c>
      <c r="AS539" s="1568">
        <f t="shared" si="190"/>
        <v>0</v>
      </c>
      <c r="AT539" s="1568">
        <f t="shared" si="190"/>
        <v>0</v>
      </c>
      <c r="AU539" s="1568">
        <f t="shared" si="190"/>
        <v>0</v>
      </c>
      <c r="AV539" s="1568">
        <f t="shared" si="190"/>
        <v>0</v>
      </c>
      <c r="AW539" s="1568">
        <f t="shared" si="190"/>
        <v>0</v>
      </c>
      <c r="AX539" s="1568">
        <f t="shared" si="190"/>
        <v>0</v>
      </c>
      <c r="AY539" s="1568">
        <f t="shared" si="190"/>
        <v>0</v>
      </c>
      <c r="AZ539" s="1568">
        <f t="shared" si="190"/>
        <v>0</v>
      </c>
      <c r="BA539" s="1568">
        <f t="shared" si="190"/>
        <v>0</v>
      </c>
      <c r="BB539" s="1568">
        <f t="shared" si="190"/>
        <v>0</v>
      </c>
      <c r="BC539" s="1568">
        <f t="shared" si="190"/>
        <v>0</v>
      </c>
      <c r="BD539" s="1568">
        <f t="shared" si="190"/>
        <v>0</v>
      </c>
      <c r="BE539" s="1569">
        <f t="shared" si="190"/>
        <v>0</v>
      </c>
      <c r="BF539" s="695"/>
    </row>
    <row r="540" spans="1:58" x14ac:dyDescent="0.45">
      <c r="A540" s="695"/>
      <c r="B540" s="918"/>
      <c r="C540" s="919" t="s">
        <v>59</v>
      </c>
      <c r="D540" s="919"/>
      <c r="E540" s="919"/>
      <c r="F540" s="919"/>
      <c r="G540" s="1566">
        <f t="shared" ref="G540:BE540" si="191">SUM(G537:G539)</f>
        <v>0</v>
      </c>
      <c r="H540" s="1566">
        <f t="shared" si="191"/>
        <v>0</v>
      </c>
      <c r="I540" s="1566">
        <f t="shared" si="191"/>
        <v>0</v>
      </c>
      <c r="J540" s="1566">
        <f t="shared" si="191"/>
        <v>0</v>
      </c>
      <c r="K540" s="1566">
        <f t="shared" si="191"/>
        <v>0</v>
      </c>
      <c r="L540" s="1566">
        <f t="shared" si="191"/>
        <v>0</v>
      </c>
      <c r="M540" s="1566">
        <f t="shared" si="191"/>
        <v>0</v>
      </c>
      <c r="N540" s="1566">
        <f t="shared" si="191"/>
        <v>0</v>
      </c>
      <c r="O540" s="1566">
        <f t="shared" si="191"/>
        <v>0</v>
      </c>
      <c r="P540" s="1566">
        <f t="shared" si="191"/>
        <v>0</v>
      </c>
      <c r="Q540" s="1566">
        <f t="shared" si="191"/>
        <v>0</v>
      </c>
      <c r="R540" s="1566">
        <f t="shared" si="191"/>
        <v>0</v>
      </c>
      <c r="S540" s="1566">
        <f t="shared" si="191"/>
        <v>0</v>
      </c>
      <c r="T540" s="1566">
        <f t="shared" si="191"/>
        <v>0</v>
      </c>
      <c r="U540" s="1566">
        <f t="shared" si="191"/>
        <v>0</v>
      </c>
      <c r="V540" s="1566">
        <f t="shared" si="191"/>
        <v>0</v>
      </c>
      <c r="W540" s="1566">
        <f t="shared" si="191"/>
        <v>0</v>
      </c>
      <c r="X540" s="1566">
        <f t="shared" si="191"/>
        <v>0</v>
      </c>
      <c r="Y540" s="1566">
        <f t="shared" si="191"/>
        <v>0</v>
      </c>
      <c r="Z540" s="1566">
        <f t="shared" si="191"/>
        <v>0</v>
      </c>
      <c r="AA540" s="1566">
        <f t="shared" si="191"/>
        <v>0</v>
      </c>
      <c r="AB540" s="1566">
        <f t="shared" si="191"/>
        <v>0</v>
      </c>
      <c r="AC540" s="1566">
        <f t="shared" si="191"/>
        <v>0</v>
      </c>
      <c r="AD540" s="1566">
        <f t="shared" si="191"/>
        <v>0</v>
      </c>
      <c r="AE540" s="1566">
        <f t="shared" si="191"/>
        <v>0</v>
      </c>
      <c r="AF540" s="1566">
        <f t="shared" si="191"/>
        <v>0</v>
      </c>
      <c r="AG540" s="1566">
        <f t="shared" si="191"/>
        <v>0</v>
      </c>
      <c r="AH540" s="1566">
        <f t="shared" si="191"/>
        <v>0</v>
      </c>
      <c r="AI540" s="1566">
        <f t="shared" si="191"/>
        <v>0</v>
      </c>
      <c r="AJ540" s="1566">
        <f t="shared" si="191"/>
        <v>0</v>
      </c>
      <c r="AK540" s="1566">
        <f t="shared" si="191"/>
        <v>0</v>
      </c>
      <c r="AL540" s="1566">
        <f t="shared" si="191"/>
        <v>0</v>
      </c>
      <c r="AM540" s="1566">
        <f t="shared" si="191"/>
        <v>0</v>
      </c>
      <c r="AN540" s="1566">
        <f t="shared" si="191"/>
        <v>0</v>
      </c>
      <c r="AO540" s="1566">
        <f t="shared" si="191"/>
        <v>0</v>
      </c>
      <c r="AP540" s="1566">
        <f t="shared" si="191"/>
        <v>0</v>
      </c>
      <c r="AQ540" s="1566">
        <f t="shared" si="191"/>
        <v>0</v>
      </c>
      <c r="AR540" s="1566">
        <f t="shared" si="191"/>
        <v>0</v>
      </c>
      <c r="AS540" s="1566">
        <f t="shared" si="191"/>
        <v>0</v>
      </c>
      <c r="AT540" s="1566">
        <f t="shared" si="191"/>
        <v>0</v>
      </c>
      <c r="AU540" s="1566">
        <f t="shared" si="191"/>
        <v>0</v>
      </c>
      <c r="AV540" s="1566">
        <f t="shared" si="191"/>
        <v>0</v>
      </c>
      <c r="AW540" s="1566">
        <f t="shared" si="191"/>
        <v>0</v>
      </c>
      <c r="AX540" s="1566">
        <f t="shared" si="191"/>
        <v>0</v>
      </c>
      <c r="AY540" s="1566">
        <f t="shared" si="191"/>
        <v>0</v>
      </c>
      <c r="AZ540" s="1566">
        <f t="shared" si="191"/>
        <v>0</v>
      </c>
      <c r="BA540" s="1566">
        <f t="shared" si="191"/>
        <v>0</v>
      </c>
      <c r="BB540" s="1566">
        <f t="shared" si="191"/>
        <v>0</v>
      </c>
      <c r="BC540" s="1566">
        <f t="shared" si="191"/>
        <v>0</v>
      </c>
      <c r="BD540" s="1566">
        <f t="shared" si="191"/>
        <v>0</v>
      </c>
      <c r="BE540" s="1567">
        <f t="shared" si="191"/>
        <v>0</v>
      </c>
      <c r="BF540" s="695"/>
    </row>
    <row r="541" spans="1:58" x14ac:dyDescent="0.45">
      <c r="A541" s="695"/>
      <c r="B541" s="918"/>
      <c r="C541" s="919"/>
      <c r="D541" s="919"/>
      <c r="E541" s="919"/>
      <c r="F541" s="919"/>
      <c r="G541" s="1566"/>
      <c r="H541" s="1566"/>
      <c r="I541" s="1566"/>
      <c r="J541" s="1566"/>
      <c r="K541" s="1566"/>
      <c r="L541" s="1566"/>
      <c r="M541" s="1566"/>
      <c r="N541" s="1566"/>
      <c r="O541" s="1566"/>
      <c r="P541" s="1566"/>
      <c r="Q541" s="1566"/>
      <c r="R541" s="1566"/>
      <c r="S541" s="1566"/>
      <c r="T541" s="1566"/>
      <c r="U541" s="1566"/>
      <c r="V541" s="1566"/>
      <c r="W541" s="1566"/>
      <c r="X541" s="1566"/>
      <c r="Y541" s="1566"/>
      <c r="Z541" s="1566"/>
      <c r="AA541" s="1566"/>
      <c r="AB541" s="1566"/>
      <c r="AC541" s="1566"/>
      <c r="AD541" s="1566"/>
      <c r="AE541" s="1566"/>
      <c r="AF541" s="1566"/>
      <c r="AG541" s="1566"/>
      <c r="AH541" s="1566"/>
      <c r="AI541" s="1566"/>
      <c r="AJ541" s="1566"/>
      <c r="AK541" s="1566"/>
      <c r="AL541" s="1566"/>
      <c r="AM541" s="1566"/>
      <c r="AN541" s="1566"/>
      <c r="AO541" s="1566"/>
      <c r="AP541" s="1566"/>
      <c r="AQ541" s="1566"/>
      <c r="AR541" s="1566"/>
      <c r="AS541" s="1566"/>
      <c r="AT541" s="1566"/>
      <c r="AU541" s="1566"/>
      <c r="AV541" s="1566"/>
      <c r="AW541" s="1566"/>
      <c r="AX541" s="1566"/>
      <c r="AY541" s="1566"/>
      <c r="AZ541" s="1566"/>
      <c r="BA541" s="1566"/>
      <c r="BB541" s="1566"/>
      <c r="BC541" s="1566"/>
      <c r="BD541" s="1566"/>
      <c r="BE541" s="1567"/>
      <c r="BF541" s="695"/>
    </row>
    <row r="542" spans="1:58" x14ac:dyDescent="0.45">
      <c r="A542" s="695"/>
      <c r="B542" s="918"/>
      <c r="C542" s="1040" t="s">
        <v>64</v>
      </c>
      <c r="D542" s="919"/>
      <c r="E542" s="919"/>
      <c r="F542" s="919"/>
      <c r="G542" s="1566"/>
      <c r="H542" s="1566"/>
      <c r="I542" s="1566"/>
      <c r="J542" s="1566"/>
      <c r="K542" s="1566"/>
      <c r="L542" s="1566"/>
      <c r="M542" s="1566"/>
      <c r="N542" s="1566"/>
      <c r="O542" s="1566"/>
      <c r="P542" s="1566"/>
      <c r="Q542" s="1566"/>
      <c r="R542" s="1566"/>
      <c r="S542" s="1566"/>
      <c r="T542" s="1566"/>
      <c r="U542" s="1566"/>
      <c r="V542" s="1566"/>
      <c r="W542" s="1566"/>
      <c r="X542" s="1566"/>
      <c r="Y542" s="1566"/>
      <c r="Z542" s="1566"/>
      <c r="AA542" s="1566"/>
      <c r="AB542" s="1566"/>
      <c r="AC542" s="1566"/>
      <c r="AD542" s="1566"/>
      <c r="AE542" s="1566"/>
      <c r="AF542" s="1566"/>
      <c r="AG542" s="1566"/>
      <c r="AH542" s="1566"/>
      <c r="AI542" s="1566"/>
      <c r="AJ542" s="1566"/>
      <c r="AK542" s="1566"/>
      <c r="AL542" s="1566"/>
      <c r="AM542" s="1566"/>
      <c r="AN542" s="1566"/>
      <c r="AO542" s="1566"/>
      <c r="AP542" s="1566"/>
      <c r="AQ542" s="1566"/>
      <c r="AR542" s="1566"/>
      <c r="AS542" s="1566"/>
      <c r="AT542" s="1566"/>
      <c r="AU542" s="1566"/>
      <c r="AV542" s="1566"/>
      <c r="AW542" s="1566"/>
      <c r="AX542" s="1566"/>
      <c r="AY542" s="1566"/>
      <c r="AZ542" s="1566"/>
      <c r="BA542" s="1566"/>
      <c r="BB542" s="1566"/>
      <c r="BC542" s="1566"/>
      <c r="BD542" s="1566"/>
      <c r="BE542" s="1567"/>
      <c r="BF542" s="695"/>
    </row>
    <row r="543" spans="1:58" x14ac:dyDescent="0.45">
      <c r="A543" s="695"/>
      <c r="B543" s="918"/>
      <c r="C543" s="919" t="str">
        <f>'II. Inputs, Baseline Energy Mix'!$E$78</f>
        <v>Front-end Fee</v>
      </c>
      <c r="D543" s="919"/>
      <c r="E543" s="919"/>
      <c r="F543" s="919"/>
      <c r="G543" s="1566"/>
      <c r="H543" s="1566">
        <f>IF($G527&gt;0, G527*'II. Inputs, Baseline Energy Mix'!$Q$78/10000,0)</f>
        <v>0</v>
      </c>
      <c r="I543" s="1566">
        <v>0</v>
      </c>
      <c r="J543" s="1566">
        <v>0</v>
      </c>
      <c r="K543" s="1566">
        <v>0</v>
      </c>
      <c r="L543" s="1566">
        <v>0</v>
      </c>
      <c r="M543" s="1566">
        <v>0</v>
      </c>
      <c r="N543" s="1566">
        <v>0</v>
      </c>
      <c r="O543" s="1566">
        <v>0</v>
      </c>
      <c r="P543" s="1566">
        <v>0</v>
      </c>
      <c r="Q543" s="1566">
        <v>0</v>
      </c>
      <c r="R543" s="1566">
        <v>0</v>
      </c>
      <c r="S543" s="1566">
        <v>0</v>
      </c>
      <c r="T543" s="1566">
        <v>0</v>
      </c>
      <c r="U543" s="1566">
        <v>0</v>
      </c>
      <c r="V543" s="1566">
        <v>0</v>
      </c>
      <c r="W543" s="1566">
        <v>0</v>
      </c>
      <c r="X543" s="1566">
        <v>0</v>
      </c>
      <c r="Y543" s="1566">
        <v>0</v>
      </c>
      <c r="Z543" s="1566">
        <v>0</v>
      </c>
      <c r="AA543" s="1566">
        <v>0</v>
      </c>
      <c r="AB543" s="1566">
        <v>0</v>
      </c>
      <c r="AC543" s="1566">
        <v>0</v>
      </c>
      <c r="AD543" s="1566">
        <v>0</v>
      </c>
      <c r="AE543" s="1566">
        <v>0</v>
      </c>
      <c r="AF543" s="1566">
        <v>0</v>
      </c>
      <c r="AG543" s="1566">
        <v>0</v>
      </c>
      <c r="AH543" s="1566">
        <v>0</v>
      </c>
      <c r="AI543" s="1566">
        <v>0</v>
      </c>
      <c r="AJ543" s="1566">
        <v>0</v>
      </c>
      <c r="AK543" s="1566">
        <v>0</v>
      </c>
      <c r="AL543" s="1566">
        <v>0</v>
      </c>
      <c r="AM543" s="1566">
        <v>0</v>
      </c>
      <c r="AN543" s="1566">
        <v>0</v>
      </c>
      <c r="AO543" s="1566">
        <v>0</v>
      </c>
      <c r="AP543" s="1566">
        <v>0</v>
      </c>
      <c r="AQ543" s="1566">
        <v>0</v>
      </c>
      <c r="AR543" s="1566">
        <v>0</v>
      </c>
      <c r="AS543" s="1566">
        <v>0</v>
      </c>
      <c r="AT543" s="1566">
        <v>0</v>
      </c>
      <c r="AU543" s="1566">
        <v>0</v>
      </c>
      <c r="AV543" s="1566">
        <v>0</v>
      </c>
      <c r="AW543" s="1566">
        <v>0</v>
      </c>
      <c r="AX543" s="1566">
        <v>0</v>
      </c>
      <c r="AY543" s="1566">
        <v>0</v>
      </c>
      <c r="AZ543" s="1566">
        <v>0</v>
      </c>
      <c r="BA543" s="1566">
        <v>0</v>
      </c>
      <c r="BB543" s="1566">
        <v>0</v>
      </c>
      <c r="BC543" s="1566">
        <v>0</v>
      </c>
      <c r="BD543" s="1566">
        <v>0</v>
      </c>
      <c r="BE543" s="1567">
        <v>0</v>
      </c>
      <c r="BF543" s="695"/>
    </row>
    <row r="544" spans="1:58" x14ac:dyDescent="0.45">
      <c r="A544" s="695"/>
      <c r="B544" s="918"/>
      <c r="C544" s="919"/>
      <c r="D544" s="919"/>
      <c r="E544" s="919"/>
      <c r="F544" s="919"/>
      <c r="G544" s="919"/>
      <c r="H544" s="919"/>
      <c r="I544" s="919"/>
      <c r="J544" s="919"/>
      <c r="K544" s="919"/>
      <c r="L544" s="919"/>
      <c r="M544" s="919"/>
      <c r="N544" s="919"/>
      <c r="O544" s="919"/>
      <c r="P544" s="919"/>
      <c r="Q544" s="919"/>
      <c r="R544" s="919"/>
      <c r="S544" s="919"/>
      <c r="T544" s="919"/>
      <c r="U544" s="919"/>
      <c r="V544" s="919"/>
      <c r="W544" s="919"/>
      <c r="X544" s="919"/>
      <c r="Y544" s="919"/>
      <c r="Z544" s="919"/>
      <c r="AA544" s="919"/>
      <c r="AB544" s="919"/>
      <c r="AC544" s="919"/>
      <c r="AD544" s="919"/>
      <c r="AE544" s="919"/>
      <c r="AF544" s="919"/>
      <c r="AG544" s="919"/>
      <c r="AH544" s="919"/>
      <c r="AI544" s="919"/>
      <c r="AJ544" s="919"/>
      <c r="AK544" s="919"/>
      <c r="AL544" s="919"/>
      <c r="AM544" s="919"/>
      <c r="AN544" s="919"/>
      <c r="AO544" s="919"/>
      <c r="AP544" s="919"/>
      <c r="AQ544" s="919"/>
      <c r="AR544" s="919"/>
      <c r="AS544" s="919"/>
      <c r="AT544" s="919"/>
      <c r="AU544" s="919"/>
      <c r="AV544" s="919"/>
      <c r="AW544" s="919"/>
      <c r="AX544" s="919"/>
      <c r="AY544" s="919"/>
      <c r="AZ544" s="919"/>
      <c r="BA544" s="919"/>
      <c r="BB544" s="919"/>
      <c r="BC544" s="919"/>
      <c r="BD544" s="919"/>
      <c r="BE544" s="920"/>
      <c r="BF544" s="695"/>
    </row>
    <row r="545" spans="1:58" ht="13.15" x14ac:dyDescent="0.45">
      <c r="A545" s="695"/>
      <c r="B545" s="931" t="s">
        <v>151</v>
      </c>
      <c r="C545" s="919"/>
      <c r="D545" s="919"/>
      <c r="E545" s="919"/>
      <c r="F545" s="919"/>
      <c r="G545" s="919"/>
      <c r="H545" s="919"/>
      <c r="I545" s="919"/>
      <c r="J545" s="919"/>
      <c r="K545" s="919"/>
      <c r="L545" s="919"/>
      <c r="M545" s="919"/>
      <c r="N545" s="919"/>
      <c r="O545" s="919"/>
      <c r="P545" s="919"/>
      <c r="Q545" s="919"/>
      <c r="R545" s="919"/>
      <c r="S545" s="919"/>
      <c r="T545" s="919"/>
      <c r="U545" s="919"/>
      <c r="V545" s="919"/>
      <c r="W545" s="919"/>
      <c r="X545" s="919"/>
      <c r="Y545" s="919"/>
      <c r="Z545" s="919"/>
      <c r="AA545" s="919"/>
      <c r="AB545" s="919"/>
      <c r="AC545" s="919"/>
      <c r="AD545" s="919"/>
      <c r="AE545" s="919"/>
      <c r="AF545" s="919"/>
      <c r="AG545" s="919"/>
      <c r="AH545" s="919"/>
      <c r="AI545" s="919"/>
      <c r="AJ545" s="919"/>
      <c r="AK545" s="919"/>
      <c r="AL545" s="919"/>
      <c r="AM545" s="919"/>
      <c r="AN545" s="919"/>
      <c r="AO545" s="919"/>
      <c r="AP545" s="919"/>
      <c r="AQ545" s="919"/>
      <c r="AR545" s="919"/>
      <c r="AS545" s="919"/>
      <c r="AT545" s="919"/>
      <c r="AU545" s="919"/>
      <c r="AV545" s="919"/>
      <c r="AW545" s="919"/>
      <c r="AX545" s="919"/>
      <c r="AY545" s="919"/>
      <c r="AZ545" s="919"/>
      <c r="BA545" s="919"/>
      <c r="BB545" s="919"/>
      <c r="BC545" s="919"/>
      <c r="BD545" s="919"/>
      <c r="BE545" s="920"/>
      <c r="BF545" s="695"/>
    </row>
    <row r="546" spans="1:58" x14ac:dyDescent="0.45">
      <c r="A546" s="695"/>
      <c r="B546" s="918"/>
      <c r="C546" s="1037" t="s">
        <v>61</v>
      </c>
      <c r="D546" s="922" t="s">
        <v>748</v>
      </c>
      <c r="E546" s="919"/>
      <c r="F546" s="919"/>
      <c r="G546" s="1566">
        <f>IF('II. Inputs, Baseline Energy Mix'!$Q$19&gt;0,('II. Inputs, Baseline Energy Mix'!$Q$20*'II. Inputs, Baseline Energy Mix'!$Q$21*'II. Inputs, Baseline Energy Mix'!$Q$36*'II. Inputs, Baseline Energy Mix'!$Q$39),0)</f>
        <v>0</v>
      </c>
      <c r="H546" s="919"/>
      <c r="I546" s="919"/>
      <c r="J546" s="919"/>
      <c r="K546" s="919"/>
      <c r="L546" s="919"/>
      <c r="M546" s="919"/>
      <c r="N546" s="919"/>
      <c r="O546" s="919"/>
      <c r="P546" s="919"/>
      <c r="Q546" s="919"/>
      <c r="R546" s="919"/>
      <c r="S546" s="919"/>
      <c r="T546" s="919"/>
      <c r="U546" s="919"/>
      <c r="V546" s="919"/>
      <c r="W546" s="919"/>
      <c r="X546" s="919"/>
      <c r="Y546" s="919"/>
      <c r="Z546" s="919"/>
      <c r="AA546" s="919"/>
      <c r="AB546" s="919"/>
      <c r="AC546" s="919"/>
      <c r="AD546" s="919"/>
      <c r="AE546" s="919"/>
      <c r="AF546" s="919"/>
      <c r="AG546" s="919"/>
      <c r="AH546" s="919"/>
      <c r="AI546" s="919"/>
      <c r="AJ546" s="919"/>
      <c r="AK546" s="919"/>
      <c r="AL546" s="919"/>
      <c r="AM546" s="919"/>
      <c r="AN546" s="919"/>
      <c r="AO546" s="919"/>
      <c r="AP546" s="919"/>
      <c r="AQ546" s="919"/>
      <c r="AR546" s="919"/>
      <c r="AS546" s="919"/>
      <c r="AT546" s="919"/>
      <c r="AU546" s="919"/>
      <c r="AV546" s="919"/>
      <c r="AW546" s="919"/>
      <c r="AX546" s="919"/>
      <c r="AY546" s="919"/>
      <c r="AZ546" s="919"/>
      <c r="BA546" s="919"/>
      <c r="BB546" s="919"/>
      <c r="BC546" s="919"/>
      <c r="BD546" s="919"/>
      <c r="BE546" s="920"/>
      <c r="BF546" s="695"/>
    </row>
    <row r="547" spans="1:58" x14ac:dyDescent="0.45">
      <c r="A547" s="695"/>
      <c r="B547" s="918"/>
      <c r="C547" s="1037" t="s">
        <v>62</v>
      </c>
      <c r="D547" s="922" t="s">
        <v>18</v>
      </c>
      <c r="E547" s="919"/>
      <c r="F547" s="919"/>
      <c r="G547" s="921">
        <f>SUM('II. Inputs, Baseline Energy Mix'!$Q$81)</f>
        <v>0</v>
      </c>
      <c r="H547" s="919"/>
      <c r="I547" s="919"/>
      <c r="J547" s="919"/>
      <c r="K547" s="919"/>
      <c r="L547" s="919"/>
      <c r="M547" s="919"/>
      <c r="N547" s="919"/>
      <c r="O547" s="919"/>
      <c r="P547" s="919"/>
      <c r="Q547" s="919"/>
      <c r="R547" s="919"/>
      <c r="S547" s="919"/>
      <c r="T547" s="919"/>
      <c r="U547" s="919"/>
      <c r="V547" s="919"/>
      <c r="W547" s="919"/>
      <c r="X547" s="919"/>
      <c r="Y547" s="919"/>
      <c r="Z547" s="919"/>
      <c r="AA547" s="919"/>
      <c r="AB547" s="919"/>
      <c r="AC547" s="919"/>
      <c r="AD547" s="919"/>
      <c r="AE547" s="919"/>
      <c r="AF547" s="919"/>
      <c r="AG547" s="919"/>
      <c r="AH547" s="919"/>
      <c r="AI547" s="919"/>
      <c r="AJ547" s="919"/>
      <c r="AK547" s="919"/>
      <c r="AL547" s="919"/>
      <c r="AM547" s="919"/>
      <c r="AN547" s="919"/>
      <c r="AO547" s="919"/>
      <c r="AP547" s="919"/>
      <c r="AQ547" s="919"/>
      <c r="AR547" s="919"/>
      <c r="AS547" s="919"/>
      <c r="AT547" s="919"/>
      <c r="AU547" s="919"/>
      <c r="AV547" s="919"/>
      <c r="AW547" s="919"/>
      <c r="AX547" s="919"/>
      <c r="AY547" s="919"/>
      <c r="AZ547" s="919"/>
      <c r="BA547" s="919"/>
      <c r="BB547" s="919"/>
      <c r="BC547" s="919"/>
      <c r="BD547" s="919"/>
      <c r="BE547" s="920"/>
      <c r="BF547" s="695"/>
    </row>
    <row r="548" spans="1:58" x14ac:dyDescent="0.45">
      <c r="A548" s="695"/>
      <c r="B548" s="918"/>
      <c r="C548" s="1037" t="s">
        <v>63</v>
      </c>
      <c r="D548" s="922" t="s">
        <v>14</v>
      </c>
      <c r="E548" s="919"/>
      <c r="F548" s="919"/>
      <c r="G548" s="1038">
        <f>SUM('II. Inputs, Baseline Energy Mix'!$Q$80)</f>
        <v>0</v>
      </c>
      <c r="H548" s="919"/>
      <c r="I548" s="919"/>
      <c r="J548" s="919"/>
      <c r="K548" s="919"/>
      <c r="L548" s="919"/>
      <c r="M548" s="919"/>
      <c r="N548" s="919"/>
      <c r="O548" s="919"/>
      <c r="P548" s="919"/>
      <c r="Q548" s="919"/>
      <c r="R548" s="919"/>
      <c r="S548" s="919"/>
      <c r="T548" s="919"/>
      <c r="U548" s="919"/>
      <c r="V548" s="919"/>
      <c r="W548" s="919"/>
      <c r="X548" s="919"/>
      <c r="Y548" s="919"/>
      <c r="Z548" s="919"/>
      <c r="AA548" s="919"/>
      <c r="AB548" s="919"/>
      <c r="AC548" s="919"/>
      <c r="AD548" s="919"/>
      <c r="AE548" s="919"/>
      <c r="AF548" s="919"/>
      <c r="AG548" s="919"/>
      <c r="AH548" s="919"/>
      <c r="AI548" s="919"/>
      <c r="AJ548" s="919"/>
      <c r="AK548" s="919"/>
      <c r="AL548" s="919"/>
      <c r="AM548" s="919"/>
      <c r="AN548" s="919"/>
      <c r="AO548" s="919"/>
      <c r="AP548" s="919"/>
      <c r="AQ548" s="919"/>
      <c r="AR548" s="919"/>
      <c r="AS548" s="919"/>
      <c r="AT548" s="919"/>
      <c r="AU548" s="919"/>
      <c r="AV548" s="919"/>
      <c r="AW548" s="919"/>
      <c r="AX548" s="919"/>
      <c r="AY548" s="919"/>
      <c r="AZ548" s="919"/>
      <c r="BA548" s="919"/>
      <c r="BB548" s="919"/>
      <c r="BC548" s="919"/>
      <c r="BD548" s="919"/>
      <c r="BE548" s="920"/>
      <c r="BF548" s="695"/>
    </row>
    <row r="549" spans="1:58" x14ac:dyDescent="0.45">
      <c r="A549" s="695"/>
      <c r="B549" s="918"/>
      <c r="C549" s="1037" t="str">
        <f>'II. Inputs, Baseline Energy Mix'!$E$83</f>
        <v>Guarantee Coverage, as a % of Commercial Loan Value</v>
      </c>
      <c r="D549" s="922" t="s">
        <v>14</v>
      </c>
      <c r="E549" s="919"/>
      <c r="F549" s="919"/>
      <c r="G549" s="1041">
        <f>SUM('II. Inputs, Baseline Energy Mix'!$Q$83)</f>
        <v>0</v>
      </c>
      <c r="H549" s="919"/>
      <c r="I549" s="919"/>
      <c r="J549" s="919"/>
      <c r="K549" s="919"/>
      <c r="L549" s="919"/>
      <c r="M549" s="919"/>
      <c r="N549" s="919"/>
      <c r="O549" s="919"/>
      <c r="P549" s="919"/>
      <c r="Q549" s="919"/>
      <c r="R549" s="919"/>
      <c r="S549" s="919"/>
      <c r="T549" s="919"/>
      <c r="U549" s="919"/>
      <c r="V549" s="919"/>
      <c r="W549" s="919"/>
      <c r="X549" s="919"/>
      <c r="Y549" s="919"/>
      <c r="Z549" s="919"/>
      <c r="AA549" s="919"/>
      <c r="AB549" s="919"/>
      <c r="AC549" s="919"/>
      <c r="AD549" s="919"/>
      <c r="AE549" s="919"/>
      <c r="AF549" s="919"/>
      <c r="AG549" s="919"/>
      <c r="AH549" s="919"/>
      <c r="AI549" s="919"/>
      <c r="AJ549" s="919"/>
      <c r="AK549" s="919"/>
      <c r="AL549" s="919"/>
      <c r="AM549" s="919"/>
      <c r="AN549" s="919"/>
      <c r="AO549" s="919"/>
      <c r="AP549" s="919"/>
      <c r="AQ549" s="919"/>
      <c r="AR549" s="919"/>
      <c r="AS549" s="919"/>
      <c r="AT549" s="919"/>
      <c r="AU549" s="919"/>
      <c r="AV549" s="919"/>
      <c r="AW549" s="919"/>
      <c r="AX549" s="919"/>
      <c r="AY549" s="919"/>
      <c r="AZ549" s="919"/>
      <c r="BA549" s="919"/>
      <c r="BB549" s="919"/>
      <c r="BC549" s="919"/>
      <c r="BD549" s="919"/>
      <c r="BE549" s="920"/>
      <c r="BF549" s="695"/>
    </row>
    <row r="550" spans="1:58" x14ac:dyDescent="0.45">
      <c r="A550" s="695"/>
      <c r="B550" s="918"/>
      <c r="C550" s="1037" t="str">
        <f>'II. Inputs, Baseline Energy Mix'!$E$84</f>
        <v xml:space="preserve">Term of Public Guarantee Coverage </v>
      </c>
      <c r="D550" s="922" t="s">
        <v>18</v>
      </c>
      <c r="E550" s="919"/>
      <c r="F550" s="919"/>
      <c r="G550" s="921">
        <f>'II. Inputs, Baseline Energy Mix'!$Q$84</f>
        <v>0</v>
      </c>
      <c r="H550" s="919"/>
      <c r="I550" s="919"/>
      <c r="J550" s="919"/>
      <c r="K550" s="919"/>
      <c r="L550" s="919"/>
      <c r="M550" s="919"/>
      <c r="N550" s="919"/>
      <c r="O550" s="919"/>
      <c r="P550" s="919"/>
      <c r="Q550" s="919"/>
      <c r="R550" s="919"/>
      <c r="S550" s="919"/>
      <c r="T550" s="919"/>
      <c r="U550" s="919"/>
      <c r="V550" s="919"/>
      <c r="W550" s="919"/>
      <c r="X550" s="919"/>
      <c r="Y550" s="919"/>
      <c r="Z550" s="919"/>
      <c r="AA550" s="919"/>
      <c r="AB550" s="919"/>
      <c r="AC550" s="919"/>
      <c r="AD550" s="919"/>
      <c r="AE550" s="919"/>
      <c r="AF550" s="919"/>
      <c r="AG550" s="919"/>
      <c r="AH550" s="919"/>
      <c r="AI550" s="919"/>
      <c r="AJ550" s="919"/>
      <c r="AK550" s="919"/>
      <c r="AL550" s="919"/>
      <c r="AM550" s="919"/>
      <c r="AN550" s="919"/>
      <c r="AO550" s="919"/>
      <c r="AP550" s="919"/>
      <c r="AQ550" s="919"/>
      <c r="AR550" s="919"/>
      <c r="AS550" s="919"/>
      <c r="AT550" s="919"/>
      <c r="AU550" s="919"/>
      <c r="AV550" s="919"/>
      <c r="AW550" s="919"/>
      <c r="AX550" s="919"/>
      <c r="AY550" s="919"/>
      <c r="AZ550" s="919"/>
      <c r="BA550" s="919"/>
      <c r="BB550" s="919"/>
      <c r="BC550" s="919"/>
      <c r="BD550" s="919"/>
      <c r="BE550" s="920"/>
      <c r="BF550" s="695"/>
    </row>
    <row r="551" spans="1:58" x14ac:dyDescent="0.45">
      <c r="A551" s="695"/>
      <c r="B551" s="918"/>
      <c r="C551" s="919"/>
      <c r="D551" s="919"/>
      <c r="E551" s="919"/>
      <c r="F551" s="919"/>
      <c r="G551" s="919"/>
      <c r="H551" s="919"/>
      <c r="I551" s="919"/>
      <c r="J551" s="919"/>
      <c r="K551" s="919"/>
      <c r="L551" s="919"/>
      <c r="M551" s="919"/>
      <c r="N551" s="919"/>
      <c r="O551" s="919"/>
      <c r="P551" s="919"/>
      <c r="Q551" s="919"/>
      <c r="R551" s="919"/>
      <c r="S551" s="919"/>
      <c r="T551" s="919"/>
      <c r="U551" s="919"/>
      <c r="V551" s="919"/>
      <c r="W551" s="919"/>
      <c r="X551" s="919"/>
      <c r="Y551" s="919"/>
      <c r="Z551" s="919"/>
      <c r="AA551" s="919"/>
      <c r="AB551" s="919"/>
      <c r="AC551" s="919"/>
      <c r="AD551" s="919"/>
      <c r="AE551" s="919"/>
      <c r="AF551" s="919"/>
      <c r="AG551" s="919"/>
      <c r="AH551" s="919"/>
      <c r="AI551" s="919"/>
      <c r="AJ551" s="919"/>
      <c r="AK551" s="919"/>
      <c r="AL551" s="919"/>
      <c r="AM551" s="919"/>
      <c r="AN551" s="919"/>
      <c r="AO551" s="919"/>
      <c r="AP551" s="919"/>
      <c r="AQ551" s="919"/>
      <c r="AR551" s="919"/>
      <c r="AS551" s="919"/>
      <c r="AT551" s="919"/>
      <c r="AU551" s="919"/>
      <c r="AV551" s="919"/>
      <c r="AW551" s="919"/>
      <c r="AX551" s="919"/>
      <c r="AY551" s="919"/>
      <c r="AZ551" s="919"/>
      <c r="BA551" s="919"/>
      <c r="BB551" s="919"/>
      <c r="BC551" s="919"/>
      <c r="BD551" s="919"/>
      <c r="BE551" s="920"/>
      <c r="BF551" s="695"/>
    </row>
    <row r="552" spans="1:58" x14ac:dyDescent="0.45">
      <c r="A552" s="695"/>
      <c r="B552" s="918"/>
      <c r="C552" s="1039" t="s">
        <v>60</v>
      </c>
      <c r="D552" s="919"/>
      <c r="E552" s="919"/>
      <c r="F552" s="919"/>
      <c r="G552" s="919"/>
      <c r="H552" s="919"/>
      <c r="I552" s="919"/>
      <c r="J552" s="919"/>
      <c r="K552" s="919"/>
      <c r="L552" s="919"/>
      <c r="M552" s="919"/>
      <c r="N552" s="919"/>
      <c r="O552" s="919"/>
      <c r="P552" s="919"/>
      <c r="Q552" s="919"/>
      <c r="R552" s="919"/>
      <c r="S552" s="919"/>
      <c r="T552" s="919"/>
      <c r="U552" s="919"/>
      <c r="V552" s="919"/>
      <c r="W552" s="919"/>
      <c r="X552" s="919"/>
      <c r="Y552" s="919"/>
      <c r="Z552" s="919"/>
      <c r="AA552" s="919"/>
      <c r="AB552" s="919"/>
      <c r="AC552" s="919"/>
      <c r="AD552" s="919"/>
      <c r="AE552" s="919"/>
      <c r="AF552" s="919"/>
      <c r="AG552" s="919"/>
      <c r="AH552" s="919"/>
      <c r="AI552" s="919"/>
      <c r="AJ552" s="919"/>
      <c r="AK552" s="919"/>
      <c r="AL552" s="919"/>
      <c r="AM552" s="919"/>
      <c r="AN552" s="919"/>
      <c r="AO552" s="919"/>
      <c r="AP552" s="919"/>
      <c r="AQ552" s="919"/>
      <c r="AR552" s="919"/>
      <c r="AS552" s="919"/>
      <c r="AT552" s="919"/>
      <c r="AU552" s="919"/>
      <c r="AV552" s="919"/>
      <c r="AW552" s="919"/>
      <c r="AX552" s="919"/>
      <c r="AY552" s="919"/>
      <c r="AZ552" s="919"/>
      <c r="BA552" s="919"/>
      <c r="BB552" s="919"/>
      <c r="BC552" s="919"/>
      <c r="BD552" s="919"/>
      <c r="BE552" s="920"/>
      <c r="BF552" s="695"/>
    </row>
    <row r="553" spans="1:58" x14ac:dyDescent="0.45">
      <c r="A553" s="695"/>
      <c r="B553" s="918"/>
      <c r="C553" s="919" t="s">
        <v>66</v>
      </c>
      <c r="D553" s="919"/>
      <c r="E553" s="919"/>
      <c r="F553" s="919"/>
      <c r="G553" s="1566"/>
      <c r="H553" s="1566">
        <f>IF(H$292&gt;$G547,0,IPMT($G548,H$292,$G547,-$G546))</f>
        <v>0</v>
      </c>
      <c r="I553" s="1566">
        <f t="shared" ref="I553:BE553" si="192">IF(I$292&gt;$G547,0,IPMT($G548,I$292,$G547,-$G546))</f>
        <v>0</v>
      </c>
      <c r="J553" s="1566">
        <f t="shared" si="192"/>
        <v>0</v>
      </c>
      <c r="K553" s="1566">
        <f t="shared" si="192"/>
        <v>0</v>
      </c>
      <c r="L553" s="1566">
        <f t="shared" si="192"/>
        <v>0</v>
      </c>
      <c r="M553" s="1566">
        <f t="shared" si="192"/>
        <v>0</v>
      </c>
      <c r="N553" s="1566">
        <f t="shared" si="192"/>
        <v>0</v>
      </c>
      <c r="O553" s="1566">
        <f t="shared" si="192"/>
        <v>0</v>
      </c>
      <c r="P553" s="1566">
        <f t="shared" si="192"/>
        <v>0</v>
      </c>
      <c r="Q553" s="1566">
        <f t="shared" si="192"/>
        <v>0</v>
      </c>
      <c r="R553" s="1566">
        <f t="shared" si="192"/>
        <v>0</v>
      </c>
      <c r="S553" s="1566">
        <f t="shared" si="192"/>
        <v>0</v>
      </c>
      <c r="T553" s="1566">
        <f t="shared" si="192"/>
        <v>0</v>
      </c>
      <c r="U553" s="1566">
        <f t="shared" si="192"/>
        <v>0</v>
      </c>
      <c r="V553" s="1566">
        <f t="shared" si="192"/>
        <v>0</v>
      </c>
      <c r="W553" s="1566">
        <f t="shared" si="192"/>
        <v>0</v>
      </c>
      <c r="X553" s="1566">
        <f t="shared" si="192"/>
        <v>0</v>
      </c>
      <c r="Y553" s="1566">
        <f t="shared" si="192"/>
        <v>0</v>
      </c>
      <c r="Z553" s="1566">
        <f t="shared" si="192"/>
        <v>0</v>
      </c>
      <c r="AA553" s="1566">
        <f t="shared" si="192"/>
        <v>0</v>
      </c>
      <c r="AB553" s="1566">
        <f t="shared" si="192"/>
        <v>0</v>
      </c>
      <c r="AC553" s="1566">
        <f t="shared" si="192"/>
        <v>0</v>
      </c>
      <c r="AD553" s="1566">
        <f t="shared" si="192"/>
        <v>0</v>
      </c>
      <c r="AE553" s="1566">
        <f t="shared" si="192"/>
        <v>0</v>
      </c>
      <c r="AF553" s="1566">
        <f t="shared" si="192"/>
        <v>0</v>
      </c>
      <c r="AG553" s="1566">
        <f t="shared" si="192"/>
        <v>0</v>
      </c>
      <c r="AH553" s="1566">
        <f t="shared" si="192"/>
        <v>0</v>
      </c>
      <c r="AI553" s="1566">
        <f t="shared" si="192"/>
        <v>0</v>
      </c>
      <c r="AJ553" s="1566">
        <f t="shared" si="192"/>
        <v>0</v>
      </c>
      <c r="AK553" s="1566">
        <f t="shared" si="192"/>
        <v>0</v>
      </c>
      <c r="AL553" s="1566">
        <f t="shared" si="192"/>
        <v>0</v>
      </c>
      <c r="AM553" s="1566">
        <f t="shared" si="192"/>
        <v>0</v>
      </c>
      <c r="AN553" s="1566">
        <f t="shared" si="192"/>
        <v>0</v>
      </c>
      <c r="AO553" s="1566">
        <f t="shared" si="192"/>
        <v>0</v>
      </c>
      <c r="AP553" s="1566">
        <f t="shared" si="192"/>
        <v>0</v>
      </c>
      <c r="AQ553" s="1566">
        <f t="shared" si="192"/>
        <v>0</v>
      </c>
      <c r="AR553" s="1566">
        <f t="shared" si="192"/>
        <v>0</v>
      </c>
      <c r="AS553" s="1566">
        <f t="shared" si="192"/>
        <v>0</v>
      </c>
      <c r="AT553" s="1566">
        <f t="shared" si="192"/>
        <v>0</v>
      </c>
      <c r="AU553" s="1566">
        <f t="shared" si="192"/>
        <v>0</v>
      </c>
      <c r="AV553" s="1566">
        <f t="shared" si="192"/>
        <v>0</v>
      </c>
      <c r="AW553" s="1566">
        <f t="shared" si="192"/>
        <v>0</v>
      </c>
      <c r="AX553" s="1566">
        <f t="shared" si="192"/>
        <v>0</v>
      </c>
      <c r="AY553" s="1566">
        <f t="shared" si="192"/>
        <v>0</v>
      </c>
      <c r="AZ553" s="1566">
        <f t="shared" si="192"/>
        <v>0</v>
      </c>
      <c r="BA553" s="1566">
        <f t="shared" si="192"/>
        <v>0</v>
      </c>
      <c r="BB553" s="1566">
        <f t="shared" si="192"/>
        <v>0</v>
      </c>
      <c r="BC553" s="1566">
        <f t="shared" si="192"/>
        <v>0</v>
      </c>
      <c r="BD553" s="1566">
        <f t="shared" si="192"/>
        <v>0</v>
      </c>
      <c r="BE553" s="1567">
        <f t="shared" si="192"/>
        <v>0</v>
      </c>
      <c r="BF553" s="695"/>
    </row>
    <row r="554" spans="1:58" x14ac:dyDescent="0.45">
      <c r="A554" s="695"/>
      <c r="B554" s="918"/>
      <c r="C554" s="926" t="s">
        <v>65</v>
      </c>
      <c r="D554" s="926"/>
      <c r="E554" s="926"/>
      <c r="F554" s="926"/>
      <c r="G554" s="1568"/>
      <c r="H554" s="1568">
        <f>IF(H$292&gt;$G547,0,PPMT($G548,H$292,$G547,-$G546))</f>
        <v>0</v>
      </c>
      <c r="I554" s="1568">
        <f t="shared" ref="I554:BE554" si="193">IF(I$292&gt;$G547,0,PPMT($G548,I$292,$G547,-$G546))</f>
        <v>0</v>
      </c>
      <c r="J554" s="1568">
        <f t="shared" si="193"/>
        <v>0</v>
      </c>
      <c r="K554" s="1568">
        <f t="shared" si="193"/>
        <v>0</v>
      </c>
      <c r="L554" s="1568">
        <f t="shared" si="193"/>
        <v>0</v>
      </c>
      <c r="M554" s="1568">
        <f t="shared" si="193"/>
        <v>0</v>
      </c>
      <c r="N554" s="1568">
        <f t="shared" si="193"/>
        <v>0</v>
      </c>
      <c r="O554" s="1568">
        <f t="shared" si="193"/>
        <v>0</v>
      </c>
      <c r="P554" s="1568">
        <f t="shared" si="193"/>
        <v>0</v>
      </c>
      <c r="Q554" s="1568">
        <f t="shared" si="193"/>
        <v>0</v>
      </c>
      <c r="R554" s="1568">
        <f t="shared" si="193"/>
        <v>0</v>
      </c>
      <c r="S554" s="1568">
        <f t="shared" si="193"/>
        <v>0</v>
      </c>
      <c r="T554" s="1568">
        <f t="shared" si="193"/>
        <v>0</v>
      </c>
      <c r="U554" s="1568">
        <f t="shared" si="193"/>
        <v>0</v>
      </c>
      <c r="V554" s="1568">
        <f t="shared" si="193"/>
        <v>0</v>
      </c>
      <c r="W554" s="1568">
        <f t="shared" si="193"/>
        <v>0</v>
      </c>
      <c r="X554" s="1568">
        <f t="shared" si="193"/>
        <v>0</v>
      </c>
      <c r="Y554" s="1568">
        <f t="shared" si="193"/>
        <v>0</v>
      </c>
      <c r="Z554" s="1568">
        <f t="shared" si="193"/>
        <v>0</v>
      </c>
      <c r="AA554" s="1568">
        <f t="shared" si="193"/>
        <v>0</v>
      </c>
      <c r="AB554" s="1568">
        <f t="shared" si="193"/>
        <v>0</v>
      </c>
      <c r="AC554" s="1568">
        <f t="shared" si="193"/>
        <v>0</v>
      </c>
      <c r="AD554" s="1568">
        <f t="shared" si="193"/>
        <v>0</v>
      </c>
      <c r="AE554" s="1568">
        <f t="shared" si="193"/>
        <v>0</v>
      </c>
      <c r="AF554" s="1568">
        <f t="shared" si="193"/>
        <v>0</v>
      </c>
      <c r="AG554" s="1568">
        <f t="shared" si="193"/>
        <v>0</v>
      </c>
      <c r="AH554" s="1568">
        <f t="shared" si="193"/>
        <v>0</v>
      </c>
      <c r="AI554" s="1568">
        <f t="shared" si="193"/>
        <v>0</v>
      </c>
      <c r="AJ554" s="1568">
        <f t="shared" si="193"/>
        <v>0</v>
      </c>
      <c r="AK554" s="1568">
        <f t="shared" si="193"/>
        <v>0</v>
      </c>
      <c r="AL554" s="1568">
        <f t="shared" si="193"/>
        <v>0</v>
      </c>
      <c r="AM554" s="1568">
        <f t="shared" si="193"/>
        <v>0</v>
      </c>
      <c r="AN554" s="1568">
        <f t="shared" si="193"/>
        <v>0</v>
      </c>
      <c r="AO554" s="1568">
        <f t="shared" si="193"/>
        <v>0</v>
      </c>
      <c r="AP554" s="1568">
        <f t="shared" si="193"/>
        <v>0</v>
      </c>
      <c r="AQ554" s="1568">
        <f t="shared" si="193"/>
        <v>0</v>
      </c>
      <c r="AR554" s="1568">
        <f t="shared" si="193"/>
        <v>0</v>
      </c>
      <c r="AS554" s="1568">
        <f t="shared" si="193"/>
        <v>0</v>
      </c>
      <c r="AT554" s="1568">
        <f t="shared" si="193"/>
        <v>0</v>
      </c>
      <c r="AU554" s="1568">
        <f t="shared" si="193"/>
        <v>0</v>
      </c>
      <c r="AV554" s="1568">
        <f t="shared" si="193"/>
        <v>0</v>
      </c>
      <c r="AW554" s="1568">
        <f t="shared" si="193"/>
        <v>0</v>
      </c>
      <c r="AX554" s="1568">
        <f t="shared" si="193"/>
        <v>0</v>
      </c>
      <c r="AY554" s="1568">
        <f t="shared" si="193"/>
        <v>0</v>
      </c>
      <c r="AZ554" s="1568">
        <f t="shared" si="193"/>
        <v>0</v>
      </c>
      <c r="BA554" s="1568">
        <f t="shared" si="193"/>
        <v>0</v>
      </c>
      <c r="BB554" s="1568">
        <f t="shared" si="193"/>
        <v>0</v>
      </c>
      <c r="BC554" s="1568">
        <f t="shared" si="193"/>
        <v>0</v>
      </c>
      <c r="BD554" s="1568">
        <f t="shared" si="193"/>
        <v>0</v>
      </c>
      <c r="BE554" s="1569">
        <f t="shared" si="193"/>
        <v>0</v>
      </c>
      <c r="BF554" s="695"/>
    </row>
    <row r="555" spans="1:58" x14ac:dyDescent="0.45">
      <c r="A555" s="695"/>
      <c r="B555" s="918"/>
      <c r="C555" s="919" t="s">
        <v>67</v>
      </c>
      <c r="D555" s="919"/>
      <c r="E555" s="919"/>
      <c r="F555" s="919"/>
      <c r="G555" s="1566"/>
      <c r="H555" s="1566">
        <f>SUM(H553:H554)</f>
        <v>0</v>
      </c>
      <c r="I555" s="1566">
        <f t="shared" ref="I555:BE555" si="194">SUM(I553:I554)</f>
        <v>0</v>
      </c>
      <c r="J555" s="1566">
        <f t="shared" si="194"/>
        <v>0</v>
      </c>
      <c r="K555" s="1566">
        <f t="shared" si="194"/>
        <v>0</v>
      </c>
      <c r="L555" s="1566">
        <f t="shared" si="194"/>
        <v>0</v>
      </c>
      <c r="M555" s="1566">
        <f t="shared" si="194"/>
        <v>0</v>
      </c>
      <c r="N555" s="1566">
        <f t="shared" si="194"/>
        <v>0</v>
      </c>
      <c r="O555" s="1566">
        <f t="shared" si="194"/>
        <v>0</v>
      </c>
      <c r="P555" s="1566">
        <f t="shared" si="194"/>
        <v>0</v>
      </c>
      <c r="Q555" s="1566">
        <f t="shared" si="194"/>
        <v>0</v>
      </c>
      <c r="R555" s="1566">
        <f t="shared" si="194"/>
        <v>0</v>
      </c>
      <c r="S555" s="1566">
        <f t="shared" si="194"/>
        <v>0</v>
      </c>
      <c r="T555" s="1566">
        <f t="shared" si="194"/>
        <v>0</v>
      </c>
      <c r="U555" s="1566">
        <f t="shared" si="194"/>
        <v>0</v>
      </c>
      <c r="V555" s="1566">
        <f t="shared" si="194"/>
        <v>0</v>
      </c>
      <c r="W555" s="1566">
        <f t="shared" si="194"/>
        <v>0</v>
      </c>
      <c r="X555" s="1566">
        <f t="shared" si="194"/>
        <v>0</v>
      </c>
      <c r="Y555" s="1566">
        <f t="shared" si="194"/>
        <v>0</v>
      </c>
      <c r="Z555" s="1566">
        <f t="shared" si="194"/>
        <v>0</v>
      </c>
      <c r="AA555" s="1566">
        <f t="shared" si="194"/>
        <v>0</v>
      </c>
      <c r="AB555" s="1566">
        <f t="shared" si="194"/>
        <v>0</v>
      </c>
      <c r="AC555" s="1566">
        <f t="shared" si="194"/>
        <v>0</v>
      </c>
      <c r="AD555" s="1566">
        <f t="shared" si="194"/>
        <v>0</v>
      </c>
      <c r="AE555" s="1566">
        <f t="shared" si="194"/>
        <v>0</v>
      </c>
      <c r="AF555" s="1566">
        <f t="shared" si="194"/>
        <v>0</v>
      </c>
      <c r="AG555" s="1566">
        <f t="shared" si="194"/>
        <v>0</v>
      </c>
      <c r="AH555" s="1566">
        <f t="shared" si="194"/>
        <v>0</v>
      </c>
      <c r="AI555" s="1566">
        <f t="shared" si="194"/>
        <v>0</v>
      </c>
      <c r="AJ555" s="1566">
        <f t="shared" si="194"/>
        <v>0</v>
      </c>
      <c r="AK555" s="1566">
        <f t="shared" si="194"/>
        <v>0</v>
      </c>
      <c r="AL555" s="1566">
        <f t="shared" si="194"/>
        <v>0</v>
      </c>
      <c r="AM555" s="1566">
        <f t="shared" si="194"/>
        <v>0</v>
      </c>
      <c r="AN555" s="1566">
        <f t="shared" si="194"/>
        <v>0</v>
      </c>
      <c r="AO555" s="1566">
        <f t="shared" si="194"/>
        <v>0</v>
      </c>
      <c r="AP555" s="1566">
        <f t="shared" si="194"/>
        <v>0</v>
      </c>
      <c r="AQ555" s="1566">
        <f t="shared" si="194"/>
        <v>0</v>
      </c>
      <c r="AR555" s="1566">
        <f t="shared" si="194"/>
        <v>0</v>
      </c>
      <c r="AS555" s="1566">
        <f t="shared" si="194"/>
        <v>0</v>
      </c>
      <c r="AT555" s="1566">
        <f t="shared" si="194"/>
        <v>0</v>
      </c>
      <c r="AU555" s="1566">
        <f t="shared" si="194"/>
        <v>0</v>
      </c>
      <c r="AV555" s="1566">
        <f t="shared" si="194"/>
        <v>0</v>
      </c>
      <c r="AW555" s="1566">
        <f t="shared" si="194"/>
        <v>0</v>
      </c>
      <c r="AX555" s="1566">
        <f t="shared" si="194"/>
        <v>0</v>
      </c>
      <c r="AY555" s="1566">
        <f t="shared" si="194"/>
        <v>0</v>
      </c>
      <c r="AZ555" s="1566">
        <f t="shared" si="194"/>
        <v>0</v>
      </c>
      <c r="BA555" s="1566">
        <f t="shared" si="194"/>
        <v>0</v>
      </c>
      <c r="BB555" s="1566">
        <f t="shared" si="194"/>
        <v>0</v>
      </c>
      <c r="BC555" s="1566">
        <f t="shared" si="194"/>
        <v>0</v>
      </c>
      <c r="BD555" s="1566">
        <f t="shared" si="194"/>
        <v>0</v>
      </c>
      <c r="BE555" s="1567">
        <f t="shared" si="194"/>
        <v>0</v>
      </c>
      <c r="BF555" s="695"/>
    </row>
    <row r="556" spans="1:58" x14ac:dyDescent="0.45">
      <c r="A556" s="695"/>
      <c r="B556" s="918"/>
      <c r="C556" s="919"/>
      <c r="D556" s="919"/>
      <c r="E556" s="919"/>
      <c r="F556" s="919"/>
      <c r="G556" s="1566"/>
      <c r="H556" s="1566"/>
      <c r="I556" s="1566"/>
      <c r="J556" s="1566"/>
      <c r="K556" s="1566"/>
      <c r="L556" s="1566"/>
      <c r="M556" s="1566"/>
      <c r="N556" s="1566"/>
      <c r="O556" s="1566"/>
      <c r="P556" s="1566"/>
      <c r="Q556" s="1566"/>
      <c r="R556" s="1566"/>
      <c r="S556" s="1566"/>
      <c r="T556" s="1566"/>
      <c r="U556" s="1566"/>
      <c r="V556" s="1566"/>
      <c r="W556" s="1566"/>
      <c r="X556" s="1566"/>
      <c r="Y556" s="1566"/>
      <c r="Z556" s="1566"/>
      <c r="AA556" s="1566"/>
      <c r="AB556" s="1566"/>
      <c r="AC556" s="1566"/>
      <c r="AD556" s="1566"/>
      <c r="AE556" s="1566"/>
      <c r="AF556" s="1566"/>
      <c r="AG556" s="1566"/>
      <c r="AH556" s="1566"/>
      <c r="AI556" s="1566"/>
      <c r="AJ556" s="1566"/>
      <c r="AK556" s="1566"/>
      <c r="AL556" s="1566"/>
      <c r="AM556" s="1566"/>
      <c r="AN556" s="1566"/>
      <c r="AO556" s="1566"/>
      <c r="AP556" s="1566"/>
      <c r="AQ556" s="1566"/>
      <c r="AR556" s="1566"/>
      <c r="AS556" s="1566"/>
      <c r="AT556" s="1566"/>
      <c r="AU556" s="1566"/>
      <c r="AV556" s="1566"/>
      <c r="AW556" s="1566"/>
      <c r="AX556" s="1566"/>
      <c r="AY556" s="1566"/>
      <c r="AZ556" s="1566"/>
      <c r="BA556" s="1566"/>
      <c r="BB556" s="1566"/>
      <c r="BC556" s="1566"/>
      <c r="BD556" s="1566"/>
      <c r="BE556" s="1567"/>
      <c r="BF556" s="695"/>
    </row>
    <row r="557" spans="1:58" x14ac:dyDescent="0.45">
      <c r="A557" s="695"/>
      <c r="B557" s="918"/>
      <c r="C557" s="1040" t="s">
        <v>58</v>
      </c>
      <c r="D557" s="919"/>
      <c r="E557" s="919"/>
      <c r="F557" s="919"/>
      <c r="G557" s="1566"/>
      <c r="H557" s="1566"/>
      <c r="I557" s="1566"/>
      <c r="J557" s="1566"/>
      <c r="K557" s="1566"/>
      <c r="L557" s="1566"/>
      <c r="M557" s="1566"/>
      <c r="N557" s="1566"/>
      <c r="O557" s="1566"/>
      <c r="P557" s="1566"/>
      <c r="Q557" s="1566"/>
      <c r="R557" s="1566"/>
      <c r="S557" s="1566"/>
      <c r="T557" s="1566"/>
      <c r="U557" s="1566"/>
      <c r="V557" s="1566"/>
      <c r="W557" s="1566"/>
      <c r="X557" s="1566"/>
      <c r="Y557" s="1566"/>
      <c r="Z557" s="1566"/>
      <c r="AA557" s="1566"/>
      <c r="AB557" s="1566"/>
      <c r="AC557" s="1566"/>
      <c r="AD557" s="1566"/>
      <c r="AE557" s="1566"/>
      <c r="AF557" s="1566"/>
      <c r="AG557" s="1566"/>
      <c r="AH557" s="1566"/>
      <c r="AI557" s="1566"/>
      <c r="AJ557" s="1566"/>
      <c r="AK557" s="1566"/>
      <c r="AL557" s="1566"/>
      <c r="AM557" s="1566"/>
      <c r="AN557" s="1566"/>
      <c r="AO557" s="1566"/>
      <c r="AP557" s="1566"/>
      <c r="AQ557" s="1566"/>
      <c r="AR557" s="1566"/>
      <c r="AS557" s="1566"/>
      <c r="AT557" s="1566"/>
      <c r="AU557" s="1566"/>
      <c r="AV557" s="1566"/>
      <c r="AW557" s="1566"/>
      <c r="AX557" s="1566"/>
      <c r="AY557" s="1566"/>
      <c r="AZ557" s="1566"/>
      <c r="BA557" s="1566"/>
      <c r="BB557" s="1566"/>
      <c r="BC557" s="1566"/>
      <c r="BD557" s="1566"/>
      <c r="BE557" s="1567"/>
      <c r="BF557" s="695"/>
    </row>
    <row r="558" spans="1:58" x14ac:dyDescent="0.45">
      <c r="A558" s="695"/>
      <c r="B558" s="918"/>
      <c r="C558" s="919" t="s">
        <v>68</v>
      </c>
      <c r="D558" s="919"/>
      <c r="E558" s="919"/>
      <c r="F558" s="919"/>
      <c r="G558" s="1566">
        <v>0</v>
      </c>
      <c r="H558" s="1566">
        <f t="shared" ref="H558:AM558" si="195">G561</f>
        <v>0</v>
      </c>
      <c r="I558" s="1566">
        <f t="shared" si="195"/>
        <v>0</v>
      </c>
      <c r="J558" s="1566">
        <f t="shared" si="195"/>
        <v>0</v>
      </c>
      <c r="K558" s="1566">
        <f t="shared" si="195"/>
        <v>0</v>
      </c>
      <c r="L558" s="1566">
        <f t="shared" si="195"/>
        <v>0</v>
      </c>
      <c r="M558" s="1566">
        <f t="shared" si="195"/>
        <v>0</v>
      </c>
      <c r="N558" s="1566">
        <f t="shared" si="195"/>
        <v>0</v>
      </c>
      <c r="O558" s="1566">
        <f t="shared" si="195"/>
        <v>0</v>
      </c>
      <c r="P558" s="1566">
        <f t="shared" si="195"/>
        <v>0</v>
      </c>
      <c r="Q558" s="1566">
        <f t="shared" si="195"/>
        <v>0</v>
      </c>
      <c r="R558" s="1566">
        <f t="shared" si="195"/>
        <v>0</v>
      </c>
      <c r="S558" s="1566">
        <f t="shared" si="195"/>
        <v>0</v>
      </c>
      <c r="T558" s="1566">
        <f t="shared" si="195"/>
        <v>0</v>
      </c>
      <c r="U558" s="1566">
        <f t="shared" si="195"/>
        <v>0</v>
      </c>
      <c r="V558" s="1566">
        <f t="shared" si="195"/>
        <v>0</v>
      </c>
      <c r="W558" s="1566">
        <f t="shared" si="195"/>
        <v>0</v>
      </c>
      <c r="X558" s="1566">
        <f t="shared" si="195"/>
        <v>0</v>
      </c>
      <c r="Y558" s="1566">
        <f t="shared" si="195"/>
        <v>0</v>
      </c>
      <c r="Z558" s="1566">
        <f t="shared" si="195"/>
        <v>0</v>
      </c>
      <c r="AA558" s="1566">
        <f t="shared" si="195"/>
        <v>0</v>
      </c>
      <c r="AB558" s="1566">
        <f t="shared" si="195"/>
        <v>0</v>
      </c>
      <c r="AC558" s="1566">
        <f t="shared" si="195"/>
        <v>0</v>
      </c>
      <c r="AD558" s="1566">
        <f t="shared" si="195"/>
        <v>0</v>
      </c>
      <c r="AE558" s="1566">
        <f t="shared" si="195"/>
        <v>0</v>
      </c>
      <c r="AF558" s="1566">
        <f t="shared" si="195"/>
        <v>0</v>
      </c>
      <c r="AG558" s="1566">
        <f t="shared" si="195"/>
        <v>0</v>
      </c>
      <c r="AH558" s="1566">
        <f t="shared" si="195"/>
        <v>0</v>
      </c>
      <c r="AI558" s="1566">
        <f t="shared" si="195"/>
        <v>0</v>
      </c>
      <c r="AJ558" s="1566">
        <f t="shared" si="195"/>
        <v>0</v>
      </c>
      <c r="AK558" s="1566">
        <f t="shared" si="195"/>
        <v>0</v>
      </c>
      <c r="AL558" s="1566">
        <f t="shared" si="195"/>
        <v>0</v>
      </c>
      <c r="AM558" s="1566">
        <f t="shared" si="195"/>
        <v>0</v>
      </c>
      <c r="AN558" s="1566">
        <f t="shared" ref="AN558:BE558" si="196">AM561</f>
        <v>0</v>
      </c>
      <c r="AO558" s="1566">
        <f t="shared" si="196"/>
        <v>0</v>
      </c>
      <c r="AP558" s="1566">
        <f t="shared" si="196"/>
        <v>0</v>
      </c>
      <c r="AQ558" s="1566">
        <f t="shared" si="196"/>
        <v>0</v>
      </c>
      <c r="AR558" s="1566">
        <f t="shared" si="196"/>
        <v>0</v>
      </c>
      <c r="AS558" s="1566">
        <f t="shared" si="196"/>
        <v>0</v>
      </c>
      <c r="AT558" s="1566">
        <f t="shared" si="196"/>
        <v>0</v>
      </c>
      <c r="AU558" s="1566">
        <f t="shared" si="196"/>
        <v>0</v>
      </c>
      <c r="AV558" s="1566">
        <f t="shared" si="196"/>
        <v>0</v>
      </c>
      <c r="AW558" s="1566">
        <f t="shared" si="196"/>
        <v>0</v>
      </c>
      <c r="AX558" s="1566">
        <f t="shared" si="196"/>
        <v>0</v>
      </c>
      <c r="AY558" s="1566">
        <f t="shared" si="196"/>
        <v>0</v>
      </c>
      <c r="AZ558" s="1566">
        <f t="shared" si="196"/>
        <v>0</v>
      </c>
      <c r="BA558" s="1566">
        <f t="shared" si="196"/>
        <v>0</v>
      </c>
      <c r="BB558" s="1566">
        <f t="shared" si="196"/>
        <v>0</v>
      </c>
      <c r="BC558" s="1566">
        <f t="shared" si="196"/>
        <v>0</v>
      </c>
      <c r="BD558" s="1566">
        <f t="shared" si="196"/>
        <v>0</v>
      </c>
      <c r="BE558" s="1567">
        <f t="shared" si="196"/>
        <v>0</v>
      </c>
      <c r="BF558" s="695"/>
    </row>
    <row r="559" spans="1:58" x14ac:dyDescent="0.45">
      <c r="A559" s="695"/>
      <c r="B559" s="918"/>
      <c r="C559" s="919" t="s">
        <v>69</v>
      </c>
      <c r="D559" s="919"/>
      <c r="E559" s="919"/>
      <c r="F559" s="919"/>
      <c r="G559" s="1566">
        <f>G546</f>
        <v>0</v>
      </c>
      <c r="H559" s="1566">
        <v>0</v>
      </c>
      <c r="I559" s="1566">
        <v>0</v>
      </c>
      <c r="J559" s="1566">
        <v>0</v>
      </c>
      <c r="K559" s="1566">
        <v>0</v>
      </c>
      <c r="L559" s="1566">
        <v>0</v>
      </c>
      <c r="M559" s="1566">
        <v>0</v>
      </c>
      <c r="N559" s="1566">
        <v>0</v>
      </c>
      <c r="O559" s="1566">
        <v>0</v>
      </c>
      <c r="P559" s="1566">
        <v>0</v>
      </c>
      <c r="Q559" s="1566">
        <v>0</v>
      </c>
      <c r="R559" s="1566">
        <v>0</v>
      </c>
      <c r="S559" s="1566">
        <v>0</v>
      </c>
      <c r="T559" s="1566">
        <v>0</v>
      </c>
      <c r="U559" s="1566">
        <v>0</v>
      </c>
      <c r="V559" s="1566">
        <v>0</v>
      </c>
      <c r="W559" s="1566">
        <v>0</v>
      </c>
      <c r="X559" s="1566">
        <v>0</v>
      </c>
      <c r="Y559" s="1566">
        <v>0</v>
      </c>
      <c r="Z559" s="1566">
        <v>0</v>
      </c>
      <c r="AA559" s="1566">
        <v>0</v>
      </c>
      <c r="AB559" s="1566">
        <v>0</v>
      </c>
      <c r="AC559" s="1566">
        <v>0</v>
      </c>
      <c r="AD559" s="1566">
        <v>0</v>
      </c>
      <c r="AE559" s="1566">
        <v>0</v>
      </c>
      <c r="AF559" s="1566">
        <v>0</v>
      </c>
      <c r="AG559" s="1566">
        <v>0</v>
      </c>
      <c r="AH559" s="1566">
        <v>0</v>
      </c>
      <c r="AI559" s="1566">
        <v>0</v>
      </c>
      <c r="AJ559" s="1566">
        <v>0</v>
      </c>
      <c r="AK559" s="1566">
        <v>0</v>
      </c>
      <c r="AL559" s="1566">
        <v>0</v>
      </c>
      <c r="AM559" s="1566">
        <v>0</v>
      </c>
      <c r="AN559" s="1566">
        <v>0</v>
      </c>
      <c r="AO559" s="1566">
        <v>0</v>
      </c>
      <c r="AP559" s="1566">
        <v>0</v>
      </c>
      <c r="AQ559" s="1566">
        <v>0</v>
      </c>
      <c r="AR559" s="1566">
        <v>0</v>
      </c>
      <c r="AS559" s="1566">
        <v>0</v>
      </c>
      <c r="AT559" s="1566">
        <v>0</v>
      </c>
      <c r="AU559" s="1566">
        <v>0</v>
      </c>
      <c r="AV559" s="1566">
        <v>0</v>
      </c>
      <c r="AW559" s="1566">
        <v>0</v>
      </c>
      <c r="AX559" s="1566">
        <v>0</v>
      </c>
      <c r="AY559" s="1566">
        <v>0</v>
      </c>
      <c r="AZ559" s="1566">
        <v>0</v>
      </c>
      <c r="BA559" s="1566">
        <v>0</v>
      </c>
      <c r="BB559" s="1566">
        <v>0</v>
      </c>
      <c r="BC559" s="1566">
        <v>0</v>
      </c>
      <c r="BD559" s="1566">
        <v>0</v>
      </c>
      <c r="BE559" s="1567">
        <v>0</v>
      </c>
      <c r="BF559" s="695"/>
    </row>
    <row r="560" spans="1:58" x14ac:dyDescent="0.45">
      <c r="A560" s="695"/>
      <c r="B560" s="918"/>
      <c r="C560" s="926" t="s">
        <v>70</v>
      </c>
      <c r="D560" s="926"/>
      <c r="E560" s="926"/>
      <c r="F560" s="926"/>
      <c r="G560" s="1568">
        <v>0</v>
      </c>
      <c r="H560" s="1568">
        <f>-H554</f>
        <v>0</v>
      </c>
      <c r="I560" s="1568">
        <f t="shared" ref="I560:BE560" si="197">-I554</f>
        <v>0</v>
      </c>
      <c r="J560" s="1568">
        <f t="shared" si="197"/>
        <v>0</v>
      </c>
      <c r="K560" s="1568">
        <f t="shared" si="197"/>
        <v>0</v>
      </c>
      <c r="L560" s="1568">
        <f t="shared" si="197"/>
        <v>0</v>
      </c>
      <c r="M560" s="1568">
        <f t="shared" si="197"/>
        <v>0</v>
      </c>
      <c r="N560" s="1568">
        <f t="shared" si="197"/>
        <v>0</v>
      </c>
      <c r="O560" s="1568">
        <f t="shared" si="197"/>
        <v>0</v>
      </c>
      <c r="P560" s="1568">
        <f t="shared" si="197"/>
        <v>0</v>
      </c>
      <c r="Q560" s="1568">
        <f t="shared" si="197"/>
        <v>0</v>
      </c>
      <c r="R560" s="1568">
        <f t="shared" si="197"/>
        <v>0</v>
      </c>
      <c r="S560" s="1568">
        <f t="shared" si="197"/>
        <v>0</v>
      </c>
      <c r="T560" s="1568">
        <f t="shared" si="197"/>
        <v>0</v>
      </c>
      <c r="U560" s="1568">
        <f t="shared" si="197"/>
        <v>0</v>
      </c>
      <c r="V560" s="1568">
        <f t="shared" si="197"/>
        <v>0</v>
      </c>
      <c r="W560" s="1568">
        <f t="shared" si="197"/>
        <v>0</v>
      </c>
      <c r="X560" s="1568">
        <f t="shared" si="197"/>
        <v>0</v>
      </c>
      <c r="Y560" s="1568">
        <f t="shared" si="197"/>
        <v>0</v>
      </c>
      <c r="Z560" s="1568">
        <f t="shared" si="197"/>
        <v>0</v>
      </c>
      <c r="AA560" s="1568">
        <f t="shared" si="197"/>
        <v>0</v>
      </c>
      <c r="AB560" s="1568">
        <f t="shared" si="197"/>
        <v>0</v>
      </c>
      <c r="AC560" s="1568">
        <f t="shared" si="197"/>
        <v>0</v>
      </c>
      <c r="AD560" s="1568">
        <f t="shared" si="197"/>
        <v>0</v>
      </c>
      <c r="AE560" s="1568">
        <f t="shared" si="197"/>
        <v>0</v>
      </c>
      <c r="AF560" s="1568">
        <f t="shared" si="197"/>
        <v>0</v>
      </c>
      <c r="AG560" s="1568">
        <f t="shared" si="197"/>
        <v>0</v>
      </c>
      <c r="AH560" s="1568">
        <f t="shared" si="197"/>
        <v>0</v>
      </c>
      <c r="AI560" s="1568">
        <f t="shared" si="197"/>
        <v>0</v>
      </c>
      <c r="AJ560" s="1568">
        <f t="shared" si="197"/>
        <v>0</v>
      </c>
      <c r="AK560" s="1568">
        <f t="shared" si="197"/>
        <v>0</v>
      </c>
      <c r="AL560" s="1568">
        <f t="shared" si="197"/>
        <v>0</v>
      </c>
      <c r="AM560" s="1568">
        <f t="shared" si="197"/>
        <v>0</v>
      </c>
      <c r="AN560" s="1568">
        <f t="shared" si="197"/>
        <v>0</v>
      </c>
      <c r="AO560" s="1568">
        <f t="shared" si="197"/>
        <v>0</v>
      </c>
      <c r="AP560" s="1568">
        <f t="shared" si="197"/>
        <v>0</v>
      </c>
      <c r="AQ560" s="1568">
        <f t="shared" si="197"/>
        <v>0</v>
      </c>
      <c r="AR560" s="1568">
        <f t="shared" si="197"/>
        <v>0</v>
      </c>
      <c r="AS560" s="1568">
        <f t="shared" si="197"/>
        <v>0</v>
      </c>
      <c r="AT560" s="1568">
        <f t="shared" si="197"/>
        <v>0</v>
      </c>
      <c r="AU560" s="1568">
        <f t="shared" si="197"/>
        <v>0</v>
      </c>
      <c r="AV560" s="1568">
        <f t="shared" si="197"/>
        <v>0</v>
      </c>
      <c r="AW560" s="1568">
        <f t="shared" si="197"/>
        <v>0</v>
      </c>
      <c r="AX560" s="1568">
        <f t="shared" si="197"/>
        <v>0</v>
      </c>
      <c r="AY560" s="1568">
        <f t="shared" si="197"/>
        <v>0</v>
      </c>
      <c r="AZ560" s="1568">
        <f t="shared" si="197"/>
        <v>0</v>
      </c>
      <c r="BA560" s="1568">
        <f t="shared" si="197"/>
        <v>0</v>
      </c>
      <c r="BB560" s="1568">
        <f t="shared" si="197"/>
        <v>0</v>
      </c>
      <c r="BC560" s="1568">
        <f t="shared" si="197"/>
        <v>0</v>
      </c>
      <c r="BD560" s="1568">
        <f t="shared" si="197"/>
        <v>0</v>
      </c>
      <c r="BE560" s="1569">
        <f t="shared" si="197"/>
        <v>0</v>
      </c>
      <c r="BF560" s="695"/>
    </row>
    <row r="561" spans="1:58" x14ac:dyDescent="0.45">
      <c r="A561" s="695"/>
      <c r="B561" s="918"/>
      <c r="C561" s="919" t="s">
        <v>59</v>
      </c>
      <c r="D561" s="919"/>
      <c r="E561" s="919"/>
      <c r="F561" s="919"/>
      <c r="G561" s="1566">
        <f>SUM(G558:G560)</f>
        <v>0</v>
      </c>
      <c r="H561" s="1566">
        <f>SUM(H558:H560)</f>
        <v>0</v>
      </c>
      <c r="I561" s="1566">
        <f t="shared" ref="I561:BE561" si="198">SUM(I558:I560)</f>
        <v>0</v>
      </c>
      <c r="J561" s="1566">
        <f t="shared" si="198"/>
        <v>0</v>
      </c>
      <c r="K561" s="1566">
        <f t="shared" si="198"/>
        <v>0</v>
      </c>
      <c r="L561" s="1566">
        <f t="shared" si="198"/>
        <v>0</v>
      </c>
      <c r="M561" s="1566">
        <f t="shared" si="198"/>
        <v>0</v>
      </c>
      <c r="N561" s="1566">
        <f t="shared" si="198"/>
        <v>0</v>
      </c>
      <c r="O561" s="1566">
        <f t="shared" si="198"/>
        <v>0</v>
      </c>
      <c r="P561" s="1566">
        <f t="shared" si="198"/>
        <v>0</v>
      </c>
      <c r="Q561" s="1566">
        <f t="shared" si="198"/>
        <v>0</v>
      </c>
      <c r="R561" s="1566">
        <f t="shared" si="198"/>
        <v>0</v>
      </c>
      <c r="S561" s="1566">
        <f t="shared" si="198"/>
        <v>0</v>
      </c>
      <c r="T561" s="1566">
        <f t="shared" si="198"/>
        <v>0</v>
      </c>
      <c r="U561" s="1566">
        <f t="shared" si="198"/>
        <v>0</v>
      </c>
      <c r="V561" s="1566">
        <f t="shared" si="198"/>
        <v>0</v>
      </c>
      <c r="W561" s="1566">
        <f t="shared" si="198"/>
        <v>0</v>
      </c>
      <c r="X561" s="1566">
        <f t="shared" si="198"/>
        <v>0</v>
      </c>
      <c r="Y561" s="1566">
        <f t="shared" si="198"/>
        <v>0</v>
      </c>
      <c r="Z561" s="1566">
        <f t="shared" si="198"/>
        <v>0</v>
      </c>
      <c r="AA561" s="1566">
        <f t="shared" si="198"/>
        <v>0</v>
      </c>
      <c r="AB561" s="1566">
        <f t="shared" si="198"/>
        <v>0</v>
      </c>
      <c r="AC561" s="1566">
        <f t="shared" si="198"/>
        <v>0</v>
      </c>
      <c r="AD561" s="1566">
        <f t="shared" si="198"/>
        <v>0</v>
      </c>
      <c r="AE561" s="1566">
        <f t="shared" si="198"/>
        <v>0</v>
      </c>
      <c r="AF561" s="1566">
        <f t="shared" si="198"/>
        <v>0</v>
      </c>
      <c r="AG561" s="1566">
        <f t="shared" si="198"/>
        <v>0</v>
      </c>
      <c r="AH561" s="1566">
        <f t="shared" si="198"/>
        <v>0</v>
      </c>
      <c r="AI561" s="1566">
        <f t="shared" si="198"/>
        <v>0</v>
      </c>
      <c r="AJ561" s="1566">
        <f t="shared" si="198"/>
        <v>0</v>
      </c>
      <c r="AK561" s="1566">
        <f t="shared" si="198"/>
        <v>0</v>
      </c>
      <c r="AL561" s="1566">
        <f t="shared" si="198"/>
        <v>0</v>
      </c>
      <c r="AM561" s="1566">
        <f t="shared" si="198"/>
        <v>0</v>
      </c>
      <c r="AN561" s="1566">
        <f t="shared" si="198"/>
        <v>0</v>
      </c>
      <c r="AO561" s="1566">
        <f t="shared" si="198"/>
        <v>0</v>
      </c>
      <c r="AP561" s="1566">
        <f t="shared" si="198"/>
        <v>0</v>
      </c>
      <c r="AQ561" s="1566">
        <f t="shared" si="198"/>
        <v>0</v>
      </c>
      <c r="AR561" s="1566">
        <f t="shared" si="198"/>
        <v>0</v>
      </c>
      <c r="AS561" s="1566">
        <f t="shared" si="198"/>
        <v>0</v>
      </c>
      <c r="AT561" s="1566">
        <f t="shared" si="198"/>
        <v>0</v>
      </c>
      <c r="AU561" s="1566">
        <f t="shared" si="198"/>
        <v>0</v>
      </c>
      <c r="AV561" s="1566">
        <f t="shared" si="198"/>
        <v>0</v>
      </c>
      <c r="AW561" s="1566">
        <f t="shared" si="198"/>
        <v>0</v>
      </c>
      <c r="AX561" s="1566">
        <f t="shared" si="198"/>
        <v>0</v>
      </c>
      <c r="AY561" s="1566">
        <f t="shared" si="198"/>
        <v>0</v>
      </c>
      <c r="AZ561" s="1566">
        <f t="shared" si="198"/>
        <v>0</v>
      </c>
      <c r="BA561" s="1566">
        <f t="shared" si="198"/>
        <v>0</v>
      </c>
      <c r="BB561" s="1566">
        <f t="shared" si="198"/>
        <v>0</v>
      </c>
      <c r="BC561" s="1566">
        <f t="shared" si="198"/>
        <v>0</v>
      </c>
      <c r="BD561" s="1566">
        <f t="shared" si="198"/>
        <v>0</v>
      </c>
      <c r="BE561" s="1567">
        <f t="shared" si="198"/>
        <v>0</v>
      </c>
      <c r="BF561" s="695"/>
    </row>
    <row r="562" spans="1:58" x14ac:dyDescent="0.45">
      <c r="A562" s="695"/>
      <c r="B562" s="918"/>
      <c r="C562" s="919"/>
      <c r="D562" s="919"/>
      <c r="E562" s="919"/>
      <c r="F562" s="919"/>
      <c r="G562" s="1566"/>
      <c r="H562" s="1566"/>
      <c r="I562" s="1566"/>
      <c r="J562" s="1566"/>
      <c r="K562" s="1566"/>
      <c r="L562" s="1566"/>
      <c r="M562" s="1566"/>
      <c r="N562" s="1566"/>
      <c r="O562" s="1566"/>
      <c r="P562" s="1566"/>
      <c r="Q562" s="1566"/>
      <c r="R562" s="1566"/>
      <c r="S562" s="1566"/>
      <c r="T562" s="1566"/>
      <c r="U562" s="1566"/>
      <c r="V562" s="1566"/>
      <c r="W562" s="1566"/>
      <c r="X562" s="1566"/>
      <c r="Y562" s="1566"/>
      <c r="Z562" s="1566"/>
      <c r="AA562" s="1566"/>
      <c r="AB562" s="1566"/>
      <c r="AC562" s="1566"/>
      <c r="AD562" s="1566"/>
      <c r="AE562" s="1566"/>
      <c r="AF562" s="1566"/>
      <c r="AG562" s="1566"/>
      <c r="AH562" s="1566"/>
      <c r="AI562" s="1566"/>
      <c r="AJ562" s="1566"/>
      <c r="AK562" s="1566"/>
      <c r="AL562" s="1566"/>
      <c r="AM562" s="1566"/>
      <c r="AN562" s="1566"/>
      <c r="AO562" s="1566"/>
      <c r="AP562" s="1566"/>
      <c r="AQ562" s="1566"/>
      <c r="AR562" s="1566"/>
      <c r="AS562" s="1566"/>
      <c r="AT562" s="1566"/>
      <c r="AU562" s="1566"/>
      <c r="AV562" s="1566"/>
      <c r="AW562" s="1566"/>
      <c r="AX562" s="1566"/>
      <c r="AY562" s="1566"/>
      <c r="AZ562" s="1566"/>
      <c r="BA562" s="1566"/>
      <c r="BB562" s="1566"/>
      <c r="BC562" s="1566"/>
      <c r="BD562" s="1566"/>
      <c r="BE562" s="1567"/>
      <c r="BF562" s="695"/>
    </row>
    <row r="563" spans="1:58" x14ac:dyDescent="0.45">
      <c r="A563" s="695"/>
      <c r="B563" s="918"/>
      <c r="C563" s="1040" t="s">
        <v>64</v>
      </c>
      <c r="D563" s="919"/>
      <c r="E563" s="919"/>
      <c r="F563" s="919"/>
      <c r="G563" s="1566"/>
      <c r="H563" s="1566"/>
      <c r="I563" s="1566"/>
      <c r="J563" s="1566"/>
      <c r="K563" s="1566"/>
      <c r="L563" s="1566"/>
      <c r="M563" s="1566"/>
      <c r="N563" s="1566"/>
      <c r="O563" s="1566"/>
      <c r="P563" s="1566"/>
      <c r="Q563" s="1566"/>
      <c r="R563" s="1566"/>
      <c r="S563" s="1566"/>
      <c r="T563" s="1566"/>
      <c r="U563" s="1566"/>
      <c r="V563" s="1566"/>
      <c r="W563" s="1566"/>
      <c r="X563" s="1566"/>
      <c r="Y563" s="1566"/>
      <c r="Z563" s="1566"/>
      <c r="AA563" s="1566"/>
      <c r="AB563" s="1566"/>
      <c r="AC563" s="1566"/>
      <c r="AD563" s="1566"/>
      <c r="AE563" s="1566"/>
      <c r="AF563" s="1566"/>
      <c r="AG563" s="1566"/>
      <c r="AH563" s="1566"/>
      <c r="AI563" s="1566"/>
      <c r="AJ563" s="1566"/>
      <c r="AK563" s="1566"/>
      <c r="AL563" s="1566"/>
      <c r="AM563" s="1566"/>
      <c r="AN563" s="1566"/>
      <c r="AO563" s="1566"/>
      <c r="AP563" s="1566"/>
      <c r="AQ563" s="1566"/>
      <c r="AR563" s="1566"/>
      <c r="AS563" s="1566"/>
      <c r="AT563" s="1566"/>
      <c r="AU563" s="1566"/>
      <c r="AV563" s="1566"/>
      <c r="AW563" s="1566"/>
      <c r="AX563" s="1566"/>
      <c r="AY563" s="1566"/>
      <c r="AZ563" s="1566"/>
      <c r="BA563" s="1566"/>
      <c r="BB563" s="1566"/>
      <c r="BC563" s="1566"/>
      <c r="BD563" s="1566"/>
      <c r="BE563" s="1567"/>
      <c r="BF563" s="695"/>
    </row>
    <row r="564" spans="1:58" x14ac:dyDescent="0.45">
      <c r="A564" s="695"/>
      <c r="B564" s="918"/>
      <c r="C564" s="919" t="s">
        <v>202</v>
      </c>
      <c r="D564" s="919"/>
      <c r="E564" s="919"/>
      <c r="F564" s="919"/>
      <c r="G564" s="1566"/>
      <c r="H564" s="1566">
        <f>IF($G546&gt;0, $G546*'II. Inputs, Baseline Energy Mix'!$Q$82/10000,0)</f>
        <v>0</v>
      </c>
      <c r="I564" s="1566">
        <v>0</v>
      </c>
      <c r="J564" s="1566">
        <v>0</v>
      </c>
      <c r="K564" s="1566">
        <v>0</v>
      </c>
      <c r="L564" s="1566">
        <v>0</v>
      </c>
      <c r="M564" s="1566">
        <v>0</v>
      </c>
      <c r="N564" s="1566">
        <v>0</v>
      </c>
      <c r="O564" s="1566">
        <v>0</v>
      </c>
      <c r="P564" s="1566">
        <v>0</v>
      </c>
      <c r="Q564" s="1566">
        <v>0</v>
      </c>
      <c r="R564" s="1566">
        <v>0</v>
      </c>
      <c r="S564" s="1566">
        <v>0</v>
      </c>
      <c r="T564" s="1566">
        <v>0</v>
      </c>
      <c r="U564" s="1566">
        <v>0</v>
      </c>
      <c r="V564" s="1566">
        <v>0</v>
      </c>
      <c r="W564" s="1566">
        <v>0</v>
      </c>
      <c r="X564" s="1566">
        <v>0</v>
      </c>
      <c r="Y564" s="1566">
        <v>0</v>
      </c>
      <c r="Z564" s="1566">
        <v>0</v>
      </c>
      <c r="AA564" s="1566">
        <v>0</v>
      </c>
      <c r="AB564" s="1566">
        <v>0</v>
      </c>
      <c r="AC564" s="1566">
        <v>0</v>
      </c>
      <c r="AD564" s="1566">
        <v>0</v>
      </c>
      <c r="AE564" s="1566">
        <v>0</v>
      </c>
      <c r="AF564" s="1566">
        <v>0</v>
      </c>
      <c r="AG564" s="1566">
        <v>0</v>
      </c>
      <c r="AH564" s="1566">
        <v>0</v>
      </c>
      <c r="AI564" s="1566">
        <v>0</v>
      </c>
      <c r="AJ564" s="1566">
        <v>0</v>
      </c>
      <c r="AK564" s="1566">
        <v>0</v>
      </c>
      <c r="AL564" s="1566">
        <v>0</v>
      </c>
      <c r="AM564" s="1566">
        <v>0</v>
      </c>
      <c r="AN564" s="1566">
        <v>0</v>
      </c>
      <c r="AO564" s="1566">
        <v>0</v>
      </c>
      <c r="AP564" s="1566">
        <v>0</v>
      </c>
      <c r="AQ564" s="1566">
        <v>0</v>
      </c>
      <c r="AR564" s="1566">
        <v>0</v>
      </c>
      <c r="AS564" s="1566">
        <v>0</v>
      </c>
      <c r="AT564" s="1566">
        <v>0</v>
      </c>
      <c r="AU564" s="1566">
        <v>0</v>
      </c>
      <c r="AV564" s="1566">
        <v>0</v>
      </c>
      <c r="AW564" s="1566">
        <v>0</v>
      </c>
      <c r="AX564" s="1566">
        <v>0</v>
      </c>
      <c r="AY564" s="1566">
        <v>0</v>
      </c>
      <c r="AZ564" s="1566">
        <v>0</v>
      </c>
      <c r="BA564" s="1566">
        <v>0</v>
      </c>
      <c r="BB564" s="1566">
        <v>0</v>
      </c>
      <c r="BC564" s="1566">
        <v>0</v>
      </c>
      <c r="BD564" s="1566">
        <v>0</v>
      </c>
      <c r="BE564" s="1567">
        <v>0</v>
      </c>
      <c r="BF564" s="695"/>
    </row>
    <row r="565" spans="1:58" x14ac:dyDescent="0.45">
      <c r="A565" s="695"/>
      <c r="B565" s="918"/>
      <c r="C565" s="919" t="str">
        <f>'II. Inputs, Baseline Energy Mix'!$E$85</f>
        <v>Front-end Fee, Public Guarantee</v>
      </c>
      <c r="D565" s="919"/>
      <c r="E565" s="919"/>
      <c r="F565" s="919"/>
      <c r="G565" s="1566"/>
      <c r="H565" s="1566">
        <f>IF($G546&gt;0, $G546*$G549*'II. Inputs, Baseline Energy Mix'!$Q$85/10000,0)</f>
        <v>0</v>
      </c>
      <c r="I565" s="1566">
        <v>0</v>
      </c>
      <c r="J565" s="1566">
        <v>0</v>
      </c>
      <c r="K565" s="1566">
        <v>0</v>
      </c>
      <c r="L565" s="1566">
        <v>0</v>
      </c>
      <c r="M565" s="1566">
        <v>0</v>
      </c>
      <c r="N565" s="1566">
        <v>0</v>
      </c>
      <c r="O565" s="1566">
        <v>0</v>
      </c>
      <c r="P565" s="1566">
        <v>0</v>
      </c>
      <c r="Q565" s="1566">
        <v>0</v>
      </c>
      <c r="R565" s="1566">
        <v>0</v>
      </c>
      <c r="S565" s="1566">
        <v>0</v>
      </c>
      <c r="T565" s="1566">
        <v>0</v>
      </c>
      <c r="U565" s="1566">
        <v>0</v>
      </c>
      <c r="V565" s="1566">
        <v>0</v>
      </c>
      <c r="W565" s="1566">
        <v>0</v>
      </c>
      <c r="X565" s="1566">
        <v>0</v>
      </c>
      <c r="Y565" s="1566">
        <v>0</v>
      </c>
      <c r="Z565" s="1566">
        <v>0</v>
      </c>
      <c r="AA565" s="1566">
        <v>0</v>
      </c>
      <c r="AB565" s="1566">
        <v>0</v>
      </c>
      <c r="AC565" s="1566">
        <v>0</v>
      </c>
      <c r="AD565" s="1566">
        <v>0</v>
      </c>
      <c r="AE565" s="1566">
        <v>0</v>
      </c>
      <c r="AF565" s="1566">
        <v>0</v>
      </c>
      <c r="AG565" s="1566">
        <v>0</v>
      </c>
      <c r="AH565" s="1566">
        <v>0</v>
      </c>
      <c r="AI565" s="1566">
        <v>0</v>
      </c>
      <c r="AJ565" s="1566">
        <v>0</v>
      </c>
      <c r="AK565" s="1566">
        <v>0</v>
      </c>
      <c r="AL565" s="1566">
        <v>0</v>
      </c>
      <c r="AM565" s="1566">
        <v>0</v>
      </c>
      <c r="AN565" s="1566">
        <v>0</v>
      </c>
      <c r="AO565" s="1566">
        <v>0</v>
      </c>
      <c r="AP565" s="1566">
        <v>0</v>
      </c>
      <c r="AQ565" s="1566">
        <v>0</v>
      </c>
      <c r="AR565" s="1566">
        <v>0</v>
      </c>
      <c r="AS565" s="1566">
        <v>0</v>
      </c>
      <c r="AT565" s="1566">
        <v>0</v>
      </c>
      <c r="AU565" s="1566">
        <v>0</v>
      </c>
      <c r="AV565" s="1566">
        <v>0</v>
      </c>
      <c r="AW565" s="1566">
        <v>0</v>
      </c>
      <c r="AX565" s="1566">
        <v>0</v>
      </c>
      <c r="AY565" s="1566">
        <v>0</v>
      </c>
      <c r="AZ565" s="1566">
        <v>0</v>
      </c>
      <c r="BA565" s="1566">
        <v>0</v>
      </c>
      <c r="BB565" s="1566">
        <v>0</v>
      </c>
      <c r="BC565" s="1566">
        <v>0</v>
      </c>
      <c r="BD565" s="1566">
        <v>0</v>
      </c>
      <c r="BE565" s="1567">
        <v>0</v>
      </c>
      <c r="BF565" s="695"/>
    </row>
    <row r="566" spans="1:58" x14ac:dyDescent="0.45">
      <c r="A566" s="695"/>
      <c r="B566" s="918"/>
      <c r="C566" s="919" t="str">
        <f>'II. Inputs, Baseline Energy Mix'!$E$86</f>
        <v xml:space="preserve">Annual Public Guarantee Fee </v>
      </c>
      <c r="D566" s="919"/>
      <c r="E566" s="919"/>
      <c r="F566" s="919"/>
      <c r="G566" s="1566"/>
      <c r="H566" s="1566">
        <f>IF(H$292&gt;$G550,0,((H558+H561)/2)*$G549*'II. Inputs, Baseline Energy Mix'!$Q$86/10000)</f>
        <v>0</v>
      </c>
      <c r="I566" s="1566">
        <f>IF(I$292&gt;$G550,0,((I558+I561)/2)*$G549*'II. Inputs, Baseline Energy Mix'!$Q$86/10000)</f>
        <v>0</v>
      </c>
      <c r="J566" s="1566">
        <f>IF(J$292&gt;$G550,0,((J558+J561)/2)*$G549*'II. Inputs, Baseline Energy Mix'!$Q$86/10000)</f>
        <v>0</v>
      </c>
      <c r="K566" s="1566">
        <f>IF(K$292&gt;$G550,0,((K558+K561)/2)*$G549*'II. Inputs, Baseline Energy Mix'!$Q$86/10000)</f>
        <v>0</v>
      </c>
      <c r="L566" s="1566">
        <f>IF(L$292&gt;$G550,0,((L558+L561)/2)*$G549*'II. Inputs, Baseline Energy Mix'!$Q$86/10000)</f>
        <v>0</v>
      </c>
      <c r="M566" s="1566">
        <f>IF(M$292&gt;$G550,0,((M558+M561)/2)*$G549*'II. Inputs, Baseline Energy Mix'!$Q$86/10000)</f>
        <v>0</v>
      </c>
      <c r="N566" s="1566">
        <f>IF(N$292&gt;$G550,0,((N558+N561)/2)*$G549*'II. Inputs, Baseline Energy Mix'!$Q$86/10000)</f>
        <v>0</v>
      </c>
      <c r="O566" s="1566">
        <f>IF(O$292&gt;$G550,0,((O558+O561)/2)*$G549*'II. Inputs, Baseline Energy Mix'!$Q$86/10000)</f>
        <v>0</v>
      </c>
      <c r="P566" s="1566">
        <f>IF(P$292&gt;$G550,0,((P558+P561)/2)*$G549*'II. Inputs, Baseline Energy Mix'!$Q$86/10000)</f>
        <v>0</v>
      </c>
      <c r="Q566" s="1566">
        <f>IF(Q$292&gt;$G550,0,((Q558+Q561)/2)*$G549*'II. Inputs, Baseline Energy Mix'!$Q$86/10000)</f>
        <v>0</v>
      </c>
      <c r="R566" s="1566">
        <f>IF(R$292&gt;$G550,0,((R558+R561)/2)*$G549*'II. Inputs, Baseline Energy Mix'!$Q$86/10000)</f>
        <v>0</v>
      </c>
      <c r="S566" s="1566">
        <f>IF(S$292&gt;$G550,0,((S558+S561)/2)*$G549*'II. Inputs, Baseline Energy Mix'!$Q$86/10000)</f>
        <v>0</v>
      </c>
      <c r="T566" s="1566">
        <f>IF(T$292&gt;$G550,0,((T558+T561)/2)*$G549*'II. Inputs, Baseline Energy Mix'!$Q$86/10000)</f>
        <v>0</v>
      </c>
      <c r="U566" s="1566">
        <f>IF(U$292&gt;$G550,0,((U558+U561)/2)*$G549*'II. Inputs, Baseline Energy Mix'!$Q$86/10000)</f>
        <v>0</v>
      </c>
      <c r="V566" s="1566">
        <f>IF(V$292&gt;$G550,0,((V558+V561)/2)*$G549*'II. Inputs, Baseline Energy Mix'!$Q$86/10000)</f>
        <v>0</v>
      </c>
      <c r="W566" s="1566">
        <f>IF(W$292&gt;$G550,0,((W558+W561)/2)*$G549*'II. Inputs, Baseline Energy Mix'!$Q$86/10000)</f>
        <v>0</v>
      </c>
      <c r="X566" s="1566">
        <f>IF(X$292&gt;$G550,0,((X558+X561)/2)*$G549*'II. Inputs, Baseline Energy Mix'!$Q$86/10000)</f>
        <v>0</v>
      </c>
      <c r="Y566" s="1566">
        <f>IF(Y$292&gt;$G550,0,((Y558+Y561)/2)*$G549*'II. Inputs, Baseline Energy Mix'!$Q$86/10000)</f>
        <v>0</v>
      </c>
      <c r="Z566" s="1566">
        <f>IF(Z$292&gt;$G550,0,((Z558+Z561)/2)*$G549*'II. Inputs, Baseline Energy Mix'!$Q$86/10000)</f>
        <v>0</v>
      </c>
      <c r="AA566" s="1566">
        <f>IF(AA$292&gt;$G550,0,((AA558+AA561)/2)*$G549*'II. Inputs, Baseline Energy Mix'!$Q$86/10000)</f>
        <v>0</v>
      </c>
      <c r="AB566" s="1566">
        <f>IF(AB$292&gt;$G550,0,((AB558+AB561)/2)*$G549*'II. Inputs, Baseline Energy Mix'!$Q$86/10000)</f>
        <v>0</v>
      </c>
      <c r="AC566" s="1566">
        <f>IF(AC$292&gt;$G550,0,((AC558+AC561)/2)*$G549*'II. Inputs, Baseline Energy Mix'!$Q$86/10000)</f>
        <v>0</v>
      </c>
      <c r="AD566" s="1566">
        <f>IF(AD$292&gt;$G550,0,((AD558+AD561)/2)*$G549*'II. Inputs, Baseline Energy Mix'!$Q$86/10000)</f>
        <v>0</v>
      </c>
      <c r="AE566" s="1566">
        <f>IF(AE$292&gt;$G550,0,((AE558+AE561)/2)*$G549*'II. Inputs, Baseline Energy Mix'!$Q$86/10000)</f>
        <v>0</v>
      </c>
      <c r="AF566" s="1566">
        <f>IF(AF$292&gt;$G550,0,((AF558+AF561)/2)*$G549*'II. Inputs, Baseline Energy Mix'!$Q$86/10000)</f>
        <v>0</v>
      </c>
      <c r="AG566" s="1566">
        <f>IF(AG$292&gt;$G550,0,((AG558+AG561)/2)*$G549*'II. Inputs, Baseline Energy Mix'!$Q$86/10000)</f>
        <v>0</v>
      </c>
      <c r="AH566" s="1566">
        <f>IF(AH$292&gt;$G550,0,((AH558+AH561)/2)*$G549*'II. Inputs, Baseline Energy Mix'!$Q$86/10000)</f>
        <v>0</v>
      </c>
      <c r="AI566" s="1566">
        <f>IF(AI$292&gt;$G550,0,((AI558+AI561)/2)*$G549*'II. Inputs, Baseline Energy Mix'!$Q$86/10000)</f>
        <v>0</v>
      </c>
      <c r="AJ566" s="1566">
        <f>IF(AJ$292&gt;$G550,0,((AJ558+AJ561)/2)*$G549*'II. Inputs, Baseline Energy Mix'!$Q$86/10000)</f>
        <v>0</v>
      </c>
      <c r="AK566" s="1566">
        <f>IF(AK$292&gt;$G550,0,((AK558+AK561)/2)*$G549*'II. Inputs, Baseline Energy Mix'!$Q$86/10000)</f>
        <v>0</v>
      </c>
      <c r="AL566" s="1566">
        <f>IF(AL$292&gt;$G550,0,((AL558+AL561)/2)*$G549*'II. Inputs, Baseline Energy Mix'!$Q$86/10000)</f>
        <v>0</v>
      </c>
      <c r="AM566" s="1566">
        <f>IF(AM$292&gt;$G550,0,((AM558+AM561)/2)*$G549*'II. Inputs, Baseline Energy Mix'!$Q$86/10000)</f>
        <v>0</v>
      </c>
      <c r="AN566" s="1566">
        <f>IF(AN$292&gt;$G550,0,((AN558+AN561)/2)*$G549*'II. Inputs, Baseline Energy Mix'!$Q$86/10000)</f>
        <v>0</v>
      </c>
      <c r="AO566" s="1566">
        <f>IF(AO$292&gt;$G550,0,((AO558+AO561)/2)*$G549*'II. Inputs, Baseline Energy Mix'!$Q$86/10000)</f>
        <v>0</v>
      </c>
      <c r="AP566" s="1566">
        <f>IF(AP$292&gt;$G550,0,((AP558+AP561)/2)*$G549*'II. Inputs, Baseline Energy Mix'!$Q$86/10000)</f>
        <v>0</v>
      </c>
      <c r="AQ566" s="1566">
        <f>IF(AQ$292&gt;$G550,0,((AQ558+AQ561)/2)*$G549*'II. Inputs, Baseline Energy Mix'!$Q$86/10000)</f>
        <v>0</v>
      </c>
      <c r="AR566" s="1566">
        <f>IF(AR$292&gt;$G550,0,((AR558+AR561)/2)*$G549*'II. Inputs, Baseline Energy Mix'!$Q$86/10000)</f>
        <v>0</v>
      </c>
      <c r="AS566" s="1566">
        <f>IF(AS$292&gt;$G550,0,((AS558+AS561)/2)*$G549*'II. Inputs, Baseline Energy Mix'!$Q$86/10000)</f>
        <v>0</v>
      </c>
      <c r="AT566" s="1566">
        <f>IF(AT$292&gt;$G550,0,((AT558+AT561)/2)*$G549*'II. Inputs, Baseline Energy Mix'!$Q$86/10000)</f>
        <v>0</v>
      </c>
      <c r="AU566" s="1566">
        <f>IF(AU$292&gt;$G550,0,((AU558+AU561)/2)*$G549*'II. Inputs, Baseline Energy Mix'!$Q$86/10000)</f>
        <v>0</v>
      </c>
      <c r="AV566" s="1566">
        <f>IF(AV$292&gt;$G550,0,((AV558+AV561)/2)*$G549*'II. Inputs, Baseline Energy Mix'!$Q$86/10000)</f>
        <v>0</v>
      </c>
      <c r="AW566" s="1566">
        <f>IF(AW$292&gt;$G550,0,((AW558+AW561)/2)*$G549*'II. Inputs, Baseline Energy Mix'!$Q$86/10000)</f>
        <v>0</v>
      </c>
      <c r="AX566" s="1566">
        <f>IF(AX$292&gt;$G550,0,((AX558+AX561)/2)*$G549*'II. Inputs, Baseline Energy Mix'!$Q$86/10000)</f>
        <v>0</v>
      </c>
      <c r="AY566" s="1566">
        <f>IF(AY$292&gt;$G550,0,((AY558+AY561)/2)*$G549*'II. Inputs, Baseline Energy Mix'!$Q$86/10000)</f>
        <v>0</v>
      </c>
      <c r="AZ566" s="1566">
        <f>IF(AZ$292&gt;$G550,0,((AZ558+AZ561)/2)*$G549*'II. Inputs, Baseline Energy Mix'!$Q$86/10000)</f>
        <v>0</v>
      </c>
      <c r="BA566" s="1566">
        <f>IF(BA$292&gt;$G550,0,((BA558+BA561)/2)*$G549*'II. Inputs, Baseline Energy Mix'!$Q$86/10000)</f>
        <v>0</v>
      </c>
      <c r="BB566" s="1566">
        <f>IF(BB$292&gt;$G550,0,((BB558+BB561)/2)*$G549*'II. Inputs, Baseline Energy Mix'!$Q$86/10000)</f>
        <v>0</v>
      </c>
      <c r="BC566" s="1566">
        <f>IF(BC$292&gt;$G550,0,((BC558+BC561)/2)*$G549*'II. Inputs, Baseline Energy Mix'!$Q$86/10000)</f>
        <v>0</v>
      </c>
      <c r="BD566" s="1566">
        <f>IF(BD$292&gt;$G550,0,((BD558+BD561)/2)*$G549*'II. Inputs, Baseline Energy Mix'!$Q$86/10000)</f>
        <v>0</v>
      </c>
      <c r="BE566" s="1567">
        <f>IF(BE$292&gt;$G550,0,((BE558+BE561)/2)*$G549*'II. Inputs, Baseline Energy Mix'!$Q$86/10000)</f>
        <v>0</v>
      </c>
      <c r="BF566" s="695"/>
    </row>
    <row r="567" spans="1:58" x14ac:dyDescent="0.45">
      <c r="A567" s="695"/>
      <c r="B567" s="918"/>
      <c r="C567" s="919"/>
      <c r="D567" s="919"/>
      <c r="E567" s="919"/>
      <c r="F567" s="919"/>
      <c r="G567" s="919"/>
      <c r="H567" s="919"/>
      <c r="I567" s="919"/>
      <c r="J567" s="919"/>
      <c r="K567" s="919"/>
      <c r="L567" s="919"/>
      <c r="M567" s="919"/>
      <c r="N567" s="919"/>
      <c r="O567" s="919"/>
      <c r="P567" s="919"/>
      <c r="Q567" s="919"/>
      <c r="R567" s="919"/>
      <c r="S567" s="919"/>
      <c r="T567" s="919"/>
      <c r="U567" s="919"/>
      <c r="V567" s="919"/>
      <c r="W567" s="919"/>
      <c r="X567" s="919"/>
      <c r="Y567" s="919"/>
      <c r="Z567" s="919"/>
      <c r="AA567" s="919"/>
      <c r="AB567" s="919"/>
      <c r="AC567" s="919"/>
      <c r="AD567" s="919"/>
      <c r="AE567" s="919"/>
      <c r="AF567" s="919"/>
      <c r="AG567" s="919"/>
      <c r="AH567" s="919"/>
      <c r="AI567" s="919"/>
      <c r="AJ567" s="919"/>
      <c r="AK567" s="919"/>
      <c r="AL567" s="919"/>
      <c r="AM567" s="919"/>
      <c r="AN567" s="919"/>
      <c r="AO567" s="919"/>
      <c r="AP567" s="919"/>
      <c r="AQ567" s="919"/>
      <c r="AR567" s="919"/>
      <c r="AS567" s="919"/>
      <c r="AT567" s="919"/>
      <c r="AU567" s="919"/>
      <c r="AV567" s="919"/>
      <c r="AW567" s="919"/>
      <c r="AX567" s="919"/>
      <c r="AY567" s="919"/>
      <c r="AZ567" s="919"/>
      <c r="BA567" s="919"/>
      <c r="BB567" s="919"/>
      <c r="BC567" s="919"/>
      <c r="BD567" s="919"/>
      <c r="BE567" s="920"/>
      <c r="BF567" s="695"/>
    </row>
    <row r="568" spans="1:58" ht="13.15" x14ac:dyDescent="0.45">
      <c r="A568" s="695"/>
      <c r="B568" s="931" t="s">
        <v>152</v>
      </c>
      <c r="C568" s="919"/>
      <c r="D568" s="919"/>
      <c r="E568" s="919"/>
      <c r="F568" s="919"/>
      <c r="G568" s="919"/>
      <c r="H568" s="919"/>
      <c r="I568" s="919"/>
      <c r="J568" s="919"/>
      <c r="K568" s="919"/>
      <c r="L568" s="919"/>
      <c r="M568" s="919"/>
      <c r="N568" s="919"/>
      <c r="O568" s="919"/>
      <c r="P568" s="919"/>
      <c r="Q568" s="919"/>
      <c r="R568" s="919"/>
      <c r="S568" s="919"/>
      <c r="T568" s="919"/>
      <c r="U568" s="919"/>
      <c r="V568" s="919"/>
      <c r="W568" s="919"/>
      <c r="X568" s="919"/>
      <c r="Y568" s="919"/>
      <c r="Z568" s="919"/>
      <c r="AA568" s="919"/>
      <c r="AB568" s="919"/>
      <c r="AC568" s="919"/>
      <c r="AD568" s="919"/>
      <c r="AE568" s="919"/>
      <c r="AF568" s="919"/>
      <c r="AG568" s="919"/>
      <c r="AH568" s="919"/>
      <c r="AI568" s="919"/>
      <c r="AJ568" s="919"/>
      <c r="AK568" s="919"/>
      <c r="AL568" s="919"/>
      <c r="AM568" s="919"/>
      <c r="AN568" s="919"/>
      <c r="AO568" s="919"/>
      <c r="AP568" s="919"/>
      <c r="AQ568" s="919"/>
      <c r="AR568" s="919"/>
      <c r="AS568" s="919"/>
      <c r="AT568" s="919"/>
      <c r="AU568" s="919"/>
      <c r="AV568" s="919"/>
      <c r="AW568" s="919"/>
      <c r="AX568" s="919"/>
      <c r="AY568" s="919"/>
      <c r="AZ568" s="919"/>
      <c r="BA568" s="919"/>
      <c r="BB568" s="919"/>
      <c r="BC568" s="919"/>
      <c r="BD568" s="919"/>
      <c r="BE568" s="920"/>
      <c r="BF568" s="695"/>
    </row>
    <row r="569" spans="1:58" x14ac:dyDescent="0.45">
      <c r="A569" s="695"/>
      <c r="B569" s="918"/>
      <c r="C569" s="1037" t="s">
        <v>61</v>
      </c>
      <c r="D569" s="919"/>
      <c r="E569" s="919"/>
      <c r="F569" s="919"/>
      <c r="G569" s="1566">
        <f>IF('II. Inputs, Baseline Energy Mix'!$Q$19&gt;0,('II. Inputs, Baseline Energy Mix'!$Q$20*'II. Inputs, Baseline Energy Mix'!$Q$21*'II. Inputs, Baseline Energy Mix'!$Q$36*'II. Inputs, Baseline Energy Mix'!$Q$40),0)</f>
        <v>0</v>
      </c>
      <c r="H569" s="919"/>
      <c r="I569" s="919"/>
      <c r="J569" s="919"/>
      <c r="K569" s="919"/>
      <c r="L569" s="919"/>
      <c r="M569" s="919"/>
      <c r="N569" s="919"/>
      <c r="O569" s="919"/>
      <c r="P569" s="919"/>
      <c r="Q569" s="919"/>
      <c r="R569" s="919"/>
      <c r="S569" s="919"/>
      <c r="T569" s="919"/>
      <c r="U569" s="919"/>
      <c r="V569" s="919"/>
      <c r="W569" s="919"/>
      <c r="X569" s="919"/>
      <c r="Y569" s="919"/>
      <c r="Z569" s="919"/>
      <c r="AA569" s="919"/>
      <c r="AB569" s="919"/>
      <c r="AC569" s="919"/>
      <c r="AD569" s="919"/>
      <c r="AE569" s="919"/>
      <c r="AF569" s="919"/>
      <c r="AG569" s="919"/>
      <c r="AH569" s="919"/>
      <c r="AI569" s="919"/>
      <c r="AJ569" s="919"/>
      <c r="AK569" s="919"/>
      <c r="AL569" s="919"/>
      <c r="AM569" s="919"/>
      <c r="AN569" s="919"/>
      <c r="AO569" s="919"/>
      <c r="AP569" s="919"/>
      <c r="AQ569" s="919"/>
      <c r="AR569" s="919"/>
      <c r="AS569" s="919"/>
      <c r="AT569" s="919"/>
      <c r="AU569" s="919"/>
      <c r="AV569" s="919"/>
      <c r="AW569" s="919"/>
      <c r="AX569" s="919"/>
      <c r="AY569" s="919"/>
      <c r="AZ569" s="919"/>
      <c r="BA569" s="919"/>
      <c r="BB569" s="919"/>
      <c r="BC569" s="919"/>
      <c r="BD569" s="919"/>
      <c r="BE569" s="920"/>
      <c r="BF569" s="695"/>
    </row>
    <row r="570" spans="1:58" x14ac:dyDescent="0.45">
      <c r="A570" s="695"/>
      <c r="B570" s="918"/>
      <c r="C570" s="1037" t="s">
        <v>62</v>
      </c>
      <c r="D570" s="919"/>
      <c r="E570" s="919"/>
      <c r="F570" s="919"/>
      <c r="G570" s="921">
        <f>SUM('II. Inputs, Baseline Energy Mix'!$Q$52)</f>
        <v>0</v>
      </c>
      <c r="H570" s="919"/>
      <c r="I570" s="919"/>
      <c r="J570" s="919"/>
      <c r="K570" s="919"/>
      <c r="L570" s="919"/>
      <c r="M570" s="919"/>
      <c r="N570" s="919"/>
      <c r="O570" s="919"/>
      <c r="P570" s="919"/>
      <c r="Q570" s="919"/>
      <c r="R570" s="919"/>
      <c r="S570" s="919"/>
      <c r="T570" s="919"/>
      <c r="U570" s="919"/>
      <c r="V570" s="919"/>
      <c r="W570" s="919"/>
      <c r="X570" s="919"/>
      <c r="Y570" s="919"/>
      <c r="Z570" s="919"/>
      <c r="AA570" s="919"/>
      <c r="AB570" s="919"/>
      <c r="AC570" s="919"/>
      <c r="AD570" s="919"/>
      <c r="AE570" s="919"/>
      <c r="AF570" s="919"/>
      <c r="AG570" s="919"/>
      <c r="AH570" s="919"/>
      <c r="AI570" s="919"/>
      <c r="AJ570" s="919"/>
      <c r="AK570" s="919"/>
      <c r="AL570" s="919"/>
      <c r="AM570" s="919"/>
      <c r="AN570" s="919"/>
      <c r="AO570" s="919"/>
      <c r="AP570" s="919"/>
      <c r="AQ570" s="919"/>
      <c r="AR570" s="919"/>
      <c r="AS570" s="919"/>
      <c r="AT570" s="919"/>
      <c r="AU570" s="919"/>
      <c r="AV570" s="919"/>
      <c r="AW570" s="919"/>
      <c r="AX570" s="919"/>
      <c r="AY570" s="919"/>
      <c r="AZ570" s="919"/>
      <c r="BA570" s="919"/>
      <c r="BB570" s="919"/>
      <c r="BC570" s="919"/>
      <c r="BD570" s="919"/>
      <c r="BE570" s="920"/>
      <c r="BF570" s="695"/>
    </row>
    <row r="571" spans="1:58" x14ac:dyDescent="0.45">
      <c r="A571" s="695"/>
      <c r="B571" s="918"/>
      <c r="C571" s="1037" t="s">
        <v>63</v>
      </c>
      <c r="D571" s="919"/>
      <c r="E571" s="919"/>
      <c r="F571" s="919"/>
      <c r="G571" s="1041">
        <f>SUM('II. Inputs, Baseline Energy Mix'!$Q$47)</f>
        <v>0</v>
      </c>
      <c r="H571" s="919"/>
      <c r="I571" s="919"/>
      <c r="J571" s="919"/>
      <c r="K571" s="919"/>
      <c r="L571" s="919"/>
      <c r="M571" s="919"/>
      <c r="N571" s="919"/>
      <c r="O571" s="919"/>
      <c r="P571" s="919"/>
      <c r="Q571" s="919"/>
      <c r="R571" s="919"/>
      <c r="S571" s="919"/>
      <c r="T571" s="919"/>
      <c r="U571" s="919"/>
      <c r="V571" s="919"/>
      <c r="W571" s="919"/>
      <c r="X571" s="919"/>
      <c r="Y571" s="919"/>
      <c r="Z571" s="919"/>
      <c r="AA571" s="919"/>
      <c r="AB571" s="919"/>
      <c r="AC571" s="919"/>
      <c r="AD571" s="919"/>
      <c r="AE571" s="919"/>
      <c r="AF571" s="919"/>
      <c r="AG571" s="919"/>
      <c r="AH571" s="919"/>
      <c r="AI571" s="919"/>
      <c r="AJ571" s="919"/>
      <c r="AK571" s="919"/>
      <c r="AL571" s="919"/>
      <c r="AM571" s="919"/>
      <c r="AN571" s="919"/>
      <c r="AO571" s="919"/>
      <c r="AP571" s="919"/>
      <c r="AQ571" s="919"/>
      <c r="AR571" s="919"/>
      <c r="AS571" s="919"/>
      <c r="AT571" s="919"/>
      <c r="AU571" s="919"/>
      <c r="AV571" s="919"/>
      <c r="AW571" s="919"/>
      <c r="AX571" s="919"/>
      <c r="AY571" s="919"/>
      <c r="AZ571" s="919"/>
      <c r="BA571" s="919"/>
      <c r="BB571" s="919"/>
      <c r="BC571" s="919"/>
      <c r="BD571" s="919"/>
      <c r="BE571" s="920"/>
      <c r="BF571" s="695"/>
    </row>
    <row r="572" spans="1:58" x14ac:dyDescent="0.45">
      <c r="A572" s="695"/>
      <c r="B572" s="918"/>
      <c r="C572" s="919"/>
      <c r="D572" s="919"/>
      <c r="E572" s="919"/>
      <c r="F572" s="919"/>
      <c r="G572" s="919"/>
      <c r="H572" s="919"/>
      <c r="I572" s="919"/>
      <c r="J572" s="919"/>
      <c r="K572" s="919"/>
      <c r="L572" s="919"/>
      <c r="M572" s="919"/>
      <c r="N572" s="919"/>
      <c r="O572" s="919"/>
      <c r="P572" s="919"/>
      <c r="Q572" s="919"/>
      <c r="R572" s="919"/>
      <c r="S572" s="919"/>
      <c r="T572" s="919"/>
      <c r="U572" s="919"/>
      <c r="V572" s="919"/>
      <c r="W572" s="919"/>
      <c r="X572" s="919"/>
      <c r="Y572" s="919"/>
      <c r="Z572" s="919"/>
      <c r="AA572" s="919"/>
      <c r="AB572" s="919"/>
      <c r="AC572" s="919"/>
      <c r="AD572" s="919"/>
      <c r="AE572" s="919"/>
      <c r="AF572" s="919"/>
      <c r="AG572" s="919"/>
      <c r="AH572" s="919"/>
      <c r="AI572" s="919"/>
      <c r="AJ572" s="919"/>
      <c r="AK572" s="919"/>
      <c r="AL572" s="919"/>
      <c r="AM572" s="919"/>
      <c r="AN572" s="919"/>
      <c r="AO572" s="919"/>
      <c r="AP572" s="919"/>
      <c r="AQ572" s="919"/>
      <c r="AR572" s="919"/>
      <c r="AS572" s="919"/>
      <c r="AT572" s="919"/>
      <c r="AU572" s="919"/>
      <c r="AV572" s="919"/>
      <c r="AW572" s="919"/>
      <c r="AX572" s="919"/>
      <c r="AY572" s="919"/>
      <c r="AZ572" s="919"/>
      <c r="BA572" s="919"/>
      <c r="BB572" s="919"/>
      <c r="BC572" s="919"/>
      <c r="BD572" s="919"/>
      <c r="BE572" s="920"/>
      <c r="BF572" s="695"/>
    </row>
    <row r="573" spans="1:58" x14ac:dyDescent="0.45">
      <c r="A573" s="695"/>
      <c r="B573" s="918"/>
      <c r="C573" s="1039" t="s">
        <v>60</v>
      </c>
      <c r="D573" s="919"/>
      <c r="E573" s="919"/>
      <c r="F573" s="919"/>
      <c r="G573" s="919"/>
      <c r="H573" s="919"/>
      <c r="I573" s="919"/>
      <c r="J573" s="919"/>
      <c r="K573" s="919"/>
      <c r="L573" s="919"/>
      <c r="M573" s="919"/>
      <c r="N573" s="919"/>
      <c r="O573" s="919"/>
      <c r="P573" s="919"/>
      <c r="Q573" s="919"/>
      <c r="R573" s="919"/>
      <c r="S573" s="919"/>
      <c r="T573" s="919"/>
      <c r="U573" s="919"/>
      <c r="V573" s="919"/>
      <c r="W573" s="919"/>
      <c r="X573" s="919"/>
      <c r="Y573" s="919"/>
      <c r="Z573" s="919"/>
      <c r="AA573" s="919"/>
      <c r="AB573" s="919"/>
      <c r="AC573" s="919"/>
      <c r="AD573" s="919"/>
      <c r="AE573" s="919"/>
      <c r="AF573" s="919"/>
      <c r="AG573" s="919"/>
      <c r="AH573" s="919"/>
      <c r="AI573" s="919"/>
      <c r="AJ573" s="919"/>
      <c r="AK573" s="919"/>
      <c r="AL573" s="919"/>
      <c r="AM573" s="919"/>
      <c r="AN573" s="919"/>
      <c r="AO573" s="919"/>
      <c r="AP573" s="919"/>
      <c r="AQ573" s="919"/>
      <c r="AR573" s="919"/>
      <c r="AS573" s="919"/>
      <c r="AT573" s="919"/>
      <c r="AU573" s="919"/>
      <c r="AV573" s="919"/>
      <c r="AW573" s="919"/>
      <c r="AX573" s="919"/>
      <c r="AY573" s="919"/>
      <c r="AZ573" s="919"/>
      <c r="BA573" s="919"/>
      <c r="BB573" s="919"/>
      <c r="BC573" s="919"/>
      <c r="BD573" s="919"/>
      <c r="BE573" s="920"/>
      <c r="BF573" s="695"/>
    </row>
    <row r="574" spans="1:58" x14ac:dyDescent="0.45">
      <c r="A574" s="695"/>
      <c r="B574" s="918"/>
      <c r="C574" s="919" t="s">
        <v>66</v>
      </c>
      <c r="D574" s="919"/>
      <c r="E574" s="919"/>
      <c r="F574" s="919"/>
      <c r="G574" s="1566"/>
      <c r="H574" s="1566">
        <f>IF(H$292&gt;$G570,0,IPMT($G571,H$292,$G570,-$G569))</f>
        <v>0</v>
      </c>
      <c r="I574" s="1566">
        <f t="shared" ref="I574:BE574" si="199">IF(I$292&gt;$G570,0,IPMT($G571,I$292,$G570,-$G569))</f>
        <v>0</v>
      </c>
      <c r="J574" s="1566">
        <f t="shared" si="199"/>
        <v>0</v>
      </c>
      <c r="K574" s="1566">
        <f t="shared" si="199"/>
        <v>0</v>
      </c>
      <c r="L574" s="1566">
        <f t="shared" si="199"/>
        <v>0</v>
      </c>
      <c r="M574" s="1566">
        <f t="shared" si="199"/>
        <v>0</v>
      </c>
      <c r="N574" s="1566">
        <f t="shared" si="199"/>
        <v>0</v>
      </c>
      <c r="O574" s="1566">
        <f t="shared" si="199"/>
        <v>0</v>
      </c>
      <c r="P574" s="1566">
        <f t="shared" si="199"/>
        <v>0</v>
      </c>
      <c r="Q574" s="1566">
        <f t="shared" si="199"/>
        <v>0</v>
      </c>
      <c r="R574" s="1566">
        <f t="shared" si="199"/>
        <v>0</v>
      </c>
      <c r="S574" s="1566">
        <f t="shared" si="199"/>
        <v>0</v>
      </c>
      <c r="T574" s="1566">
        <f t="shared" si="199"/>
        <v>0</v>
      </c>
      <c r="U574" s="1566">
        <f t="shared" si="199"/>
        <v>0</v>
      </c>
      <c r="V574" s="1566">
        <f t="shared" si="199"/>
        <v>0</v>
      </c>
      <c r="W574" s="1566">
        <f t="shared" si="199"/>
        <v>0</v>
      </c>
      <c r="X574" s="1566">
        <f t="shared" si="199"/>
        <v>0</v>
      </c>
      <c r="Y574" s="1566">
        <f t="shared" si="199"/>
        <v>0</v>
      </c>
      <c r="Z574" s="1566">
        <f t="shared" si="199"/>
        <v>0</v>
      </c>
      <c r="AA574" s="1566">
        <f t="shared" si="199"/>
        <v>0</v>
      </c>
      <c r="AB574" s="1566">
        <f t="shared" si="199"/>
        <v>0</v>
      </c>
      <c r="AC574" s="1566">
        <f t="shared" si="199"/>
        <v>0</v>
      </c>
      <c r="AD574" s="1566">
        <f t="shared" si="199"/>
        <v>0</v>
      </c>
      <c r="AE574" s="1566">
        <f t="shared" si="199"/>
        <v>0</v>
      </c>
      <c r="AF574" s="1566">
        <f t="shared" si="199"/>
        <v>0</v>
      </c>
      <c r="AG574" s="1566">
        <f t="shared" si="199"/>
        <v>0</v>
      </c>
      <c r="AH574" s="1566">
        <f t="shared" si="199"/>
        <v>0</v>
      </c>
      <c r="AI574" s="1566">
        <f t="shared" si="199"/>
        <v>0</v>
      </c>
      <c r="AJ574" s="1566">
        <f t="shared" si="199"/>
        <v>0</v>
      </c>
      <c r="AK574" s="1566">
        <f t="shared" si="199"/>
        <v>0</v>
      </c>
      <c r="AL574" s="1566">
        <f t="shared" si="199"/>
        <v>0</v>
      </c>
      <c r="AM574" s="1566">
        <f t="shared" si="199"/>
        <v>0</v>
      </c>
      <c r="AN574" s="1566">
        <f t="shared" si="199"/>
        <v>0</v>
      </c>
      <c r="AO574" s="1566">
        <f t="shared" si="199"/>
        <v>0</v>
      </c>
      <c r="AP574" s="1566">
        <f t="shared" si="199"/>
        <v>0</v>
      </c>
      <c r="AQ574" s="1566">
        <f t="shared" si="199"/>
        <v>0</v>
      </c>
      <c r="AR574" s="1566">
        <f t="shared" si="199"/>
        <v>0</v>
      </c>
      <c r="AS574" s="1566">
        <f t="shared" si="199"/>
        <v>0</v>
      </c>
      <c r="AT574" s="1566">
        <f t="shared" si="199"/>
        <v>0</v>
      </c>
      <c r="AU574" s="1566">
        <f t="shared" si="199"/>
        <v>0</v>
      </c>
      <c r="AV574" s="1566">
        <f t="shared" si="199"/>
        <v>0</v>
      </c>
      <c r="AW574" s="1566">
        <f t="shared" si="199"/>
        <v>0</v>
      </c>
      <c r="AX574" s="1566">
        <f t="shared" si="199"/>
        <v>0</v>
      </c>
      <c r="AY574" s="1566">
        <f t="shared" si="199"/>
        <v>0</v>
      </c>
      <c r="AZ574" s="1566">
        <f t="shared" si="199"/>
        <v>0</v>
      </c>
      <c r="BA574" s="1566">
        <f t="shared" si="199"/>
        <v>0</v>
      </c>
      <c r="BB574" s="1566">
        <f t="shared" si="199"/>
        <v>0</v>
      </c>
      <c r="BC574" s="1566">
        <f t="shared" si="199"/>
        <v>0</v>
      </c>
      <c r="BD574" s="1566">
        <f t="shared" si="199"/>
        <v>0</v>
      </c>
      <c r="BE574" s="1567">
        <f t="shared" si="199"/>
        <v>0</v>
      </c>
      <c r="BF574" s="695"/>
    </row>
    <row r="575" spans="1:58" x14ac:dyDescent="0.45">
      <c r="A575" s="695"/>
      <c r="B575" s="918"/>
      <c r="C575" s="926" t="s">
        <v>65</v>
      </c>
      <c r="D575" s="926"/>
      <c r="E575" s="926"/>
      <c r="F575" s="926"/>
      <c r="G575" s="1568"/>
      <c r="H575" s="1568">
        <f>IF(H$292&gt;$G570,0,PPMT($G571,H$292,$G570,-$G569))</f>
        <v>0</v>
      </c>
      <c r="I575" s="1568">
        <f t="shared" ref="I575:BE575" si="200">IF(I$292&gt;$G570,0,PPMT($G571,I$292,$G570,-$G569))</f>
        <v>0</v>
      </c>
      <c r="J575" s="1568">
        <f t="shared" si="200"/>
        <v>0</v>
      </c>
      <c r="K575" s="1568">
        <f t="shared" si="200"/>
        <v>0</v>
      </c>
      <c r="L575" s="1568">
        <f t="shared" si="200"/>
        <v>0</v>
      </c>
      <c r="M575" s="1568">
        <f t="shared" si="200"/>
        <v>0</v>
      </c>
      <c r="N575" s="1568">
        <f t="shared" si="200"/>
        <v>0</v>
      </c>
      <c r="O575" s="1568">
        <f t="shared" si="200"/>
        <v>0</v>
      </c>
      <c r="P575" s="1568">
        <f t="shared" si="200"/>
        <v>0</v>
      </c>
      <c r="Q575" s="1568">
        <f t="shared" si="200"/>
        <v>0</v>
      </c>
      <c r="R575" s="1568">
        <f t="shared" si="200"/>
        <v>0</v>
      </c>
      <c r="S575" s="1568">
        <f t="shared" si="200"/>
        <v>0</v>
      </c>
      <c r="T575" s="1568">
        <f t="shared" si="200"/>
        <v>0</v>
      </c>
      <c r="U575" s="1568">
        <f t="shared" si="200"/>
        <v>0</v>
      </c>
      <c r="V575" s="1568">
        <f t="shared" si="200"/>
        <v>0</v>
      </c>
      <c r="W575" s="1568">
        <f t="shared" si="200"/>
        <v>0</v>
      </c>
      <c r="X575" s="1568">
        <f t="shared" si="200"/>
        <v>0</v>
      </c>
      <c r="Y575" s="1568">
        <f t="shared" si="200"/>
        <v>0</v>
      </c>
      <c r="Z575" s="1568">
        <f t="shared" si="200"/>
        <v>0</v>
      </c>
      <c r="AA575" s="1568">
        <f t="shared" si="200"/>
        <v>0</v>
      </c>
      <c r="AB575" s="1568">
        <f t="shared" si="200"/>
        <v>0</v>
      </c>
      <c r="AC575" s="1568">
        <f t="shared" si="200"/>
        <v>0</v>
      </c>
      <c r="AD575" s="1568">
        <f t="shared" si="200"/>
        <v>0</v>
      </c>
      <c r="AE575" s="1568">
        <f t="shared" si="200"/>
        <v>0</v>
      </c>
      <c r="AF575" s="1568">
        <f t="shared" si="200"/>
        <v>0</v>
      </c>
      <c r="AG575" s="1568">
        <f t="shared" si="200"/>
        <v>0</v>
      </c>
      <c r="AH575" s="1568">
        <f t="shared" si="200"/>
        <v>0</v>
      </c>
      <c r="AI575" s="1568">
        <f t="shared" si="200"/>
        <v>0</v>
      </c>
      <c r="AJ575" s="1568">
        <f t="shared" si="200"/>
        <v>0</v>
      </c>
      <c r="AK575" s="1568">
        <f t="shared" si="200"/>
        <v>0</v>
      </c>
      <c r="AL575" s="1568">
        <f t="shared" si="200"/>
        <v>0</v>
      </c>
      <c r="AM575" s="1568">
        <f t="shared" si="200"/>
        <v>0</v>
      </c>
      <c r="AN575" s="1568">
        <f t="shared" si="200"/>
        <v>0</v>
      </c>
      <c r="AO575" s="1568">
        <f t="shared" si="200"/>
        <v>0</v>
      </c>
      <c r="AP575" s="1568">
        <f t="shared" si="200"/>
        <v>0</v>
      </c>
      <c r="AQ575" s="1568">
        <f t="shared" si="200"/>
        <v>0</v>
      </c>
      <c r="AR575" s="1568">
        <f t="shared" si="200"/>
        <v>0</v>
      </c>
      <c r="AS575" s="1568">
        <f t="shared" si="200"/>
        <v>0</v>
      </c>
      <c r="AT575" s="1568">
        <f t="shared" si="200"/>
        <v>0</v>
      </c>
      <c r="AU575" s="1568">
        <f t="shared" si="200"/>
        <v>0</v>
      </c>
      <c r="AV575" s="1568">
        <f t="shared" si="200"/>
        <v>0</v>
      </c>
      <c r="AW575" s="1568">
        <f t="shared" si="200"/>
        <v>0</v>
      </c>
      <c r="AX575" s="1568">
        <f t="shared" si="200"/>
        <v>0</v>
      </c>
      <c r="AY575" s="1568">
        <f t="shared" si="200"/>
        <v>0</v>
      </c>
      <c r="AZ575" s="1568">
        <f t="shared" si="200"/>
        <v>0</v>
      </c>
      <c r="BA575" s="1568">
        <f t="shared" si="200"/>
        <v>0</v>
      </c>
      <c r="BB575" s="1568">
        <f t="shared" si="200"/>
        <v>0</v>
      </c>
      <c r="BC575" s="1568">
        <f t="shared" si="200"/>
        <v>0</v>
      </c>
      <c r="BD575" s="1568">
        <f t="shared" si="200"/>
        <v>0</v>
      </c>
      <c r="BE575" s="1569">
        <f t="shared" si="200"/>
        <v>0</v>
      </c>
      <c r="BF575" s="695"/>
    </row>
    <row r="576" spans="1:58" x14ac:dyDescent="0.45">
      <c r="A576" s="695"/>
      <c r="B576" s="918"/>
      <c r="C576" s="919" t="s">
        <v>67</v>
      </c>
      <c r="D576" s="919"/>
      <c r="E576" s="919"/>
      <c r="F576" s="919"/>
      <c r="G576" s="1566"/>
      <c r="H576" s="1566">
        <f>SUM(H574:H575)</f>
        <v>0</v>
      </c>
      <c r="I576" s="1566">
        <f t="shared" ref="I576:BE576" si="201">SUM(I574:I575)</f>
        <v>0</v>
      </c>
      <c r="J576" s="1566">
        <f t="shared" si="201"/>
        <v>0</v>
      </c>
      <c r="K576" s="1566">
        <f t="shared" si="201"/>
        <v>0</v>
      </c>
      <c r="L576" s="1566">
        <f t="shared" si="201"/>
        <v>0</v>
      </c>
      <c r="M576" s="1566">
        <f t="shared" si="201"/>
        <v>0</v>
      </c>
      <c r="N576" s="1566">
        <f t="shared" si="201"/>
        <v>0</v>
      </c>
      <c r="O576" s="1566">
        <f t="shared" si="201"/>
        <v>0</v>
      </c>
      <c r="P576" s="1566">
        <f t="shared" si="201"/>
        <v>0</v>
      </c>
      <c r="Q576" s="1566">
        <f t="shared" si="201"/>
        <v>0</v>
      </c>
      <c r="R576" s="1566">
        <f t="shared" si="201"/>
        <v>0</v>
      </c>
      <c r="S576" s="1566">
        <f t="shared" si="201"/>
        <v>0</v>
      </c>
      <c r="T576" s="1566">
        <f t="shared" si="201"/>
        <v>0</v>
      </c>
      <c r="U576" s="1566">
        <f t="shared" si="201"/>
        <v>0</v>
      </c>
      <c r="V576" s="1566">
        <f t="shared" si="201"/>
        <v>0</v>
      </c>
      <c r="W576" s="1566">
        <f t="shared" si="201"/>
        <v>0</v>
      </c>
      <c r="X576" s="1566">
        <f t="shared" si="201"/>
        <v>0</v>
      </c>
      <c r="Y576" s="1566">
        <f t="shared" si="201"/>
        <v>0</v>
      </c>
      <c r="Z576" s="1566">
        <f t="shared" si="201"/>
        <v>0</v>
      </c>
      <c r="AA576" s="1566">
        <f t="shared" si="201"/>
        <v>0</v>
      </c>
      <c r="AB576" s="1566">
        <f t="shared" si="201"/>
        <v>0</v>
      </c>
      <c r="AC576" s="1566">
        <f t="shared" si="201"/>
        <v>0</v>
      </c>
      <c r="AD576" s="1566">
        <f t="shared" si="201"/>
        <v>0</v>
      </c>
      <c r="AE576" s="1566">
        <f t="shared" si="201"/>
        <v>0</v>
      </c>
      <c r="AF576" s="1566">
        <f t="shared" si="201"/>
        <v>0</v>
      </c>
      <c r="AG576" s="1566">
        <f t="shared" si="201"/>
        <v>0</v>
      </c>
      <c r="AH576" s="1566">
        <f t="shared" si="201"/>
        <v>0</v>
      </c>
      <c r="AI576" s="1566">
        <f t="shared" si="201"/>
        <v>0</v>
      </c>
      <c r="AJ576" s="1566">
        <f t="shared" si="201"/>
        <v>0</v>
      </c>
      <c r="AK576" s="1566">
        <f t="shared" si="201"/>
        <v>0</v>
      </c>
      <c r="AL576" s="1566">
        <f t="shared" si="201"/>
        <v>0</v>
      </c>
      <c r="AM576" s="1566">
        <f t="shared" si="201"/>
        <v>0</v>
      </c>
      <c r="AN576" s="1566">
        <f t="shared" si="201"/>
        <v>0</v>
      </c>
      <c r="AO576" s="1566">
        <f t="shared" si="201"/>
        <v>0</v>
      </c>
      <c r="AP576" s="1566">
        <f t="shared" si="201"/>
        <v>0</v>
      </c>
      <c r="AQ576" s="1566">
        <f t="shared" si="201"/>
        <v>0</v>
      </c>
      <c r="AR576" s="1566">
        <f t="shared" si="201"/>
        <v>0</v>
      </c>
      <c r="AS576" s="1566">
        <f t="shared" si="201"/>
        <v>0</v>
      </c>
      <c r="AT576" s="1566">
        <f t="shared" si="201"/>
        <v>0</v>
      </c>
      <c r="AU576" s="1566">
        <f t="shared" si="201"/>
        <v>0</v>
      </c>
      <c r="AV576" s="1566">
        <f t="shared" si="201"/>
        <v>0</v>
      </c>
      <c r="AW576" s="1566">
        <f t="shared" si="201"/>
        <v>0</v>
      </c>
      <c r="AX576" s="1566">
        <f t="shared" si="201"/>
        <v>0</v>
      </c>
      <c r="AY576" s="1566">
        <f t="shared" si="201"/>
        <v>0</v>
      </c>
      <c r="AZ576" s="1566">
        <f t="shared" si="201"/>
        <v>0</v>
      </c>
      <c r="BA576" s="1566">
        <f t="shared" si="201"/>
        <v>0</v>
      </c>
      <c r="BB576" s="1566">
        <f t="shared" si="201"/>
        <v>0</v>
      </c>
      <c r="BC576" s="1566">
        <f t="shared" si="201"/>
        <v>0</v>
      </c>
      <c r="BD576" s="1566">
        <f t="shared" si="201"/>
        <v>0</v>
      </c>
      <c r="BE576" s="1567">
        <f t="shared" si="201"/>
        <v>0</v>
      </c>
      <c r="BF576" s="695"/>
    </row>
    <row r="577" spans="1:58" x14ac:dyDescent="0.45">
      <c r="A577" s="695"/>
      <c r="B577" s="918"/>
      <c r="C577" s="919"/>
      <c r="D577" s="919"/>
      <c r="E577" s="919"/>
      <c r="F577" s="919"/>
      <c r="G577" s="1566"/>
      <c r="H577" s="1566"/>
      <c r="I577" s="1566"/>
      <c r="J577" s="1566"/>
      <c r="K577" s="1566"/>
      <c r="L577" s="1566"/>
      <c r="M577" s="1566"/>
      <c r="N577" s="1566"/>
      <c r="O577" s="1566"/>
      <c r="P577" s="1566"/>
      <c r="Q577" s="1566"/>
      <c r="R577" s="1566"/>
      <c r="S577" s="1566"/>
      <c r="T577" s="1566"/>
      <c r="U577" s="1566"/>
      <c r="V577" s="1566"/>
      <c r="W577" s="1566"/>
      <c r="X577" s="1566"/>
      <c r="Y577" s="1566"/>
      <c r="Z577" s="1566"/>
      <c r="AA577" s="1566"/>
      <c r="AB577" s="1566"/>
      <c r="AC577" s="1566"/>
      <c r="AD577" s="1566"/>
      <c r="AE577" s="1566"/>
      <c r="AF577" s="1566"/>
      <c r="AG577" s="1566"/>
      <c r="AH577" s="1566"/>
      <c r="AI577" s="1566"/>
      <c r="AJ577" s="1566"/>
      <c r="AK577" s="1566"/>
      <c r="AL577" s="1566"/>
      <c r="AM577" s="1566"/>
      <c r="AN577" s="1566"/>
      <c r="AO577" s="1566"/>
      <c r="AP577" s="1566"/>
      <c r="AQ577" s="1566"/>
      <c r="AR577" s="1566"/>
      <c r="AS577" s="1566"/>
      <c r="AT577" s="1566"/>
      <c r="AU577" s="1566"/>
      <c r="AV577" s="1566"/>
      <c r="AW577" s="1566"/>
      <c r="AX577" s="1566"/>
      <c r="AY577" s="1566"/>
      <c r="AZ577" s="1566"/>
      <c r="BA577" s="1566"/>
      <c r="BB577" s="1566"/>
      <c r="BC577" s="1566"/>
      <c r="BD577" s="1566"/>
      <c r="BE577" s="1567"/>
      <c r="BF577" s="695"/>
    </row>
    <row r="578" spans="1:58" x14ac:dyDescent="0.45">
      <c r="A578" s="695"/>
      <c r="B578" s="918"/>
      <c r="C578" s="1040" t="s">
        <v>58</v>
      </c>
      <c r="D578" s="919"/>
      <c r="E578" s="919"/>
      <c r="F578" s="919"/>
      <c r="G578" s="1566"/>
      <c r="H578" s="1566"/>
      <c r="I578" s="1566"/>
      <c r="J578" s="1566"/>
      <c r="K578" s="1566"/>
      <c r="L578" s="1566"/>
      <c r="M578" s="1566"/>
      <c r="N578" s="1566"/>
      <c r="O578" s="1566"/>
      <c r="P578" s="1566"/>
      <c r="Q578" s="1566"/>
      <c r="R578" s="1566"/>
      <c r="S578" s="1566"/>
      <c r="T578" s="1566"/>
      <c r="U578" s="1566"/>
      <c r="V578" s="1566"/>
      <c r="W578" s="1566"/>
      <c r="X578" s="1566"/>
      <c r="Y578" s="1566"/>
      <c r="Z578" s="1566"/>
      <c r="AA578" s="1566"/>
      <c r="AB578" s="1566"/>
      <c r="AC578" s="1566"/>
      <c r="AD578" s="1566"/>
      <c r="AE578" s="1566"/>
      <c r="AF578" s="1566"/>
      <c r="AG578" s="1566"/>
      <c r="AH578" s="1566"/>
      <c r="AI578" s="1566"/>
      <c r="AJ578" s="1566"/>
      <c r="AK578" s="1566"/>
      <c r="AL578" s="1566"/>
      <c r="AM578" s="1566"/>
      <c r="AN578" s="1566"/>
      <c r="AO578" s="1566"/>
      <c r="AP578" s="1566"/>
      <c r="AQ578" s="1566"/>
      <c r="AR578" s="1566"/>
      <c r="AS578" s="1566"/>
      <c r="AT578" s="1566"/>
      <c r="AU578" s="1566"/>
      <c r="AV578" s="1566"/>
      <c r="AW578" s="1566"/>
      <c r="AX578" s="1566"/>
      <c r="AY578" s="1566"/>
      <c r="AZ578" s="1566"/>
      <c r="BA578" s="1566"/>
      <c r="BB578" s="1566"/>
      <c r="BC578" s="1566"/>
      <c r="BD578" s="1566"/>
      <c r="BE578" s="1567"/>
      <c r="BF578" s="695"/>
    </row>
    <row r="579" spans="1:58" x14ac:dyDescent="0.45">
      <c r="A579" s="695"/>
      <c r="B579" s="918"/>
      <c r="C579" s="919" t="s">
        <v>68</v>
      </c>
      <c r="D579" s="919"/>
      <c r="E579" s="919"/>
      <c r="F579" s="919"/>
      <c r="G579" s="1566">
        <v>0</v>
      </c>
      <c r="H579" s="1566">
        <f t="shared" ref="H579:AM579" si="202">G582</f>
        <v>0</v>
      </c>
      <c r="I579" s="1566">
        <f t="shared" si="202"/>
        <v>0</v>
      </c>
      <c r="J579" s="1566">
        <f t="shared" si="202"/>
        <v>0</v>
      </c>
      <c r="K579" s="1566">
        <f t="shared" si="202"/>
        <v>0</v>
      </c>
      <c r="L579" s="1566">
        <f t="shared" si="202"/>
        <v>0</v>
      </c>
      <c r="M579" s="1566">
        <f t="shared" si="202"/>
        <v>0</v>
      </c>
      <c r="N579" s="1566">
        <f t="shared" si="202"/>
        <v>0</v>
      </c>
      <c r="O579" s="1566">
        <f t="shared" si="202"/>
        <v>0</v>
      </c>
      <c r="P579" s="1566">
        <f t="shared" si="202"/>
        <v>0</v>
      </c>
      <c r="Q579" s="1566">
        <f t="shared" si="202"/>
        <v>0</v>
      </c>
      <c r="R579" s="1566">
        <f t="shared" si="202"/>
        <v>0</v>
      </c>
      <c r="S579" s="1566">
        <f t="shared" si="202"/>
        <v>0</v>
      </c>
      <c r="T579" s="1566">
        <f t="shared" si="202"/>
        <v>0</v>
      </c>
      <c r="U579" s="1566">
        <f t="shared" si="202"/>
        <v>0</v>
      </c>
      <c r="V579" s="1566">
        <f t="shared" si="202"/>
        <v>0</v>
      </c>
      <c r="W579" s="1566">
        <f t="shared" si="202"/>
        <v>0</v>
      </c>
      <c r="X579" s="1566">
        <f t="shared" si="202"/>
        <v>0</v>
      </c>
      <c r="Y579" s="1566">
        <f t="shared" si="202"/>
        <v>0</v>
      </c>
      <c r="Z579" s="1566">
        <f t="shared" si="202"/>
        <v>0</v>
      </c>
      <c r="AA579" s="1566">
        <f t="shared" si="202"/>
        <v>0</v>
      </c>
      <c r="AB579" s="1566">
        <f t="shared" si="202"/>
        <v>0</v>
      </c>
      <c r="AC579" s="1566">
        <f t="shared" si="202"/>
        <v>0</v>
      </c>
      <c r="AD579" s="1566">
        <f t="shared" si="202"/>
        <v>0</v>
      </c>
      <c r="AE579" s="1566">
        <f t="shared" si="202"/>
        <v>0</v>
      </c>
      <c r="AF579" s="1566">
        <f t="shared" si="202"/>
        <v>0</v>
      </c>
      <c r="AG579" s="1566">
        <f t="shared" si="202"/>
        <v>0</v>
      </c>
      <c r="AH579" s="1566">
        <f t="shared" si="202"/>
        <v>0</v>
      </c>
      <c r="AI579" s="1566">
        <f t="shared" si="202"/>
        <v>0</v>
      </c>
      <c r="AJ579" s="1566">
        <f t="shared" si="202"/>
        <v>0</v>
      </c>
      <c r="AK579" s="1566">
        <f t="shared" si="202"/>
        <v>0</v>
      </c>
      <c r="AL579" s="1566">
        <f t="shared" si="202"/>
        <v>0</v>
      </c>
      <c r="AM579" s="1566">
        <f t="shared" si="202"/>
        <v>0</v>
      </c>
      <c r="AN579" s="1566">
        <f t="shared" ref="AN579:BE579" si="203">AM582</f>
        <v>0</v>
      </c>
      <c r="AO579" s="1566">
        <f t="shared" si="203"/>
        <v>0</v>
      </c>
      <c r="AP579" s="1566">
        <f t="shared" si="203"/>
        <v>0</v>
      </c>
      <c r="AQ579" s="1566">
        <f t="shared" si="203"/>
        <v>0</v>
      </c>
      <c r="AR579" s="1566">
        <f t="shared" si="203"/>
        <v>0</v>
      </c>
      <c r="AS579" s="1566">
        <f t="shared" si="203"/>
        <v>0</v>
      </c>
      <c r="AT579" s="1566">
        <f t="shared" si="203"/>
        <v>0</v>
      </c>
      <c r="AU579" s="1566">
        <f t="shared" si="203"/>
        <v>0</v>
      </c>
      <c r="AV579" s="1566">
        <f t="shared" si="203"/>
        <v>0</v>
      </c>
      <c r="AW579" s="1566">
        <f t="shared" si="203"/>
        <v>0</v>
      </c>
      <c r="AX579" s="1566">
        <f t="shared" si="203"/>
        <v>0</v>
      </c>
      <c r="AY579" s="1566">
        <f t="shared" si="203"/>
        <v>0</v>
      </c>
      <c r="AZ579" s="1566">
        <f t="shared" si="203"/>
        <v>0</v>
      </c>
      <c r="BA579" s="1566">
        <f t="shared" si="203"/>
        <v>0</v>
      </c>
      <c r="BB579" s="1566">
        <f t="shared" si="203"/>
        <v>0</v>
      </c>
      <c r="BC579" s="1566">
        <f t="shared" si="203"/>
        <v>0</v>
      </c>
      <c r="BD579" s="1566">
        <f t="shared" si="203"/>
        <v>0</v>
      </c>
      <c r="BE579" s="1567">
        <f t="shared" si="203"/>
        <v>0</v>
      </c>
      <c r="BF579" s="695"/>
    </row>
    <row r="580" spans="1:58" x14ac:dyDescent="0.45">
      <c r="A580" s="695"/>
      <c r="B580" s="918"/>
      <c r="C580" s="919" t="s">
        <v>69</v>
      </c>
      <c r="D580" s="919"/>
      <c r="E580" s="919"/>
      <c r="F580" s="919"/>
      <c r="G580" s="1566">
        <f>G569</f>
        <v>0</v>
      </c>
      <c r="H580" s="1566">
        <v>0</v>
      </c>
      <c r="I580" s="1566">
        <v>0</v>
      </c>
      <c r="J580" s="1566">
        <v>0</v>
      </c>
      <c r="K580" s="1566">
        <v>0</v>
      </c>
      <c r="L580" s="1566">
        <v>0</v>
      </c>
      <c r="M580" s="1566">
        <v>0</v>
      </c>
      <c r="N580" s="1566">
        <v>0</v>
      </c>
      <c r="O580" s="1566">
        <v>0</v>
      </c>
      <c r="P580" s="1566">
        <v>0</v>
      </c>
      <c r="Q580" s="1566">
        <v>0</v>
      </c>
      <c r="R580" s="1566">
        <v>0</v>
      </c>
      <c r="S580" s="1566">
        <v>0</v>
      </c>
      <c r="T580" s="1566">
        <v>0</v>
      </c>
      <c r="U580" s="1566">
        <v>0</v>
      </c>
      <c r="V580" s="1566">
        <v>0</v>
      </c>
      <c r="W580" s="1566">
        <v>0</v>
      </c>
      <c r="X580" s="1566">
        <v>0</v>
      </c>
      <c r="Y580" s="1566">
        <v>0</v>
      </c>
      <c r="Z580" s="1566">
        <v>0</v>
      </c>
      <c r="AA580" s="1566">
        <v>0</v>
      </c>
      <c r="AB580" s="1566">
        <v>0</v>
      </c>
      <c r="AC580" s="1566">
        <v>0</v>
      </c>
      <c r="AD580" s="1566">
        <v>0</v>
      </c>
      <c r="AE580" s="1566">
        <v>0</v>
      </c>
      <c r="AF580" s="1566">
        <v>0</v>
      </c>
      <c r="AG580" s="1566">
        <v>0</v>
      </c>
      <c r="AH580" s="1566">
        <v>0</v>
      </c>
      <c r="AI580" s="1566">
        <v>0</v>
      </c>
      <c r="AJ580" s="1566">
        <v>0</v>
      </c>
      <c r="AK580" s="1566">
        <v>0</v>
      </c>
      <c r="AL580" s="1566">
        <v>0</v>
      </c>
      <c r="AM580" s="1566">
        <v>0</v>
      </c>
      <c r="AN580" s="1566">
        <v>0</v>
      </c>
      <c r="AO580" s="1566">
        <v>0</v>
      </c>
      <c r="AP580" s="1566">
        <v>0</v>
      </c>
      <c r="AQ580" s="1566">
        <v>0</v>
      </c>
      <c r="AR580" s="1566">
        <v>0</v>
      </c>
      <c r="AS580" s="1566">
        <v>0</v>
      </c>
      <c r="AT580" s="1566">
        <v>0</v>
      </c>
      <c r="AU580" s="1566">
        <v>0</v>
      </c>
      <c r="AV580" s="1566">
        <v>0</v>
      </c>
      <c r="AW580" s="1566">
        <v>0</v>
      </c>
      <c r="AX580" s="1566">
        <v>0</v>
      </c>
      <c r="AY580" s="1566">
        <v>0</v>
      </c>
      <c r="AZ580" s="1566">
        <v>0</v>
      </c>
      <c r="BA580" s="1566">
        <v>0</v>
      </c>
      <c r="BB580" s="1566">
        <v>0</v>
      </c>
      <c r="BC580" s="1566">
        <v>0</v>
      </c>
      <c r="BD580" s="1566">
        <v>0</v>
      </c>
      <c r="BE580" s="1567">
        <v>0</v>
      </c>
      <c r="BF580" s="695"/>
    </row>
    <row r="581" spans="1:58" x14ac:dyDescent="0.45">
      <c r="A581" s="695"/>
      <c r="B581" s="918"/>
      <c r="C581" s="926" t="s">
        <v>70</v>
      </c>
      <c r="D581" s="926"/>
      <c r="E581" s="926"/>
      <c r="F581" s="926"/>
      <c r="G581" s="1568">
        <v>0</v>
      </c>
      <c r="H581" s="1568">
        <f>-H575</f>
        <v>0</v>
      </c>
      <c r="I581" s="1568">
        <f t="shared" ref="I581:BE581" si="204">-I575</f>
        <v>0</v>
      </c>
      <c r="J581" s="1568">
        <f t="shared" si="204"/>
        <v>0</v>
      </c>
      <c r="K581" s="1568">
        <f t="shared" si="204"/>
        <v>0</v>
      </c>
      <c r="L581" s="1568">
        <f t="shared" si="204"/>
        <v>0</v>
      </c>
      <c r="M581" s="1568">
        <f t="shared" si="204"/>
        <v>0</v>
      </c>
      <c r="N581" s="1568">
        <f t="shared" si="204"/>
        <v>0</v>
      </c>
      <c r="O581" s="1568">
        <f t="shared" si="204"/>
        <v>0</v>
      </c>
      <c r="P581" s="1568">
        <f t="shared" si="204"/>
        <v>0</v>
      </c>
      <c r="Q581" s="1568">
        <f t="shared" si="204"/>
        <v>0</v>
      </c>
      <c r="R581" s="1568">
        <f t="shared" si="204"/>
        <v>0</v>
      </c>
      <c r="S581" s="1568">
        <f t="shared" si="204"/>
        <v>0</v>
      </c>
      <c r="T581" s="1568">
        <f t="shared" si="204"/>
        <v>0</v>
      </c>
      <c r="U581" s="1568">
        <f t="shared" si="204"/>
        <v>0</v>
      </c>
      <c r="V581" s="1568">
        <f t="shared" si="204"/>
        <v>0</v>
      </c>
      <c r="W581" s="1568">
        <f t="shared" si="204"/>
        <v>0</v>
      </c>
      <c r="X581" s="1568">
        <f t="shared" si="204"/>
        <v>0</v>
      </c>
      <c r="Y581" s="1568">
        <f t="shared" si="204"/>
        <v>0</v>
      </c>
      <c r="Z581" s="1568">
        <f t="shared" si="204"/>
        <v>0</v>
      </c>
      <c r="AA581" s="1568">
        <f t="shared" si="204"/>
        <v>0</v>
      </c>
      <c r="AB581" s="1568">
        <f t="shared" si="204"/>
        <v>0</v>
      </c>
      <c r="AC581" s="1568">
        <f t="shared" si="204"/>
        <v>0</v>
      </c>
      <c r="AD581" s="1568">
        <f t="shared" si="204"/>
        <v>0</v>
      </c>
      <c r="AE581" s="1568">
        <f t="shared" si="204"/>
        <v>0</v>
      </c>
      <c r="AF581" s="1568">
        <f t="shared" si="204"/>
        <v>0</v>
      </c>
      <c r="AG581" s="1568">
        <f t="shared" si="204"/>
        <v>0</v>
      </c>
      <c r="AH581" s="1568">
        <f t="shared" si="204"/>
        <v>0</v>
      </c>
      <c r="AI581" s="1568">
        <f t="shared" si="204"/>
        <v>0</v>
      </c>
      <c r="AJ581" s="1568">
        <f t="shared" si="204"/>
        <v>0</v>
      </c>
      <c r="AK581" s="1568">
        <f t="shared" si="204"/>
        <v>0</v>
      </c>
      <c r="AL581" s="1568">
        <f t="shared" si="204"/>
        <v>0</v>
      </c>
      <c r="AM581" s="1568">
        <f t="shared" si="204"/>
        <v>0</v>
      </c>
      <c r="AN581" s="1568">
        <f t="shared" si="204"/>
        <v>0</v>
      </c>
      <c r="AO581" s="1568">
        <f t="shared" si="204"/>
        <v>0</v>
      </c>
      <c r="AP581" s="1568">
        <f t="shared" si="204"/>
        <v>0</v>
      </c>
      <c r="AQ581" s="1568">
        <f t="shared" si="204"/>
        <v>0</v>
      </c>
      <c r="AR581" s="1568">
        <f t="shared" si="204"/>
        <v>0</v>
      </c>
      <c r="AS581" s="1568">
        <f t="shared" si="204"/>
        <v>0</v>
      </c>
      <c r="AT581" s="1568">
        <f t="shared" si="204"/>
        <v>0</v>
      </c>
      <c r="AU581" s="1568">
        <f t="shared" si="204"/>
        <v>0</v>
      </c>
      <c r="AV581" s="1568">
        <f t="shared" si="204"/>
        <v>0</v>
      </c>
      <c r="AW581" s="1568">
        <f t="shared" si="204"/>
        <v>0</v>
      </c>
      <c r="AX581" s="1568">
        <f t="shared" si="204"/>
        <v>0</v>
      </c>
      <c r="AY581" s="1568">
        <f t="shared" si="204"/>
        <v>0</v>
      </c>
      <c r="AZ581" s="1568">
        <f t="shared" si="204"/>
        <v>0</v>
      </c>
      <c r="BA581" s="1568">
        <f t="shared" si="204"/>
        <v>0</v>
      </c>
      <c r="BB581" s="1568">
        <f t="shared" si="204"/>
        <v>0</v>
      </c>
      <c r="BC581" s="1568">
        <f t="shared" si="204"/>
        <v>0</v>
      </c>
      <c r="BD581" s="1568">
        <f t="shared" si="204"/>
        <v>0</v>
      </c>
      <c r="BE581" s="1569">
        <f t="shared" si="204"/>
        <v>0</v>
      </c>
      <c r="BF581" s="695"/>
    </row>
    <row r="582" spans="1:58" x14ac:dyDescent="0.45">
      <c r="A582" s="695"/>
      <c r="B582" s="918"/>
      <c r="C582" s="919" t="s">
        <v>59</v>
      </c>
      <c r="D582" s="919"/>
      <c r="E582" s="919"/>
      <c r="F582" s="919"/>
      <c r="G582" s="1566">
        <f>SUM(G579:G581)</f>
        <v>0</v>
      </c>
      <c r="H582" s="1566">
        <f>SUM(H579:H581)</f>
        <v>0</v>
      </c>
      <c r="I582" s="1566">
        <f t="shared" ref="I582:BE582" si="205">SUM(I579:I581)</f>
        <v>0</v>
      </c>
      <c r="J582" s="1566">
        <f t="shared" si="205"/>
        <v>0</v>
      </c>
      <c r="K582" s="1566">
        <f t="shared" si="205"/>
        <v>0</v>
      </c>
      <c r="L582" s="1566">
        <f t="shared" si="205"/>
        <v>0</v>
      </c>
      <c r="M582" s="1566">
        <f t="shared" si="205"/>
        <v>0</v>
      </c>
      <c r="N582" s="1566">
        <f t="shared" si="205"/>
        <v>0</v>
      </c>
      <c r="O582" s="1566">
        <f t="shared" si="205"/>
        <v>0</v>
      </c>
      <c r="P582" s="1566">
        <f t="shared" si="205"/>
        <v>0</v>
      </c>
      <c r="Q582" s="1566">
        <f t="shared" si="205"/>
        <v>0</v>
      </c>
      <c r="R582" s="1566">
        <f t="shared" si="205"/>
        <v>0</v>
      </c>
      <c r="S582" s="1566">
        <f t="shared" si="205"/>
        <v>0</v>
      </c>
      <c r="T582" s="1566">
        <f t="shared" si="205"/>
        <v>0</v>
      </c>
      <c r="U582" s="1566">
        <f t="shared" si="205"/>
        <v>0</v>
      </c>
      <c r="V582" s="1566">
        <f t="shared" si="205"/>
        <v>0</v>
      </c>
      <c r="W582" s="1566">
        <f t="shared" si="205"/>
        <v>0</v>
      </c>
      <c r="X582" s="1566">
        <f t="shared" si="205"/>
        <v>0</v>
      </c>
      <c r="Y582" s="1566">
        <f t="shared" si="205"/>
        <v>0</v>
      </c>
      <c r="Z582" s="1566">
        <f t="shared" si="205"/>
        <v>0</v>
      </c>
      <c r="AA582" s="1566">
        <f t="shared" si="205"/>
        <v>0</v>
      </c>
      <c r="AB582" s="1566">
        <f t="shared" si="205"/>
        <v>0</v>
      </c>
      <c r="AC582" s="1566">
        <f t="shared" si="205"/>
        <v>0</v>
      </c>
      <c r="AD582" s="1566">
        <f t="shared" si="205"/>
        <v>0</v>
      </c>
      <c r="AE582" s="1566">
        <f t="shared" si="205"/>
        <v>0</v>
      </c>
      <c r="AF582" s="1566">
        <f t="shared" si="205"/>
        <v>0</v>
      </c>
      <c r="AG582" s="1566">
        <f t="shared" si="205"/>
        <v>0</v>
      </c>
      <c r="AH582" s="1566">
        <f t="shared" si="205"/>
        <v>0</v>
      </c>
      <c r="AI582" s="1566">
        <f t="shared" si="205"/>
        <v>0</v>
      </c>
      <c r="AJ582" s="1566">
        <f t="shared" si="205"/>
        <v>0</v>
      </c>
      <c r="AK582" s="1566">
        <f t="shared" si="205"/>
        <v>0</v>
      </c>
      <c r="AL582" s="1566">
        <f t="shared" si="205"/>
        <v>0</v>
      </c>
      <c r="AM582" s="1566">
        <f t="shared" si="205"/>
        <v>0</v>
      </c>
      <c r="AN582" s="1566">
        <f t="shared" si="205"/>
        <v>0</v>
      </c>
      <c r="AO582" s="1566">
        <f t="shared" si="205"/>
        <v>0</v>
      </c>
      <c r="AP582" s="1566">
        <f t="shared" si="205"/>
        <v>0</v>
      </c>
      <c r="AQ582" s="1566">
        <f t="shared" si="205"/>
        <v>0</v>
      </c>
      <c r="AR582" s="1566">
        <f t="shared" si="205"/>
        <v>0</v>
      </c>
      <c r="AS582" s="1566">
        <f t="shared" si="205"/>
        <v>0</v>
      </c>
      <c r="AT582" s="1566">
        <f t="shared" si="205"/>
        <v>0</v>
      </c>
      <c r="AU582" s="1566">
        <f t="shared" si="205"/>
        <v>0</v>
      </c>
      <c r="AV582" s="1566">
        <f t="shared" si="205"/>
        <v>0</v>
      </c>
      <c r="AW582" s="1566">
        <f t="shared" si="205"/>
        <v>0</v>
      </c>
      <c r="AX582" s="1566">
        <f t="shared" si="205"/>
        <v>0</v>
      </c>
      <c r="AY582" s="1566">
        <f t="shared" si="205"/>
        <v>0</v>
      </c>
      <c r="AZ582" s="1566">
        <f t="shared" si="205"/>
        <v>0</v>
      </c>
      <c r="BA582" s="1566">
        <f t="shared" si="205"/>
        <v>0</v>
      </c>
      <c r="BB582" s="1566">
        <f t="shared" si="205"/>
        <v>0</v>
      </c>
      <c r="BC582" s="1566">
        <f t="shared" si="205"/>
        <v>0</v>
      </c>
      <c r="BD582" s="1566">
        <f t="shared" si="205"/>
        <v>0</v>
      </c>
      <c r="BE582" s="1567">
        <f t="shared" si="205"/>
        <v>0</v>
      </c>
      <c r="BF582" s="695"/>
    </row>
    <row r="583" spans="1:58" x14ac:dyDescent="0.45">
      <c r="A583" s="695"/>
      <c r="B583" s="918"/>
      <c r="C583" s="919"/>
      <c r="D583" s="919"/>
      <c r="E583" s="919"/>
      <c r="F583" s="919"/>
      <c r="G583" s="1566"/>
      <c r="H583" s="1566"/>
      <c r="I583" s="1566"/>
      <c r="J583" s="1566"/>
      <c r="K583" s="1566"/>
      <c r="L583" s="1566"/>
      <c r="M583" s="1566"/>
      <c r="N583" s="1566"/>
      <c r="O583" s="1566"/>
      <c r="P583" s="1566"/>
      <c r="Q583" s="1566"/>
      <c r="R583" s="1566"/>
      <c r="S583" s="1566"/>
      <c r="T583" s="1566"/>
      <c r="U583" s="1566"/>
      <c r="V583" s="1566"/>
      <c r="W583" s="1566"/>
      <c r="X583" s="1566"/>
      <c r="Y583" s="1566"/>
      <c r="Z583" s="1566"/>
      <c r="AA583" s="1566"/>
      <c r="AB583" s="1566"/>
      <c r="AC583" s="1566"/>
      <c r="AD583" s="1566"/>
      <c r="AE583" s="1566"/>
      <c r="AF583" s="1566"/>
      <c r="AG583" s="1566"/>
      <c r="AH583" s="1566"/>
      <c r="AI583" s="1566"/>
      <c r="AJ583" s="1566"/>
      <c r="AK583" s="1566"/>
      <c r="AL583" s="1566"/>
      <c r="AM583" s="1566"/>
      <c r="AN583" s="1566"/>
      <c r="AO583" s="1566"/>
      <c r="AP583" s="1566"/>
      <c r="AQ583" s="1566"/>
      <c r="AR583" s="1566"/>
      <c r="AS583" s="1566"/>
      <c r="AT583" s="1566"/>
      <c r="AU583" s="1566"/>
      <c r="AV583" s="1566"/>
      <c r="AW583" s="1566"/>
      <c r="AX583" s="1566"/>
      <c r="AY583" s="1566"/>
      <c r="AZ583" s="1566"/>
      <c r="BA583" s="1566"/>
      <c r="BB583" s="1566"/>
      <c r="BC583" s="1566"/>
      <c r="BD583" s="1566"/>
      <c r="BE583" s="1567"/>
      <c r="BF583" s="695"/>
    </row>
    <row r="584" spans="1:58" x14ac:dyDescent="0.45">
      <c r="A584" s="695"/>
      <c r="B584" s="918"/>
      <c r="C584" s="1040" t="s">
        <v>64</v>
      </c>
      <c r="D584" s="919"/>
      <c r="E584" s="919"/>
      <c r="F584" s="919"/>
      <c r="G584" s="1566"/>
      <c r="H584" s="1566"/>
      <c r="I584" s="1566"/>
      <c r="J584" s="1566"/>
      <c r="K584" s="1566"/>
      <c r="L584" s="1566"/>
      <c r="M584" s="1566"/>
      <c r="N584" s="1566"/>
      <c r="O584" s="1566"/>
      <c r="P584" s="1566"/>
      <c r="Q584" s="1566"/>
      <c r="R584" s="1566"/>
      <c r="S584" s="1566"/>
      <c r="T584" s="1566"/>
      <c r="U584" s="1566"/>
      <c r="V584" s="1566"/>
      <c r="W584" s="1566"/>
      <c r="X584" s="1566"/>
      <c r="Y584" s="1566"/>
      <c r="Z584" s="1566"/>
      <c r="AA584" s="1566"/>
      <c r="AB584" s="1566"/>
      <c r="AC584" s="1566"/>
      <c r="AD584" s="1566"/>
      <c r="AE584" s="1566"/>
      <c r="AF584" s="1566"/>
      <c r="AG584" s="1566"/>
      <c r="AH584" s="1566"/>
      <c r="AI584" s="1566"/>
      <c r="AJ584" s="1566"/>
      <c r="AK584" s="1566"/>
      <c r="AL584" s="1566"/>
      <c r="AM584" s="1566"/>
      <c r="AN584" s="1566"/>
      <c r="AO584" s="1566"/>
      <c r="AP584" s="1566"/>
      <c r="AQ584" s="1566"/>
      <c r="AR584" s="1566"/>
      <c r="AS584" s="1566"/>
      <c r="AT584" s="1566"/>
      <c r="AU584" s="1566"/>
      <c r="AV584" s="1566"/>
      <c r="AW584" s="1566"/>
      <c r="AX584" s="1566"/>
      <c r="AY584" s="1566"/>
      <c r="AZ584" s="1566"/>
      <c r="BA584" s="1566"/>
      <c r="BB584" s="1566"/>
      <c r="BC584" s="1566"/>
      <c r="BD584" s="1566"/>
      <c r="BE584" s="1567"/>
      <c r="BF584" s="695"/>
    </row>
    <row r="585" spans="1:58" x14ac:dyDescent="0.45">
      <c r="A585" s="695"/>
      <c r="B585" s="918"/>
      <c r="C585" s="919" t="s">
        <v>205</v>
      </c>
      <c r="D585" s="919"/>
      <c r="E585" s="919"/>
      <c r="F585" s="919"/>
      <c r="G585" s="1566"/>
      <c r="H585" s="1566">
        <f>IF($G569&gt;0, $G569*'II. Inputs, Baseline Energy Mix'!$Q$57/10000,0)</f>
        <v>0</v>
      </c>
      <c r="I585" s="1566">
        <v>0</v>
      </c>
      <c r="J585" s="1566">
        <v>0</v>
      </c>
      <c r="K585" s="1566">
        <v>0</v>
      </c>
      <c r="L585" s="1566">
        <v>0</v>
      </c>
      <c r="M585" s="1566">
        <v>0</v>
      </c>
      <c r="N585" s="1566">
        <v>0</v>
      </c>
      <c r="O585" s="1566">
        <v>0</v>
      </c>
      <c r="P585" s="1566">
        <v>0</v>
      </c>
      <c r="Q585" s="1566">
        <v>0</v>
      </c>
      <c r="R585" s="1566">
        <v>0</v>
      </c>
      <c r="S585" s="1566">
        <v>0</v>
      </c>
      <c r="T585" s="1566">
        <v>0</v>
      </c>
      <c r="U585" s="1566">
        <v>0</v>
      </c>
      <c r="V585" s="1566">
        <v>0</v>
      </c>
      <c r="W585" s="1566">
        <v>0</v>
      </c>
      <c r="X585" s="1566">
        <v>0</v>
      </c>
      <c r="Y585" s="1566">
        <v>0</v>
      </c>
      <c r="Z585" s="1566">
        <v>0</v>
      </c>
      <c r="AA585" s="1566">
        <v>0</v>
      </c>
      <c r="AB585" s="1566">
        <v>0</v>
      </c>
      <c r="AC585" s="1566">
        <v>0</v>
      </c>
      <c r="AD585" s="1566">
        <v>0</v>
      </c>
      <c r="AE585" s="1566">
        <v>0</v>
      </c>
      <c r="AF585" s="1566">
        <v>0</v>
      </c>
      <c r="AG585" s="1566">
        <v>0</v>
      </c>
      <c r="AH585" s="1566">
        <v>0</v>
      </c>
      <c r="AI585" s="1566">
        <v>0</v>
      </c>
      <c r="AJ585" s="1566">
        <v>0</v>
      </c>
      <c r="AK585" s="1566">
        <v>0</v>
      </c>
      <c r="AL585" s="1566">
        <v>0</v>
      </c>
      <c r="AM585" s="1566">
        <v>0</v>
      </c>
      <c r="AN585" s="1566">
        <v>0</v>
      </c>
      <c r="AO585" s="1566">
        <v>0</v>
      </c>
      <c r="AP585" s="1566">
        <v>0</v>
      </c>
      <c r="AQ585" s="1566">
        <v>0</v>
      </c>
      <c r="AR585" s="1566">
        <v>0</v>
      </c>
      <c r="AS585" s="1566">
        <v>0</v>
      </c>
      <c r="AT585" s="1566">
        <v>0</v>
      </c>
      <c r="AU585" s="1566">
        <v>0</v>
      </c>
      <c r="AV585" s="1566">
        <v>0</v>
      </c>
      <c r="AW585" s="1566">
        <v>0</v>
      </c>
      <c r="AX585" s="1566">
        <v>0</v>
      </c>
      <c r="AY585" s="1566">
        <v>0</v>
      </c>
      <c r="AZ585" s="1566">
        <v>0</v>
      </c>
      <c r="BA585" s="1566">
        <v>0</v>
      </c>
      <c r="BB585" s="1566">
        <v>0</v>
      </c>
      <c r="BC585" s="1566">
        <v>0</v>
      </c>
      <c r="BD585" s="1566">
        <v>0</v>
      </c>
      <c r="BE585" s="1567">
        <v>0</v>
      </c>
      <c r="BF585" s="695"/>
    </row>
    <row r="586" spans="1:58" x14ac:dyDescent="0.45">
      <c r="A586" s="695"/>
      <c r="B586" s="918"/>
      <c r="C586" s="919"/>
      <c r="D586" s="919"/>
      <c r="E586" s="919"/>
      <c r="F586" s="919"/>
      <c r="G586" s="919"/>
      <c r="H586" s="919"/>
      <c r="I586" s="919"/>
      <c r="J586" s="919"/>
      <c r="K586" s="919"/>
      <c r="L586" s="919"/>
      <c r="M586" s="919"/>
      <c r="N586" s="919"/>
      <c r="O586" s="919"/>
      <c r="P586" s="919"/>
      <c r="Q586" s="919"/>
      <c r="R586" s="919"/>
      <c r="S586" s="919"/>
      <c r="T586" s="919"/>
      <c r="U586" s="919"/>
      <c r="V586" s="919"/>
      <c r="W586" s="919"/>
      <c r="X586" s="919"/>
      <c r="Y586" s="919"/>
      <c r="Z586" s="919"/>
      <c r="AA586" s="919"/>
      <c r="AB586" s="919"/>
      <c r="AC586" s="919"/>
      <c r="AD586" s="919"/>
      <c r="AE586" s="919"/>
      <c r="AF586" s="919"/>
      <c r="AG586" s="919"/>
      <c r="AH586" s="919"/>
      <c r="AI586" s="919"/>
      <c r="AJ586" s="919"/>
      <c r="AK586" s="919"/>
      <c r="AL586" s="919"/>
      <c r="AM586" s="919"/>
      <c r="AN586" s="919"/>
      <c r="AO586" s="919"/>
      <c r="AP586" s="919"/>
      <c r="AQ586" s="919"/>
      <c r="AR586" s="919"/>
      <c r="AS586" s="919"/>
      <c r="AT586" s="919"/>
      <c r="AU586" s="919"/>
      <c r="AV586" s="919"/>
      <c r="AW586" s="919"/>
      <c r="AX586" s="919"/>
      <c r="AY586" s="919"/>
      <c r="AZ586" s="919"/>
      <c r="BA586" s="919"/>
      <c r="BB586" s="919"/>
      <c r="BC586" s="919"/>
      <c r="BD586" s="919"/>
      <c r="BE586" s="920"/>
      <c r="BF586" s="695"/>
    </row>
    <row r="587" spans="1:58" x14ac:dyDescent="0.45">
      <c r="A587" s="695"/>
      <c r="B587" s="918"/>
      <c r="C587" s="919"/>
      <c r="D587" s="919"/>
      <c r="E587" s="919"/>
      <c r="F587" s="919"/>
      <c r="G587" s="919"/>
      <c r="H587" s="919"/>
      <c r="I587" s="919"/>
      <c r="J587" s="919"/>
      <c r="K587" s="919"/>
      <c r="L587" s="919"/>
      <c r="M587" s="919"/>
      <c r="N587" s="919"/>
      <c r="O587" s="919"/>
      <c r="P587" s="919"/>
      <c r="Q587" s="919"/>
      <c r="R587" s="919"/>
      <c r="S587" s="919"/>
      <c r="T587" s="919"/>
      <c r="U587" s="919"/>
      <c r="V587" s="919"/>
      <c r="W587" s="919"/>
      <c r="X587" s="919"/>
      <c r="Y587" s="919"/>
      <c r="Z587" s="919"/>
      <c r="AA587" s="919"/>
      <c r="AB587" s="919"/>
      <c r="AC587" s="919"/>
      <c r="AD587" s="919"/>
      <c r="AE587" s="919"/>
      <c r="AF587" s="919"/>
      <c r="AG587" s="919"/>
      <c r="AH587" s="919"/>
      <c r="AI587" s="919"/>
      <c r="AJ587" s="919"/>
      <c r="AK587" s="919"/>
      <c r="AL587" s="919"/>
      <c r="AM587" s="919"/>
      <c r="AN587" s="919"/>
      <c r="AO587" s="919"/>
      <c r="AP587" s="919"/>
      <c r="AQ587" s="919"/>
      <c r="AR587" s="919"/>
      <c r="AS587" s="919"/>
      <c r="AT587" s="919"/>
      <c r="AU587" s="919"/>
      <c r="AV587" s="919"/>
      <c r="AW587" s="919"/>
      <c r="AX587" s="919"/>
      <c r="AY587" s="919"/>
      <c r="AZ587" s="919"/>
      <c r="BA587" s="919"/>
      <c r="BB587" s="919"/>
      <c r="BC587" s="919"/>
      <c r="BD587" s="919"/>
      <c r="BE587" s="920"/>
      <c r="BF587" s="695"/>
    </row>
    <row r="588" spans="1:58" ht="13.15" x14ac:dyDescent="0.45">
      <c r="A588" s="695"/>
      <c r="B588" s="931" t="s">
        <v>79</v>
      </c>
      <c r="C588" s="919"/>
      <c r="D588" s="919"/>
      <c r="E588" s="919"/>
      <c r="F588" s="919"/>
      <c r="G588" s="919"/>
      <c r="H588" s="919"/>
      <c r="I588" s="919"/>
      <c r="J588" s="919"/>
      <c r="K588" s="919"/>
      <c r="L588" s="919"/>
      <c r="M588" s="919"/>
      <c r="N588" s="919"/>
      <c r="O588" s="919"/>
      <c r="P588" s="919"/>
      <c r="Q588" s="919"/>
      <c r="R588" s="919"/>
      <c r="S588" s="919"/>
      <c r="T588" s="919"/>
      <c r="U588" s="919"/>
      <c r="V588" s="919"/>
      <c r="W588" s="919"/>
      <c r="X588" s="919"/>
      <c r="Y588" s="919"/>
      <c r="Z588" s="919"/>
      <c r="AA588" s="919"/>
      <c r="AB588" s="919"/>
      <c r="AC588" s="919"/>
      <c r="AD588" s="919"/>
      <c r="AE588" s="919"/>
      <c r="AF588" s="919"/>
      <c r="AG588" s="919"/>
      <c r="AH588" s="919"/>
      <c r="AI588" s="919"/>
      <c r="AJ588" s="919"/>
      <c r="AK588" s="919"/>
      <c r="AL588" s="919"/>
      <c r="AM588" s="919"/>
      <c r="AN588" s="919"/>
      <c r="AO588" s="919"/>
      <c r="AP588" s="919"/>
      <c r="AQ588" s="919"/>
      <c r="AR588" s="919"/>
      <c r="AS588" s="919"/>
      <c r="AT588" s="919"/>
      <c r="AU588" s="919"/>
      <c r="AV588" s="919"/>
      <c r="AW588" s="919"/>
      <c r="AX588" s="919"/>
      <c r="AY588" s="919"/>
      <c r="AZ588" s="919"/>
      <c r="BA588" s="919"/>
      <c r="BB588" s="919"/>
      <c r="BC588" s="919"/>
      <c r="BD588" s="919"/>
      <c r="BE588" s="920"/>
      <c r="BF588" s="695"/>
    </row>
    <row r="589" spans="1:58" x14ac:dyDescent="0.45">
      <c r="A589" s="695"/>
      <c r="B589" s="918"/>
      <c r="C589" s="1037" t="s">
        <v>77</v>
      </c>
      <c r="D589" s="919"/>
      <c r="E589" s="919"/>
      <c r="F589" s="919"/>
      <c r="G589" s="1566">
        <f>IF('II. Inputs, Baseline Energy Mix'!$Q$19&gt;0, ('II. Inputs, Baseline Energy Mix'!$Q$20*'II. Inputs, Baseline Energy Mix'!$Q$21*'II. Inputs, Baseline Energy Mix'!$Q$35*'II. Inputs, Baseline Energy Mix'!$Q$88),0)</f>
        <v>0</v>
      </c>
      <c r="H589" s="919"/>
      <c r="I589" s="919"/>
      <c r="J589" s="919"/>
      <c r="K589" s="919"/>
      <c r="L589" s="919"/>
      <c r="M589" s="919"/>
      <c r="N589" s="919"/>
      <c r="O589" s="919"/>
      <c r="P589" s="919"/>
      <c r="Q589" s="919"/>
      <c r="R589" s="919"/>
      <c r="S589" s="919"/>
      <c r="T589" s="919"/>
      <c r="U589" s="919"/>
      <c r="V589" s="919"/>
      <c r="W589" s="919"/>
      <c r="X589" s="919"/>
      <c r="Y589" s="919"/>
      <c r="Z589" s="919"/>
      <c r="AA589" s="919"/>
      <c r="AB589" s="919"/>
      <c r="AC589" s="919"/>
      <c r="AD589" s="919"/>
      <c r="AE589" s="919"/>
      <c r="AF589" s="919"/>
      <c r="AG589" s="919"/>
      <c r="AH589" s="919"/>
      <c r="AI589" s="919"/>
      <c r="AJ589" s="919"/>
      <c r="AK589" s="919"/>
      <c r="AL589" s="919"/>
      <c r="AM589" s="919"/>
      <c r="AN589" s="919"/>
      <c r="AO589" s="919"/>
      <c r="AP589" s="919"/>
      <c r="AQ589" s="919"/>
      <c r="AR589" s="919"/>
      <c r="AS589" s="919"/>
      <c r="AT589" s="919"/>
      <c r="AU589" s="919"/>
      <c r="AV589" s="919"/>
      <c r="AW589" s="919"/>
      <c r="AX589" s="919"/>
      <c r="AY589" s="919"/>
      <c r="AZ589" s="919"/>
      <c r="BA589" s="919"/>
      <c r="BB589" s="919"/>
      <c r="BC589" s="919"/>
      <c r="BD589" s="919"/>
      <c r="BE589" s="920"/>
      <c r="BF589" s="695"/>
    </row>
    <row r="590" spans="1:58" x14ac:dyDescent="0.45">
      <c r="A590" s="695"/>
      <c r="B590" s="918"/>
      <c r="C590" s="1037" t="str">
        <f>'II. Inputs, Baseline Energy Mix'!$E$89</f>
        <v xml:space="preserve">Term of Political Risk Insurance </v>
      </c>
      <c r="D590" s="919"/>
      <c r="E590" s="919"/>
      <c r="F590" s="919"/>
      <c r="G590" s="921">
        <f>'II. Inputs, Baseline Energy Mix'!$Q$89</f>
        <v>0</v>
      </c>
      <c r="H590" s="919"/>
      <c r="I590" s="919"/>
      <c r="J590" s="919"/>
      <c r="K590" s="919"/>
      <c r="L590" s="919"/>
      <c r="M590" s="919"/>
      <c r="N590" s="919"/>
      <c r="O590" s="919"/>
      <c r="P590" s="919"/>
      <c r="Q590" s="919"/>
      <c r="R590" s="919"/>
      <c r="S590" s="919"/>
      <c r="T590" s="919"/>
      <c r="U590" s="919"/>
      <c r="V590" s="919"/>
      <c r="W590" s="919"/>
      <c r="X590" s="919"/>
      <c r="Y590" s="919"/>
      <c r="Z590" s="919"/>
      <c r="AA590" s="919"/>
      <c r="AB590" s="919"/>
      <c r="AC590" s="919"/>
      <c r="AD590" s="919"/>
      <c r="AE590" s="919"/>
      <c r="AF590" s="919"/>
      <c r="AG590" s="919"/>
      <c r="AH590" s="919"/>
      <c r="AI590" s="919"/>
      <c r="AJ590" s="919"/>
      <c r="AK590" s="919"/>
      <c r="AL590" s="919"/>
      <c r="AM590" s="919"/>
      <c r="AN590" s="919"/>
      <c r="AO590" s="919"/>
      <c r="AP590" s="919"/>
      <c r="AQ590" s="919"/>
      <c r="AR590" s="919"/>
      <c r="AS590" s="919"/>
      <c r="AT590" s="919"/>
      <c r="AU590" s="919"/>
      <c r="AV590" s="919"/>
      <c r="AW590" s="919"/>
      <c r="AX590" s="919"/>
      <c r="AY590" s="919"/>
      <c r="AZ590" s="919"/>
      <c r="BA590" s="919"/>
      <c r="BB590" s="919"/>
      <c r="BC590" s="919"/>
      <c r="BD590" s="919"/>
      <c r="BE590" s="920"/>
      <c r="BF590" s="695"/>
    </row>
    <row r="591" spans="1:58" x14ac:dyDescent="0.45">
      <c r="A591" s="695"/>
      <c r="B591" s="918"/>
      <c r="C591" s="1037" t="str">
        <f>'II. Inputs, Baseline Energy Mix'!$E$90</f>
        <v xml:space="preserve">Front-end Fee </v>
      </c>
      <c r="D591" s="919"/>
      <c r="E591" s="919"/>
      <c r="F591" s="919"/>
      <c r="G591" s="1042">
        <f>'II. Inputs, Baseline Energy Mix'!$Q$90</f>
        <v>0</v>
      </c>
      <c r="H591" s="919"/>
      <c r="I591" s="919"/>
      <c r="J591" s="919"/>
      <c r="K591" s="919"/>
      <c r="L591" s="919"/>
      <c r="M591" s="919"/>
      <c r="N591" s="919"/>
      <c r="O591" s="919"/>
      <c r="P591" s="919"/>
      <c r="Q591" s="919"/>
      <c r="R591" s="919"/>
      <c r="S591" s="919"/>
      <c r="T591" s="919"/>
      <c r="U591" s="919"/>
      <c r="V591" s="919"/>
      <c r="W591" s="919"/>
      <c r="X591" s="919"/>
      <c r="Y591" s="919"/>
      <c r="Z591" s="919"/>
      <c r="AA591" s="919"/>
      <c r="AB591" s="919"/>
      <c r="AC591" s="919"/>
      <c r="AD591" s="919"/>
      <c r="AE591" s="919"/>
      <c r="AF591" s="919"/>
      <c r="AG591" s="919"/>
      <c r="AH591" s="919"/>
      <c r="AI591" s="919"/>
      <c r="AJ591" s="919"/>
      <c r="AK591" s="919"/>
      <c r="AL591" s="919"/>
      <c r="AM591" s="919"/>
      <c r="AN591" s="919"/>
      <c r="AO591" s="919"/>
      <c r="AP591" s="919"/>
      <c r="AQ591" s="919"/>
      <c r="AR591" s="919"/>
      <c r="AS591" s="919"/>
      <c r="AT591" s="919"/>
      <c r="AU591" s="919"/>
      <c r="AV591" s="919"/>
      <c r="AW591" s="919"/>
      <c r="AX591" s="919"/>
      <c r="AY591" s="919"/>
      <c r="AZ591" s="919"/>
      <c r="BA591" s="919"/>
      <c r="BB591" s="919"/>
      <c r="BC591" s="919"/>
      <c r="BD591" s="919"/>
      <c r="BE591" s="920"/>
      <c r="BF591" s="695"/>
    </row>
    <row r="592" spans="1:58" x14ac:dyDescent="0.45">
      <c r="A592" s="695"/>
      <c r="B592" s="918"/>
      <c r="C592" s="1037" t="str">
        <f>'II. Inputs, Baseline Energy Mix'!$E$91</f>
        <v xml:space="preserve">Annual Political Risk Insurance Premium </v>
      </c>
      <c r="D592" s="919"/>
      <c r="E592" s="919"/>
      <c r="F592" s="919"/>
      <c r="G592" s="1042">
        <f>'II. Inputs, Baseline Energy Mix'!$Q$91</f>
        <v>0</v>
      </c>
      <c r="H592" s="919"/>
      <c r="I592" s="919"/>
      <c r="J592" s="919"/>
      <c r="K592" s="919"/>
      <c r="L592" s="919"/>
      <c r="M592" s="919"/>
      <c r="N592" s="919"/>
      <c r="O592" s="919"/>
      <c r="P592" s="919"/>
      <c r="Q592" s="919"/>
      <c r="R592" s="919"/>
      <c r="S592" s="919"/>
      <c r="T592" s="919"/>
      <c r="U592" s="919"/>
      <c r="V592" s="919"/>
      <c r="W592" s="919"/>
      <c r="X592" s="919"/>
      <c r="Y592" s="919"/>
      <c r="Z592" s="919"/>
      <c r="AA592" s="919"/>
      <c r="AB592" s="919"/>
      <c r="AC592" s="919"/>
      <c r="AD592" s="919"/>
      <c r="AE592" s="919"/>
      <c r="AF592" s="919"/>
      <c r="AG592" s="919"/>
      <c r="AH592" s="919"/>
      <c r="AI592" s="919"/>
      <c r="AJ592" s="919"/>
      <c r="AK592" s="919"/>
      <c r="AL592" s="919"/>
      <c r="AM592" s="919"/>
      <c r="AN592" s="919"/>
      <c r="AO592" s="919"/>
      <c r="AP592" s="919"/>
      <c r="AQ592" s="919"/>
      <c r="AR592" s="919"/>
      <c r="AS592" s="919"/>
      <c r="AT592" s="919"/>
      <c r="AU592" s="919"/>
      <c r="AV592" s="919"/>
      <c r="AW592" s="919"/>
      <c r="AX592" s="919"/>
      <c r="AY592" s="919"/>
      <c r="AZ592" s="919"/>
      <c r="BA592" s="919"/>
      <c r="BB592" s="919"/>
      <c r="BC592" s="919"/>
      <c r="BD592" s="919"/>
      <c r="BE592" s="920"/>
      <c r="BF592" s="695"/>
    </row>
    <row r="593" spans="1:58" x14ac:dyDescent="0.45">
      <c r="A593" s="695"/>
      <c r="B593" s="918"/>
      <c r="C593" s="919"/>
      <c r="D593" s="919"/>
      <c r="E593" s="919"/>
      <c r="F593" s="919"/>
      <c r="G593" s="919"/>
      <c r="H593" s="919"/>
      <c r="I593" s="919"/>
      <c r="J593" s="919"/>
      <c r="K593" s="919"/>
      <c r="L593" s="919"/>
      <c r="M593" s="919"/>
      <c r="N593" s="919"/>
      <c r="O593" s="919"/>
      <c r="P593" s="919"/>
      <c r="Q593" s="919"/>
      <c r="R593" s="919"/>
      <c r="S593" s="919"/>
      <c r="T593" s="919"/>
      <c r="U593" s="919"/>
      <c r="V593" s="919"/>
      <c r="W593" s="919"/>
      <c r="X593" s="919"/>
      <c r="Y593" s="919"/>
      <c r="Z593" s="919"/>
      <c r="AA593" s="919"/>
      <c r="AB593" s="919"/>
      <c r="AC593" s="919"/>
      <c r="AD593" s="919"/>
      <c r="AE593" s="919"/>
      <c r="AF593" s="919"/>
      <c r="AG593" s="919"/>
      <c r="AH593" s="919"/>
      <c r="AI593" s="919"/>
      <c r="AJ593" s="919"/>
      <c r="AK593" s="919"/>
      <c r="AL593" s="919"/>
      <c r="AM593" s="919"/>
      <c r="AN593" s="919"/>
      <c r="AO593" s="919"/>
      <c r="AP593" s="919"/>
      <c r="AQ593" s="919"/>
      <c r="AR593" s="919"/>
      <c r="AS593" s="919"/>
      <c r="AT593" s="919"/>
      <c r="AU593" s="919"/>
      <c r="AV593" s="919"/>
      <c r="AW593" s="919"/>
      <c r="AX593" s="919"/>
      <c r="AY593" s="919"/>
      <c r="AZ593" s="919"/>
      <c r="BA593" s="919"/>
      <c r="BB593" s="919"/>
      <c r="BC593" s="919"/>
      <c r="BD593" s="919"/>
      <c r="BE593" s="920"/>
      <c r="BF593" s="695"/>
    </row>
    <row r="594" spans="1:58" x14ac:dyDescent="0.45">
      <c r="A594" s="695"/>
      <c r="B594" s="918"/>
      <c r="C594" s="1040" t="s">
        <v>64</v>
      </c>
      <c r="D594" s="919"/>
      <c r="E594" s="919"/>
      <c r="F594" s="919"/>
      <c r="G594" s="919"/>
      <c r="H594" s="919"/>
      <c r="I594" s="919"/>
      <c r="J594" s="919"/>
      <c r="K594" s="919"/>
      <c r="L594" s="919"/>
      <c r="M594" s="919"/>
      <c r="N594" s="919"/>
      <c r="O594" s="919"/>
      <c r="P594" s="919"/>
      <c r="Q594" s="919"/>
      <c r="R594" s="919"/>
      <c r="S594" s="919"/>
      <c r="T594" s="919"/>
      <c r="U594" s="919"/>
      <c r="V594" s="919"/>
      <c r="W594" s="919"/>
      <c r="X594" s="919"/>
      <c r="Y594" s="919"/>
      <c r="Z594" s="919"/>
      <c r="AA594" s="919"/>
      <c r="AB594" s="919"/>
      <c r="AC594" s="919"/>
      <c r="AD594" s="919"/>
      <c r="AE594" s="919"/>
      <c r="AF594" s="919"/>
      <c r="AG594" s="919"/>
      <c r="AH594" s="919"/>
      <c r="AI594" s="919"/>
      <c r="AJ594" s="919"/>
      <c r="AK594" s="919"/>
      <c r="AL594" s="919"/>
      <c r="AM594" s="919"/>
      <c r="AN594" s="919"/>
      <c r="AO594" s="919"/>
      <c r="AP594" s="919"/>
      <c r="AQ594" s="919"/>
      <c r="AR594" s="919"/>
      <c r="AS594" s="919"/>
      <c r="AT594" s="919"/>
      <c r="AU594" s="919"/>
      <c r="AV594" s="919"/>
      <c r="AW594" s="919"/>
      <c r="AX594" s="919"/>
      <c r="AY594" s="919"/>
      <c r="AZ594" s="919"/>
      <c r="BA594" s="919"/>
      <c r="BB594" s="919"/>
      <c r="BC594" s="919"/>
      <c r="BD594" s="919"/>
      <c r="BE594" s="920"/>
      <c r="BF594" s="695"/>
    </row>
    <row r="595" spans="1:58" x14ac:dyDescent="0.45">
      <c r="A595" s="695"/>
      <c r="B595" s="918"/>
      <c r="C595" s="919" t="str">
        <f>'II. Inputs, Baseline Energy Mix'!$E$90</f>
        <v xml:space="preserve">Front-end Fee </v>
      </c>
      <c r="D595" s="919"/>
      <c r="E595" s="919"/>
      <c r="F595" s="919"/>
      <c r="G595" s="919"/>
      <c r="H595" s="1566">
        <f>IF(G589&gt;0, G589*G591/10000, 0)</f>
        <v>0</v>
      </c>
      <c r="I595" s="1566">
        <v>0</v>
      </c>
      <c r="J595" s="1566">
        <v>0</v>
      </c>
      <c r="K595" s="1566">
        <v>0</v>
      </c>
      <c r="L595" s="1566">
        <v>0</v>
      </c>
      <c r="M595" s="1566">
        <v>0</v>
      </c>
      <c r="N595" s="1566">
        <v>0</v>
      </c>
      <c r="O595" s="1566">
        <v>0</v>
      </c>
      <c r="P595" s="1566">
        <v>0</v>
      </c>
      <c r="Q595" s="1566">
        <v>0</v>
      </c>
      <c r="R595" s="1566">
        <v>0</v>
      </c>
      <c r="S595" s="1566">
        <v>0</v>
      </c>
      <c r="T595" s="1566">
        <v>0</v>
      </c>
      <c r="U595" s="1566">
        <v>0</v>
      </c>
      <c r="V595" s="1566">
        <v>0</v>
      </c>
      <c r="W595" s="1566">
        <v>0</v>
      </c>
      <c r="X595" s="1566">
        <v>0</v>
      </c>
      <c r="Y595" s="1566">
        <v>0</v>
      </c>
      <c r="Z595" s="1566">
        <v>0</v>
      </c>
      <c r="AA595" s="1566">
        <v>0</v>
      </c>
      <c r="AB595" s="1566">
        <v>0</v>
      </c>
      <c r="AC595" s="1566">
        <v>0</v>
      </c>
      <c r="AD595" s="1566">
        <v>0</v>
      </c>
      <c r="AE595" s="1566">
        <v>0</v>
      </c>
      <c r="AF595" s="1566">
        <v>0</v>
      </c>
      <c r="AG595" s="1566">
        <v>0</v>
      </c>
      <c r="AH595" s="1566">
        <v>0</v>
      </c>
      <c r="AI595" s="1566">
        <v>0</v>
      </c>
      <c r="AJ595" s="1566">
        <v>0</v>
      </c>
      <c r="AK595" s="1566">
        <v>0</v>
      </c>
      <c r="AL595" s="1566">
        <v>0</v>
      </c>
      <c r="AM595" s="1566">
        <v>0</v>
      </c>
      <c r="AN595" s="1566">
        <v>0</v>
      </c>
      <c r="AO595" s="1566">
        <v>0</v>
      </c>
      <c r="AP595" s="1566">
        <v>0</v>
      </c>
      <c r="AQ595" s="1566">
        <v>0</v>
      </c>
      <c r="AR595" s="1566">
        <v>0</v>
      </c>
      <c r="AS595" s="1566">
        <v>0</v>
      </c>
      <c r="AT595" s="1566">
        <v>0</v>
      </c>
      <c r="AU595" s="1566">
        <v>0</v>
      </c>
      <c r="AV595" s="1566">
        <v>0</v>
      </c>
      <c r="AW595" s="1566">
        <v>0</v>
      </c>
      <c r="AX595" s="1566">
        <v>0</v>
      </c>
      <c r="AY595" s="1566">
        <v>0</v>
      </c>
      <c r="AZ595" s="1566">
        <v>0</v>
      </c>
      <c r="BA595" s="1566">
        <v>0</v>
      </c>
      <c r="BB595" s="1566">
        <v>0</v>
      </c>
      <c r="BC595" s="1566">
        <v>0</v>
      </c>
      <c r="BD595" s="1566">
        <v>0</v>
      </c>
      <c r="BE595" s="1567">
        <v>0</v>
      </c>
      <c r="BF595" s="695"/>
    </row>
    <row r="596" spans="1:58" x14ac:dyDescent="0.45">
      <c r="A596" s="695"/>
      <c r="B596" s="918"/>
      <c r="C596" s="926" t="str">
        <f>'II. Inputs, Baseline Energy Mix'!$E$91</f>
        <v xml:space="preserve">Annual Political Risk Insurance Premium </v>
      </c>
      <c r="D596" s="926"/>
      <c r="E596" s="926"/>
      <c r="F596" s="926"/>
      <c r="G596" s="926"/>
      <c r="H596" s="1568">
        <f>IF(H$292&gt;$G590,0,($G589*$G592/10000))</f>
        <v>0</v>
      </c>
      <c r="I596" s="1568">
        <f>IF(I$292&gt;$G590,0,($G589*$G592/10000))</f>
        <v>0</v>
      </c>
      <c r="J596" s="1568">
        <f t="shared" ref="J596:BE596" si="206">IF(J$292&gt;$G590,0,($G589*$G592/10000))</f>
        <v>0</v>
      </c>
      <c r="K596" s="1568">
        <f t="shared" si="206"/>
        <v>0</v>
      </c>
      <c r="L596" s="1568">
        <f t="shared" si="206"/>
        <v>0</v>
      </c>
      <c r="M596" s="1568">
        <f t="shared" si="206"/>
        <v>0</v>
      </c>
      <c r="N596" s="1568">
        <f t="shared" si="206"/>
        <v>0</v>
      </c>
      <c r="O596" s="1568">
        <f t="shared" si="206"/>
        <v>0</v>
      </c>
      <c r="P596" s="1568">
        <f t="shared" si="206"/>
        <v>0</v>
      </c>
      <c r="Q596" s="1568">
        <f t="shared" si="206"/>
        <v>0</v>
      </c>
      <c r="R596" s="1568">
        <f t="shared" si="206"/>
        <v>0</v>
      </c>
      <c r="S596" s="1568">
        <f t="shared" si="206"/>
        <v>0</v>
      </c>
      <c r="T596" s="1568">
        <f t="shared" si="206"/>
        <v>0</v>
      </c>
      <c r="U596" s="1568">
        <f t="shared" si="206"/>
        <v>0</v>
      </c>
      <c r="V596" s="1568">
        <f t="shared" si="206"/>
        <v>0</v>
      </c>
      <c r="W596" s="1568">
        <f t="shared" si="206"/>
        <v>0</v>
      </c>
      <c r="X596" s="1568">
        <f t="shared" si="206"/>
        <v>0</v>
      </c>
      <c r="Y596" s="1568">
        <f t="shared" si="206"/>
        <v>0</v>
      </c>
      <c r="Z596" s="1568">
        <f t="shared" si="206"/>
        <v>0</v>
      </c>
      <c r="AA596" s="1568">
        <f t="shared" si="206"/>
        <v>0</v>
      </c>
      <c r="AB596" s="1568">
        <f t="shared" si="206"/>
        <v>0</v>
      </c>
      <c r="AC596" s="1568">
        <f t="shared" si="206"/>
        <v>0</v>
      </c>
      <c r="AD596" s="1568">
        <f t="shared" si="206"/>
        <v>0</v>
      </c>
      <c r="AE596" s="1568">
        <f t="shared" si="206"/>
        <v>0</v>
      </c>
      <c r="AF596" s="1568">
        <f t="shared" si="206"/>
        <v>0</v>
      </c>
      <c r="AG596" s="1568">
        <f t="shared" si="206"/>
        <v>0</v>
      </c>
      <c r="AH596" s="1568">
        <f t="shared" si="206"/>
        <v>0</v>
      </c>
      <c r="AI596" s="1568">
        <f t="shared" si="206"/>
        <v>0</v>
      </c>
      <c r="AJ596" s="1568">
        <f t="shared" si="206"/>
        <v>0</v>
      </c>
      <c r="AK596" s="1568">
        <f t="shared" si="206"/>
        <v>0</v>
      </c>
      <c r="AL596" s="1568">
        <f t="shared" si="206"/>
        <v>0</v>
      </c>
      <c r="AM596" s="1568">
        <f t="shared" si="206"/>
        <v>0</v>
      </c>
      <c r="AN596" s="1568">
        <f t="shared" si="206"/>
        <v>0</v>
      </c>
      <c r="AO596" s="1568">
        <f t="shared" si="206"/>
        <v>0</v>
      </c>
      <c r="AP596" s="1568">
        <f t="shared" si="206"/>
        <v>0</v>
      </c>
      <c r="AQ596" s="1568">
        <f t="shared" si="206"/>
        <v>0</v>
      </c>
      <c r="AR596" s="1568">
        <f t="shared" si="206"/>
        <v>0</v>
      </c>
      <c r="AS596" s="1568">
        <f t="shared" si="206"/>
        <v>0</v>
      </c>
      <c r="AT596" s="1568">
        <f t="shared" si="206"/>
        <v>0</v>
      </c>
      <c r="AU596" s="1568">
        <f t="shared" si="206"/>
        <v>0</v>
      </c>
      <c r="AV596" s="1568">
        <f t="shared" si="206"/>
        <v>0</v>
      </c>
      <c r="AW596" s="1568">
        <f t="shared" si="206"/>
        <v>0</v>
      </c>
      <c r="AX596" s="1568">
        <f t="shared" si="206"/>
        <v>0</v>
      </c>
      <c r="AY596" s="1568">
        <f t="shared" si="206"/>
        <v>0</v>
      </c>
      <c r="AZ596" s="1568">
        <f t="shared" si="206"/>
        <v>0</v>
      </c>
      <c r="BA596" s="1568">
        <f t="shared" si="206"/>
        <v>0</v>
      </c>
      <c r="BB596" s="1568">
        <f t="shared" si="206"/>
        <v>0</v>
      </c>
      <c r="BC596" s="1568">
        <f t="shared" si="206"/>
        <v>0</v>
      </c>
      <c r="BD596" s="1568">
        <f t="shared" si="206"/>
        <v>0</v>
      </c>
      <c r="BE596" s="1569">
        <f t="shared" si="206"/>
        <v>0</v>
      </c>
      <c r="BF596" s="695"/>
    </row>
    <row r="597" spans="1:58" x14ac:dyDescent="0.45">
      <c r="A597" s="695"/>
      <c r="B597" s="918"/>
      <c r="C597" s="919" t="s">
        <v>78</v>
      </c>
      <c r="D597" s="919"/>
      <c r="E597" s="919"/>
      <c r="F597" s="919"/>
      <c r="G597" s="919"/>
      <c r="H597" s="1566">
        <f>H595+H596</f>
        <v>0</v>
      </c>
      <c r="I597" s="1566">
        <f t="shared" ref="I597:BE597" si="207">I595+I596</f>
        <v>0</v>
      </c>
      <c r="J597" s="1566">
        <f t="shared" si="207"/>
        <v>0</v>
      </c>
      <c r="K597" s="1566">
        <f t="shared" si="207"/>
        <v>0</v>
      </c>
      <c r="L597" s="1566">
        <f t="shared" si="207"/>
        <v>0</v>
      </c>
      <c r="M597" s="1566">
        <f t="shared" si="207"/>
        <v>0</v>
      </c>
      <c r="N597" s="1566">
        <f t="shared" si="207"/>
        <v>0</v>
      </c>
      <c r="O597" s="1566">
        <f t="shared" si="207"/>
        <v>0</v>
      </c>
      <c r="P597" s="1566">
        <f t="shared" si="207"/>
        <v>0</v>
      </c>
      <c r="Q597" s="1566">
        <f t="shared" si="207"/>
        <v>0</v>
      </c>
      <c r="R597" s="1566">
        <f t="shared" si="207"/>
        <v>0</v>
      </c>
      <c r="S597" s="1566">
        <f t="shared" si="207"/>
        <v>0</v>
      </c>
      <c r="T597" s="1566">
        <f t="shared" si="207"/>
        <v>0</v>
      </c>
      <c r="U597" s="1566">
        <f t="shared" si="207"/>
        <v>0</v>
      </c>
      <c r="V597" s="1566">
        <f t="shared" si="207"/>
        <v>0</v>
      </c>
      <c r="W597" s="1566">
        <f t="shared" si="207"/>
        <v>0</v>
      </c>
      <c r="X597" s="1566">
        <f t="shared" si="207"/>
        <v>0</v>
      </c>
      <c r="Y597" s="1566">
        <f t="shared" si="207"/>
        <v>0</v>
      </c>
      <c r="Z597" s="1566">
        <f t="shared" si="207"/>
        <v>0</v>
      </c>
      <c r="AA597" s="1566">
        <f t="shared" si="207"/>
        <v>0</v>
      </c>
      <c r="AB597" s="1566">
        <f t="shared" si="207"/>
        <v>0</v>
      </c>
      <c r="AC597" s="1566">
        <f t="shared" si="207"/>
        <v>0</v>
      </c>
      <c r="AD597" s="1566">
        <f t="shared" si="207"/>
        <v>0</v>
      </c>
      <c r="AE597" s="1566">
        <f t="shared" si="207"/>
        <v>0</v>
      </c>
      <c r="AF597" s="1566">
        <f t="shared" si="207"/>
        <v>0</v>
      </c>
      <c r="AG597" s="1566">
        <f t="shared" si="207"/>
        <v>0</v>
      </c>
      <c r="AH597" s="1566">
        <f t="shared" si="207"/>
        <v>0</v>
      </c>
      <c r="AI597" s="1566">
        <f t="shared" si="207"/>
        <v>0</v>
      </c>
      <c r="AJ597" s="1566">
        <f t="shared" si="207"/>
        <v>0</v>
      </c>
      <c r="AK597" s="1566">
        <f t="shared" si="207"/>
        <v>0</v>
      </c>
      <c r="AL597" s="1566">
        <f t="shared" si="207"/>
        <v>0</v>
      </c>
      <c r="AM597" s="1566">
        <f t="shared" si="207"/>
        <v>0</v>
      </c>
      <c r="AN597" s="1566">
        <f t="shared" si="207"/>
        <v>0</v>
      </c>
      <c r="AO597" s="1566">
        <f t="shared" si="207"/>
        <v>0</v>
      </c>
      <c r="AP597" s="1566">
        <f t="shared" si="207"/>
        <v>0</v>
      </c>
      <c r="AQ597" s="1566">
        <f t="shared" si="207"/>
        <v>0</v>
      </c>
      <c r="AR597" s="1566">
        <f t="shared" si="207"/>
        <v>0</v>
      </c>
      <c r="AS597" s="1566">
        <f t="shared" si="207"/>
        <v>0</v>
      </c>
      <c r="AT597" s="1566">
        <f t="shared" si="207"/>
        <v>0</v>
      </c>
      <c r="AU597" s="1566">
        <f t="shared" si="207"/>
        <v>0</v>
      </c>
      <c r="AV597" s="1566">
        <f t="shared" si="207"/>
        <v>0</v>
      </c>
      <c r="AW597" s="1566">
        <f t="shared" si="207"/>
        <v>0</v>
      </c>
      <c r="AX597" s="1566">
        <f t="shared" si="207"/>
        <v>0</v>
      </c>
      <c r="AY597" s="1566">
        <f t="shared" si="207"/>
        <v>0</v>
      </c>
      <c r="AZ597" s="1566">
        <f t="shared" si="207"/>
        <v>0</v>
      </c>
      <c r="BA597" s="1566">
        <f t="shared" si="207"/>
        <v>0</v>
      </c>
      <c r="BB597" s="1566">
        <f t="shared" si="207"/>
        <v>0</v>
      </c>
      <c r="BC597" s="1566">
        <f t="shared" si="207"/>
        <v>0</v>
      </c>
      <c r="BD597" s="1566">
        <f t="shared" si="207"/>
        <v>0</v>
      </c>
      <c r="BE597" s="1567">
        <f t="shared" si="207"/>
        <v>0</v>
      </c>
      <c r="BF597" s="695"/>
    </row>
    <row r="598" spans="1:58" ht="13.15" thickBot="1" x14ac:dyDescent="0.5">
      <c r="A598" s="695"/>
      <c r="B598" s="1043"/>
      <c r="C598" s="941"/>
      <c r="D598" s="941"/>
      <c r="E598" s="941"/>
      <c r="F598" s="941"/>
      <c r="G598" s="941"/>
      <c r="H598" s="1571"/>
      <c r="I598" s="1571"/>
      <c r="J598" s="1571"/>
      <c r="K598" s="1571"/>
      <c r="L598" s="1571"/>
      <c r="M598" s="1571"/>
      <c r="N598" s="1571"/>
      <c r="O598" s="1571"/>
      <c r="P598" s="1571"/>
      <c r="Q598" s="1571"/>
      <c r="R598" s="1571"/>
      <c r="S598" s="1571"/>
      <c r="T598" s="1571"/>
      <c r="U598" s="1571"/>
      <c r="V598" s="1571"/>
      <c r="W598" s="1571"/>
      <c r="X598" s="1571"/>
      <c r="Y598" s="1571"/>
      <c r="Z598" s="1571"/>
      <c r="AA598" s="1571"/>
      <c r="AB598" s="1571"/>
      <c r="AC598" s="1571"/>
      <c r="AD598" s="1571"/>
      <c r="AE598" s="1571"/>
      <c r="AF598" s="1571"/>
      <c r="AG598" s="1571"/>
      <c r="AH598" s="1571"/>
      <c r="AI598" s="1571"/>
      <c r="AJ598" s="1571"/>
      <c r="AK598" s="1571"/>
      <c r="AL598" s="1571"/>
      <c r="AM598" s="1571"/>
      <c r="AN598" s="1571"/>
      <c r="AO598" s="1571"/>
      <c r="AP598" s="1571"/>
      <c r="AQ598" s="1571"/>
      <c r="AR598" s="1571"/>
      <c r="AS598" s="1571"/>
      <c r="AT598" s="1571"/>
      <c r="AU598" s="1571"/>
      <c r="AV598" s="1571"/>
      <c r="AW598" s="1571"/>
      <c r="AX598" s="1571"/>
      <c r="AY598" s="1571"/>
      <c r="AZ598" s="1571"/>
      <c r="BA598" s="1571"/>
      <c r="BB598" s="1571"/>
      <c r="BC598" s="1571"/>
      <c r="BD598" s="1571"/>
      <c r="BE598" s="1599"/>
      <c r="BF598" s="695"/>
    </row>
    <row r="599" spans="1:58" x14ac:dyDescent="0.45">
      <c r="A599" s="695"/>
      <c r="B599" s="695"/>
      <c r="C599" s="695"/>
      <c r="D599" s="695"/>
      <c r="E599" s="695"/>
      <c r="F599" s="695"/>
      <c r="G599" s="695"/>
      <c r="H599" s="1548"/>
      <c r="I599" s="1548"/>
      <c r="J599" s="1548"/>
      <c r="K599" s="1548"/>
      <c r="L599" s="1548"/>
      <c r="M599" s="1548"/>
      <c r="N599" s="1548"/>
      <c r="O599" s="1548"/>
      <c r="P599" s="1548"/>
      <c r="Q599" s="1548"/>
      <c r="R599" s="1548"/>
      <c r="S599" s="1548"/>
      <c r="T599" s="1548"/>
      <c r="U599" s="1548"/>
      <c r="V599" s="1548"/>
      <c r="W599" s="1548"/>
      <c r="X599" s="1548"/>
      <c r="Y599" s="1548"/>
      <c r="Z599" s="1548"/>
      <c r="AA599" s="1548"/>
      <c r="AB599" s="1548"/>
      <c r="AC599" s="1548"/>
      <c r="AD599" s="1548"/>
      <c r="AE599" s="1548"/>
      <c r="AF599" s="1548"/>
      <c r="AG599" s="1548"/>
      <c r="AH599" s="1548"/>
      <c r="AI599" s="1548"/>
      <c r="AJ599" s="1548"/>
      <c r="AK599" s="1548"/>
      <c r="AL599" s="1548"/>
      <c r="AM599" s="1548"/>
      <c r="AN599" s="1548"/>
      <c r="AO599" s="1548"/>
      <c r="AP599" s="1548"/>
      <c r="AQ599" s="1548"/>
      <c r="AR599" s="1548"/>
      <c r="AS599" s="1548"/>
      <c r="AT599" s="1548"/>
      <c r="AU599" s="1548"/>
      <c r="AV599" s="1548"/>
      <c r="AW599" s="1548"/>
      <c r="AX599" s="1548"/>
      <c r="AY599" s="1548"/>
      <c r="AZ599" s="1548"/>
      <c r="BA599" s="1548"/>
      <c r="BB599" s="1548"/>
      <c r="BC599" s="1548"/>
      <c r="BD599" s="1548"/>
      <c r="BE599" s="1548"/>
      <c r="BF599" s="695"/>
    </row>
    <row r="600" spans="1:58" s="479" customFormat="1" ht="13.15" x14ac:dyDescent="0.45">
      <c r="A600" s="704"/>
      <c r="B600" s="1171" t="s">
        <v>51</v>
      </c>
      <c r="C600" s="1172"/>
      <c r="D600" s="1172"/>
      <c r="E600" s="1173"/>
      <c r="F600" s="1172"/>
      <c r="G600" s="1173">
        <v>0</v>
      </c>
      <c r="H600" s="1173">
        <v>1</v>
      </c>
      <c r="I600" s="1173">
        <v>2</v>
      </c>
      <c r="J600" s="1173">
        <v>3</v>
      </c>
      <c r="K600" s="1173">
        <v>4</v>
      </c>
      <c r="L600" s="1173">
        <v>5</v>
      </c>
      <c r="M600" s="1173">
        <v>6</v>
      </c>
      <c r="N600" s="1173">
        <v>7</v>
      </c>
      <c r="O600" s="1173">
        <v>8</v>
      </c>
      <c r="P600" s="1173">
        <v>9</v>
      </c>
      <c r="Q600" s="1173">
        <v>10</v>
      </c>
      <c r="R600" s="1173">
        <v>11</v>
      </c>
      <c r="S600" s="1173">
        <v>12</v>
      </c>
      <c r="T600" s="1173">
        <v>13</v>
      </c>
      <c r="U600" s="1173">
        <v>14</v>
      </c>
      <c r="V600" s="1173">
        <v>15</v>
      </c>
      <c r="W600" s="1173">
        <v>16</v>
      </c>
      <c r="X600" s="1173">
        <v>17</v>
      </c>
      <c r="Y600" s="1173">
        <v>18</v>
      </c>
      <c r="Z600" s="1173">
        <v>19</v>
      </c>
      <c r="AA600" s="1173">
        <v>20</v>
      </c>
      <c r="AB600" s="1173">
        <v>21</v>
      </c>
      <c r="AC600" s="1173">
        <v>22</v>
      </c>
      <c r="AD600" s="1173">
        <v>23</v>
      </c>
      <c r="AE600" s="1173">
        <v>24</v>
      </c>
      <c r="AF600" s="1173">
        <v>25</v>
      </c>
      <c r="AG600" s="1173">
        <v>26</v>
      </c>
      <c r="AH600" s="1173">
        <v>27</v>
      </c>
      <c r="AI600" s="1173">
        <v>28</v>
      </c>
      <c r="AJ600" s="1173">
        <v>29</v>
      </c>
      <c r="AK600" s="1173">
        <v>30</v>
      </c>
      <c r="AL600" s="1173">
        <v>31</v>
      </c>
      <c r="AM600" s="1173">
        <v>32</v>
      </c>
      <c r="AN600" s="1173">
        <v>33</v>
      </c>
      <c r="AO600" s="1173">
        <v>34</v>
      </c>
      <c r="AP600" s="1173">
        <v>35</v>
      </c>
      <c r="AQ600" s="1173">
        <v>36</v>
      </c>
      <c r="AR600" s="1173">
        <v>37</v>
      </c>
      <c r="AS600" s="1173">
        <v>38</v>
      </c>
      <c r="AT600" s="1173">
        <v>39</v>
      </c>
      <c r="AU600" s="1173">
        <v>40</v>
      </c>
      <c r="AV600" s="1173">
        <v>41</v>
      </c>
      <c r="AW600" s="1173">
        <v>42</v>
      </c>
      <c r="AX600" s="1173">
        <v>43</v>
      </c>
      <c r="AY600" s="1173">
        <v>44</v>
      </c>
      <c r="AZ600" s="1173">
        <v>45</v>
      </c>
      <c r="BA600" s="1173">
        <v>46</v>
      </c>
      <c r="BB600" s="1173">
        <v>47</v>
      </c>
      <c r="BC600" s="1173">
        <v>48</v>
      </c>
      <c r="BD600" s="1173">
        <v>49</v>
      </c>
      <c r="BE600" s="1173">
        <v>50</v>
      </c>
      <c r="BF600" s="704"/>
    </row>
    <row r="601" spans="1:58" s="479" customFormat="1" ht="13.5" thickBot="1" x14ac:dyDescent="0.5">
      <c r="A601" s="704"/>
      <c r="B601" s="1176"/>
      <c r="C601" s="696"/>
      <c r="D601" s="696"/>
      <c r="E601" s="697"/>
      <c r="F601" s="696"/>
      <c r="G601" s="697"/>
      <c r="H601" s="697"/>
      <c r="I601" s="697"/>
      <c r="J601" s="697"/>
      <c r="K601" s="697"/>
      <c r="L601" s="697"/>
      <c r="M601" s="697"/>
      <c r="N601" s="697"/>
      <c r="O601" s="697"/>
      <c r="P601" s="697"/>
      <c r="Q601" s="697"/>
      <c r="R601" s="697"/>
      <c r="S601" s="697"/>
      <c r="T601" s="697"/>
      <c r="U601" s="697"/>
      <c r="V601" s="697"/>
      <c r="W601" s="697"/>
      <c r="X601" s="697"/>
      <c r="Y601" s="697"/>
      <c r="Z601" s="697"/>
      <c r="AA601" s="697"/>
      <c r="AB601" s="697"/>
      <c r="AC601" s="697"/>
      <c r="AD601" s="697"/>
      <c r="AE601" s="697"/>
      <c r="AF601" s="697"/>
      <c r="AG601" s="697"/>
      <c r="AH601" s="697"/>
      <c r="AI601" s="697"/>
      <c r="AJ601" s="697"/>
      <c r="AK601" s="697"/>
      <c r="AL601" s="697"/>
      <c r="AM601" s="697"/>
      <c r="AN601" s="697"/>
      <c r="AO601" s="697"/>
      <c r="AP601" s="697"/>
      <c r="AQ601" s="697"/>
      <c r="AR601" s="697"/>
      <c r="AS601" s="697"/>
      <c r="AT601" s="697"/>
      <c r="AU601" s="697"/>
      <c r="AV601" s="697"/>
      <c r="AW601" s="697"/>
      <c r="AX601" s="697"/>
      <c r="AY601" s="697"/>
      <c r="AZ601" s="697"/>
      <c r="BA601" s="697"/>
      <c r="BB601" s="697"/>
      <c r="BC601" s="697"/>
      <c r="BD601" s="697"/>
      <c r="BE601" s="697"/>
      <c r="BF601" s="704"/>
    </row>
    <row r="602" spans="1:58" s="479" customFormat="1" ht="13.15" x14ac:dyDescent="0.45">
      <c r="A602" s="704"/>
      <c r="B602" s="943" t="str">
        <f>B199</f>
        <v>Technology #5</v>
      </c>
      <c r="C602" s="944"/>
      <c r="D602" s="944"/>
      <c r="E602" s="944"/>
      <c r="F602" s="944"/>
      <c r="G602" s="944"/>
      <c r="H602" s="944"/>
      <c r="I602" s="944"/>
      <c r="J602" s="944"/>
      <c r="K602" s="944"/>
      <c r="L602" s="944"/>
      <c r="M602" s="944"/>
      <c r="N602" s="944"/>
      <c r="O602" s="944"/>
      <c r="P602" s="944"/>
      <c r="Q602" s="944"/>
      <c r="R602" s="944"/>
      <c r="S602" s="944"/>
      <c r="T602" s="944"/>
      <c r="U602" s="944"/>
      <c r="V602" s="944"/>
      <c r="W602" s="944"/>
      <c r="X602" s="944"/>
      <c r="Y602" s="944"/>
      <c r="Z602" s="944"/>
      <c r="AA602" s="944"/>
      <c r="AB602" s="944"/>
      <c r="AC602" s="944"/>
      <c r="AD602" s="944"/>
      <c r="AE602" s="944"/>
      <c r="AF602" s="944"/>
      <c r="AG602" s="944"/>
      <c r="AH602" s="944"/>
      <c r="AI602" s="944"/>
      <c r="AJ602" s="944"/>
      <c r="AK602" s="944"/>
      <c r="AL602" s="944"/>
      <c r="AM602" s="944"/>
      <c r="AN602" s="944"/>
      <c r="AO602" s="944"/>
      <c r="AP602" s="944"/>
      <c r="AQ602" s="944"/>
      <c r="AR602" s="944"/>
      <c r="AS602" s="944"/>
      <c r="AT602" s="944"/>
      <c r="AU602" s="944"/>
      <c r="AV602" s="944"/>
      <c r="AW602" s="944"/>
      <c r="AX602" s="944"/>
      <c r="AY602" s="944"/>
      <c r="AZ602" s="944"/>
      <c r="BA602" s="944"/>
      <c r="BB602" s="944"/>
      <c r="BC602" s="944"/>
      <c r="BD602" s="944"/>
      <c r="BE602" s="945"/>
      <c r="BF602" s="704"/>
    </row>
    <row r="603" spans="1:58" x14ac:dyDescent="0.45">
      <c r="A603" s="695"/>
      <c r="B603" s="946"/>
      <c r="C603" s="947"/>
      <c r="D603" s="947"/>
      <c r="E603" s="947"/>
      <c r="F603" s="947"/>
      <c r="G603" s="947"/>
      <c r="H603" s="947"/>
      <c r="I603" s="947"/>
      <c r="J603" s="947"/>
      <c r="K603" s="947"/>
      <c r="L603" s="947"/>
      <c r="M603" s="947"/>
      <c r="N603" s="947"/>
      <c r="O603" s="947"/>
      <c r="P603" s="947"/>
      <c r="Q603" s="947"/>
      <c r="R603" s="947"/>
      <c r="S603" s="947"/>
      <c r="T603" s="947"/>
      <c r="U603" s="947"/>
      <c r="V603" s="947"/>
      <c r="W603" s="947"/>
      <c r="X603" s="947"/>
      <c r="Y603" s="947"/>
      <c r="Z603" s="947"/>
      <c r="AA603" s="947"/>
      <c r="AB603" s="947"/>
      <c r="AC603" s="947"/>
      <c r="AD603" s="947"/>
      <c r="AE603" s="947"/>
      <c r="AF603" s="947"/>
      <c r="AG603" s="947"/>
      <c r="AH603" s="947"/>
      <c r="AI603" s="947"/>
      <c r="AJ603" s="947"/>
      <c r="AK603" s="947"/>
      <c r="AL603" s="947"/>
      <c r="AM603" s="947"/>
      <c r="AN603" s="947"/>
      <c r="AO603" s="947"/>
      <c r="AP603" s="947"/>
      <c r="AQ603" s="947"/>
      <c r="AR603" s="947"/>
      <c r="AS603" s="947"/>
      <c r="AT603" s="947"/>
      <c r="AU603" s="947"/>
      <c r="AV603" s="947"/>
      <c r="AW603" s="947"/>
      <c r="AX603" s="947"/>
      <c r="AY603" s="947"/>
      <c r="AZ603" s="947"/>
      <c r="BA603" s="947"/>
      <c r="BB603" s="947"/>
      <c r="BC603" s="947"/>
      <c r="BD603" s="947"/>
      <c r="BE603" s="948"/>
      <c r="BF603" s="695"/>
    </row>
    <row r="604" spans="1:58" ht="13.15" x14ac:dyDescent="0.45">
      <c r="A604" s="695"/>
      <c r="B604" s="959" t="s">
        <v>220</v>
      </c>
      <c r="C604" s="947"/>
      <c r="D604" s="947"/>
      <c r="E604" s="947"/>
      <c r="F604" s="947"/>
      <c r="G604" s="947"/>
      <c r="H604" s="947"/>
      <c r="I604" s="947"/>
      <c r="J604" s="947"/>
      <c r="K604" s="947"/>
      <c r="L604" s="947"/>
      <c r="M604" s="947"/>
      <c r="N604" s="947"/>
      <c r="O604" s="947"/>
      <c r="P604" s="947"/>
      <c r="Q604" s="947"/>
      <c r="R604" s="947"/>
      <c r="S604" s="947"/>
      <c r="T604" s="947"/>
      <c r="U604" s="947"/>
      <c r="V604" s="947"/>
      <c r="W604" s="947"/>
      <c r="X604" s="947"/>
      <c r="Y604" s="947"/>
      <c r="Z604" s="947"/>
      <c r="AA604" s="947"/>
      <c r="AB604" s="947"/>
      <c r="AC604" s="947"/>
      <c r="AD604" s="947"/>
      <c r="AE604" s="947"/>
      <c r="AF604" s="947"/>
      <c r="AG604" s="947"/>
      <c r="AH604" s="947"/>
      <c r="AI604" s="947"/>
      <c r="AJ604" s="947"/>
      <c r="AK604" s="947"/>
      <c r="AL604" s="947"/>
      <c r="AM604" s="947"/>
      <c r="AN604" s="947"/>
      <c r="AO604" s="947"/>
      <c r="AP604" s="947"/>
      <c r="AQ604" s="947"/>
      <c r="AR604" s="947"/>
      <c r="AS604" s="947"/>
      <c r="AT604" s="947"/>
      <c r="AU604" s="947"/>
      <c r="AV604" s="947"/>
      <c r="AW604" s="947"/>
      <c r="AX604" s="947"/>
      <c r="AY604" s="947"/>
      <c r="AZ604" s="947"/>
      <c r="BA604" s="947"/>
      <c r="BB604" s="947"/>
      <c r="BC604" s="947"/>
      <c r="BD604" s="947"/>
      <c r="BE604" s="948"/>
      <c r="BF604" s="695"/>
    </row>
    <row r="605" spans="1:58" x14ac:dyDescent="0.45">
      <c r="A605" s="695"/>
      <c r="B605" s="946"/>
      <c r="C605" s="1044" t="s">
        <v>61</v>
      </c>
      <c r="D605" s="950" t="s">
        <v>748</v>
      </c>
      <c r="E605" s="947"/>
      <c r="F605" s="947"/>
      <c r="G605" s="1574">
        <f>IF('II. Inputs, Baseline Energy Mix'!$R$19&gt;0,('II. Inputs, Baseline Energy Mix'!$R$20*'II. Inputs, Baseline Energy Mix'!$R$21*'II. Inputs, Baseline Energy Mix'!$R$36*'II. Inputs, Baseline Energy Mix'!$R$38),0)</f>
        <v>0</v>
      </c>
      <c r="H605" s="947"/>
      <c r="I605" s="947"/>
      <c r="J605" s="947"/>
      <c r="K605" s="947"/>
      <c r="L605" s="947"/>
      <c r="M605" s="947"/>
      <c r="N605" s="947"/>
      <c r="O605" s="947"/>
      <c r="P605" s="947"/>
      <c r="Q605" s="947"/>
      <c r="R605" s="947"/>
      <c r="S605" s="947"/>
      <c r="T605" s="947"/>
      <c r="U605" s="947"/>
      <c r="V605" s="947"/>
      <c r="W605" s="947"/>
      <c r="X605" s="947"/>
      <c r="Y605" s="947"/>
      <c r="Z605" s="947"/>
      <c r="AA605" s="947"/>
      <c r="AB605" s="947"/>
      <c r="AC605" s="947"/>
      <c r="AD605" s="947"/>
      <c r="AE605" s="947"/>
      <c r="AF605" s="947"/>
      <c r="AG605" s="947"/>
      <c r="AH605" s="947"/>
      <c r="AI605" s="947"/>
      <c r="AJ605" s="947"/>
      <c r="AK605" s="947"/>
      <c r="AL605" s="947"/>
      <c r="AM605" s="947"/>
      <c r="AN605" s="947"/>
      <c r="AO605" s="947"/>
      <c r="AP605" s="947"/>
      <c r="AQ605" s="947"/>
      <c r="AR605" s="947"/>
      <c r="AS605" s="947"/>
      <c r="AT605" s="947"/>
      <c r="AU605" s="947"/>
      <c r="AV605" s="947"/>
      <c r="AW605" s="947"/>
      <c r="AX605" s="947"/>
      <c r="AY605" s="947"/>
      <c r="AZ605" s="947"/>
      <c r="BA605" s="947"/>
      <c r="BB605" s="947"/>
      <c r="BC605" s="947"/>
      <c r="BD605" s="947"/>
      <c r="BE605" s="948"/>
      <c r="BF605" s="695"/>
    </row>
    <row r="606" spans="1:58" x14ac:dyDescent="0.45">
      <c r="A606" s="695"/>
      <c r="B606" s="946"/>
      <c r="C606" s="1044" t="s">
        <v>62</v>
      </c>
      <c r="D606" s="950" t="s">
        <v>18</v>
      </c>
      <c r="E606" s="947"/>
      <c r="F606" s="947"/>
      <c r="G606" s="949">
        <f>SUM('II. Inputs, Baseline Energy Mix'!$R$77)</f>
        <v>0</v>
      </c>
      <c r="H606" s="947"/>
      <c r="I606" s="947"/>
      <c r="J606" s="947"/>
      <c r="K606" s="947"/>
      <c r="L606" s="947"/>
      <c r="M606" s="947"/>
      <c r="N606" s="947"/>
      <c r="O606" s="947"/>
      <c r="P606" s="947"/>
      <c r="Q606" s="947"/>
      <c r="R606" s="947"/>
      <c r="S606" s="947"/>
      <c r="T606" s="947"/>
      <c r="U606" s="947"/>
      <c r="V606" s="947"/>
      <c r="W606" s="947"/>
      <c r="X606" s="947"/>
      <c r="Y606" s="947"/>
      <c r="Z606" s="947"/>
      <c r="AA606" s="947"/>
      <c r="AB606" s="947"/>
      <c r="AC606" s="947"/>
      <c r="AD606" s="947"/>
      <c r="AE606" s="947"/>
      <c r="AF606" s="947"/>
      <c r="AG606" s="947"/>
      <c r="AH606" s="947"/>
      <c r="AI606" s="947"/>
      <c r="AJ606" s="947"/>
      <c r="AK606" s="947"/>
      <c r="AL606" s="947"/>
      <c r="AM606" s="947"/>
      <c r="AN606" s="947"/>
      <c r="AO606" s="947"/>
      <c r="AP606" s="947"/>
      <c r="AQ606" s="947"/>
      <c r="AR606" s="947"/>
      <c r="AS606" s="947"/>
      <c r="AT606" s="947"/>
      <c r="AU606" s="947"/>
      <c r="AV606" s="947"/>
      <c r="AW606" s="947"/>
      <c r="AX606" s="947"/>
      <c r="AY606" s="947"/>
      <c r="AZ606" s="947"/>
      <c r="BA606" s="947"/>
      <c r="BB606" s="947"/>
      <c r="BC606" s="947"/>
      <c r="BD606" s="947"/>
      <c r="BE606" s="948"/>
      <c r="BF606" s="695"/>
    </row>
    <row r="607" spans="1:58" x14ac:dyDescent="0.45">
      <c r="A607" s="695"/>
      <c r="B607" s="946"/>
      <c r="C607" s="1044" t="s">
        <v>63</v>
      </c>
      <c r="D607" s="950" t="s">
        <v>14</v>
      </c>
      <c r="E607" s="947"/>
      <c r="F607" s="947"/>
      <c r="G607" s="1045">
        <f>SUM('II. Inputs, Baseline Energy Mix'!$R$76)</f>
        <v>0</v>
      </c>
      <c r="H607" s="947"/>
      <c r="I607" s="947"/>
      <c r="J607" s="947"/>
      <c r="K607" s="947"/>
      <c r="L607" s="947"/>
      <c r="M607" s="947"/>
      <c r="N607" s="947"/>
      <c r="O607" s="947"/>
      <c r="P607" s="947"/>
      <c r="Q607" s="947"/>
      <c r="R607" s="947"/>
      <c r="S607" s="947"/>
      <c r="T607" s="947"/>
      <c r="U607" s="947"/>
      <c r="V607" s="947"/>
      <c r="W607" s="947"/>
      <c r="X607" s="947"/>
      <c r="Y607" s="947"/>
      <c r="Z607" s="947"/>
      <c r="AA607" s="947"/>
      <c r="AB607" s="947"/>
      <c r="AC607" s="947"/>
      <c r="AD607" s="947"/>
      <c r="AE607" s="947"/>
      <c r="AF607" s="947"/>
      <c r="AG607" s="947"/>
      <c r="AH607" s="947"/>
      <c r="AI607" s="947"/>
      <c r="AJ607" s="947"/>
      <c r="AK607" s="947"/>
      <c r="AL607" s="947"/>
      <c r="AM607" s="947"/>
      <c r="AN607" s="947"/>
      <c r="AO607" s="947"/>
      <c r="AP607" s="947"/>
      <c r="AQ607" s="947"/>
      <c r="AR607" s="947"/>
      <c r="AS607" s="947"/>
      <c r="AT607" s="947"/>
      <c r="AU607" s="947"/>
      <c r="AV607" s="947"/>
      <c r="AW607" s="947"/>
      <c r="AX607" s="947"/>
      <c r="AY607" s="947"/>
      <c r="AZ607" s="947"/>
      <c r="BA607" s="947"/>
      <c r="BB607" s="947"/>
      <c r="BC607" s="947"/>
      <c r="BD607" s="947"/>
      <c r="BE607" s="948"/>
      <c r="BF607" s="695"/>
    </row>
    <row r="608" spans="1:58" x14ac:dyDescent="0.45">
      <c r="A608" s="695"/>
      <c r="B608" s="946"/>
      <c r="C608" s="947"/>
      <c r="D608" s="947"/>
      <c r="E608" s="947"/>
      <c r="F608" s="947"/>
      <c r="G608" s="947"/>
      <c r="H608" s="947"/>
      <c r="I608" s="947"/>
      <c r="J608" s="947"/>
      <c r="K608" s="947"/>
      <c r="L608" s="947"/>
      <c r="M608" s="947"/>
      <c r="N608" s="947"/>
      <c r="O608" s="947"/>
      <c r="P608" s="947"/>
      <c r="Q608" s="947"/>
      <c r="R608" s="947"/>
      <c r="S608" s="947"/>
      <c r="T608" s="947"/>
      <c r="U608" s="947"/>
      <c r="V608" s="947"/>
      <c r="W608" s="947"/>
      <c r="X608" s="947"/>
      <c r="Y608" s="947"/>
      <c r="Z608" s="947"/>
      <c r="AA608" s="947"/>
      <c r="AB608" s="947"/>
      <c r="AC608" s="947"/>
      <c r="AD608" s="947"/>
      <c r="AE608" s="947"/>
      <c r="AF608" s="947"/>
      <c r="AG608" s="947"/>
      <c r="AH608" s="947"/>
      <c r="AI608" s="947"/>
      <c r="AJ608" s="947"/>
      <c r="AK608" s="947"/>
      <c r="AL608" s="947"/>
      <c r="AM608" s="947"/>
      <c r="AN608" s="947"/>
      <c r="AO608" s="947"/>
      <c r="AP608" s="947"/>
      <c r="AQ608" s="947"/>
      <c r="AR608" s="947"/>
      <c r="AS608" s="947"/>
      <c r="AT608" s="947"/>
      <c r="AU608" s="947"/>
      <c r="AV608" s="947"/>
      <c r="AW608" s="947"/>
      <c r="AX608" s="947"/>
      <c r="AY608" s="947"/>
      <c r="AZ608" s="947"/>
      <c r="BA608" s="947"/>
      <c r="BB608" s="947"/>
      <c r="BC608" s="947"/>
      <c r="BD608" s="947"/>
      <c r="BE608" s="948"/>
      <c r="BF608" s="695"/>
    </row>
    <row r="609" spans="1:58" x14ac:dyDescent="0.45">
      <c r="A609" s="695"/>
      <c r="B609" s="946"/>
      <c r="C609" s="1046" t="s">
        <v>60</v>
      </c>
      <c r="D609" s="947"/>
      <c r="E609" s="947"/>
      <c r="F609" s="947"/>
      <c r="G609" s="947"/>
      <c r="H609" s="947"/>
      <c r="I609" s="947"/>
      <c r="J609" s="947"/>
      <c r="K609" s="947"/>
      <c r="L609" s="947"/>
      <c r="M609" s="947"/>
      <c r="N609" s="947"/>
      <c r="O609" s="947"/>
      <c r="P609" s="947"/>
      <c r="Q609" s="947"/>
      <c r="R609" s="947"/>
      <c r="S609" s="947"/>
      <c r="T609" s="947"/>
      <c r="U609" s="947"/>
      <c r="V609" s="947"/>
      <c r="W609" s="947"/>
      <c r="X609" s="947"/>
      <c r="Y609" s="947"/>
      <c r="Z609" s="947"/>
      <c r="AA609" s="947"/>
      <c r="AB609" s="947"/>
      <c r="AC609" s="947"/>
      <c r="AD609" s="947"/>
      <c r="AE609" s="947"/>
      <c r="AF609" s="947"/>
      <c r="AG609" s="947"/>
      <c r="AH609" s="947"/>
      <c r="AI609" s="947"/>
      <c r="AJ609" s="947"/>
      <c r="AK609" s="947"/>
      <c r="AL609" s="947"/>
      <c r="AM609" s="947"/>
      <c r="AN609" s="947"/>
      <c r="AO609" s="947"/>
      <c r="AP609" s="947"/>
      <c r="AQ609" s="947"/>
      <c r="AR609" s="947"/>
      <c r="AS609" s="947"/>
      <c r="AT609" s="947"/>
      <c r="AU609" s="947"/>
      <c r="AV609" s="947"/>
      <c r="AW609" s="947"/>
      <c r="AX609" s="947"/>
      <c r="AY609" s="947"/>
      <c r="AZ609" s="947"/>
      <c r="BA609" s="947"/>
      <c r="BB609" s="947"/>
      <c r="BC609" s="947"/>
      <c r="BD609" s="947"/>
      <c r="BE609" s="948"/>
      <c r="BF609" s="695"/>
    </row>
    <row r="610" spans="1:58" x14ac:dyDescent="0.45">
      <c r="A610" s="695"/>
      <c r="B610" s="946"/>
      <c r="C610" s="947" t="s">
        <v>66</v>
      </c>
      <c r="D610" s="947"/>
      <c r="E610" s="947"/>
      <c r="F610" s="947"/>
      <c r="G610" s="1574"/>
      <c r="H610" s="1574">
        <f>IF(H$292&gt;$G606,0,IPMT($G607,H$292,$G606,-$G605))</f>
        <v>0</v>
      </c>
      <c r="I610" s="1574">
        <f>IF(I$292&gt;$G606,0,IPMT($G607,I$292,$G606,-$G605))</f>
        <v>0</v>
      </c>
      <c r="J610" s="1574">
        <f>IF(J$292&gt;$G606,0,IPMT($G607,J$292,$G606,-$G605))</f>
        <v>0</v>
      </c>
      <c r="K610" s="1574">
        <f>IF(K$292&gt;$G606,0,IPMT($G607,K$292,$G606,-$G605))</f>
        <v>0</v>
      </c>
      <c r="L610" s="1574">
        <f t="shared" ref="L610:BE610" si="208">IF(L$292&gt;$G606,0,IPMT($G607,L$292,$G606,-$G605))</f>
        <v>0</v>
      </c>
      <c r="M610" s="1574">
        <f t="shared" si="208"/>
        <v>0</v>
      </c>
      <c r="N610" s="1574">
        <f t="shared" si="208"/>
        <v>0</v>
      </c>
      <c r="O610" s="1574">
        <f t="shared" si="208"/>
        <v>0</v>
      </c>
      <c r="P610" s="1574">
        <f t="shared" si="208"/>
        <v>0</v>
      </c>
      <c r="Q610" s="1574">
        <f t="shared" si="208"/>
        <v>0</v>
      </c>
      <c r="R610" s="1574">
        <f t="shared" si="208"/>
        <v>0</v>
      </c>
      <c r="S610" s="1574">
        <f t="shared" si="208"/>
        <v>0</v>
      </c>
      <c r="T610" s="1574">
        <f t="shared" si="208"/>
        <v>0</v>
      </c>
      <c r="U610" s="1574">
        <f t="shared" si="208"/>
        <v>0</v>
      </c>
      <c r="V610" s="1574">
        <f t="shared" si="208"/>
        <v>0</v>
      </c>
      <c r="W610" s="1574">
        <f t="shared" si="208"/>
        <v>0</v>
      </c>
      <c r="X610" s="1574">
        <f t="shared" si="208"/>
        <v>0</v>
      </c>
      <c r="Y610" s="1574">
        <f t="shared" si="208"/>
        <v>0</v>
      </c>
      <c r="Z610" s="1574">
        <f t="shared" si="208"/>
        <v>0</v>
      </c>
      <c r="AA610" s="1574">
        <f t="shared" si="208"/>
        <v>0</v>
      </c>
      <c r="AB610" s="1574">
        <f t="shared" si="208"/>
        <v>0</v>
      </c>
      <c r="AC610" s="1574">
        <f t="shared" si="208"/>
        <v>0</v>
      </c>
      <c r="AD610" s="1574">
        <f t="shared" si="208"/>
        <v>0</v>
      </c>
      <c r="AE610" s="1574">
        <f t="shared" si="208"/>
        <v>0</v>
      </c>
      <c r="AF610" s="1574">
        <f t="shared" si="208"/>
        <v>0</v>
      </c>
      <c r="AG610" s="1574">
        <f t="shared" si="208"/>
        <v>0</v>
      </c>
      <c r="AH610" s="1574">
        <f t="shared" si="208"/>
        <v>0</v>
      </c>
      <c r="AI610" s="1574">
        <f t="shared" si="208"/>
        <v>0</v>
      </c>
      <c r="AJ610" s="1574">
        <f t="shared" si="208"/>
        <v>0</v>
      </c>
      <c r="AK610" s="1574">
        <f t="shared" si="208"/>
        <v>0</v>
      </c>
      <c r="AL610" s="1574">
        <f t="shared" si="208"/>
        <v>0</v>
      </c>
      <c r="AM610" s="1574">
        <f t="shared" si="208"/>
        <v>0</v>
      </c>
      <c r="AN610" s="1574">
        <f t="shared" si="208"/>
        <v>0</v>
      </c>
      <c r="AO610" s="1574">
        <f t="shared" si="208"/>
        <v>0</v>
      </c>
      <c r="AP610" s="1574">
        <f t="shared" si="208"/>
        <v>0</v>
      </c>
      <c r="AQ610" s="1574">
        <f t="shared" si="208"/>
        <v>0</v>
      </c>
      <c r="AR610" s="1574">
        <f t="shared" si="208"/>
        <v>0</v>
      </c>
      <c r="AS610" s="1574">
        <f t="shared" si="208"/>
        <v>0</v>
      </c>
      <c r="AT610" s="1574">
        <f t="shared" si="208"/>
        <v>0</v>
      </c>
      <c r="AU610" s="1574">
        <f t="shared" si="208"/>
        <v>0</v>
      </c>
      <c r="AV610" s="1574">
        <f t="shared" si="208"/>
        <v>0</v>
      </c>
      <c r="AW610" s="1574">
        <f t="shared" si="208"/>
        <v>0</v>
      </c>
      <c r="AX610" s="1574">
        <f t="shared" si="208"/>
        <v>0</v>
      </c>
      <c r="AY610" s="1574">
        <f t="shared" si="208"/>
        <v>0</v>
      </c>
      <c r="AZ610" s="1574">
        <f t="shared" si="208"/>
        <v>0</v>
      </c>
      <c r="BA610" s="1574">
        <f t="shared" si="208"/>
        <v>0</v>
      </c>
      <c r="BB610" s="1574">
        <f t="shared" si="208"/>
        <v>0</v>
      </c>
      <c r="BC610" s="1574">
        <f t="shared" si="208"/>
        <v>0</v>
      </c>
      <c r="BD610" s="1574">
        <f t="shared" si="208"/>
        <v>0</v>
      </c>
      <c r="BE610" s="1575">
        <f t="shared" si="208"/>
        <v>0</v>
      </c>
      <c r="BF610" s="695"/>
    </row>
    <row r="611" spans="1:58" x14ac:dyDescent="0.45">
      <c r="A611" s="695"/>
      <c r="B611" s="946"/>
      <c r="C611" s="954" t="s">
        <v>65</v>
      </c>
      <c r="D611" s="954"/>
      <c r="E611" s="954"/>
      <c r="F611" s="954"/>
      <c r="G611" s="1576"/>
      <c r="H611" s="1576">
        <f>IF(H$292&gt;$G606,0,PPMT($G607,H$292,$G606,-$G605))</f>
        <v>0</v>
      </c>
      <c r="I611" s="1576">
        <f>IF(I$292&gt;$G606,0,PPMT($G607,I$292,$G606,-$G605))</f>
        <v>0</v>
      </c>
      <c r="J611" s="1576">
        <f>IF(J$292&gt;$G606,0,PPMT($G607,J$292,$G606,-$G605))</f>
        <v>0</v>
      </c>
      <c r="K611" s="1576">
        <f>IF(K$292&gt;$G606,0,PPMT($G607,K$292,$G606,-$G605))</f>
        <v>0</v>
      </c>
      <c r="L611" s="1576">
        <f t="shared" ref="L611:BE611" si="209">IF(L$292&gt;$G606,0,PPMT($G607,L$292,$G606,-$G605))</f>
        <v>0</v>
      </c>
      <c r="M611" s="1576">
        <f t="shared" si="209"/>
        <v>0</v>
      </c>
      <c r="N611" s="1576">
        <f t="shared" si="209"/>
        <v>0</v>
      </c>
      <c r="O611" s="1576">
        <f t="shared" si="209"/>
        <v>0</v>
      </c>
      <c r="P611" s="1576">
        <f t="shared" si="209"/>
        <v>0</v>
      </c>
      <c r="Q611" s="1576">
        <f t="shared" si="209"/>
        <v>0</v>
      </c>
      <c r="R611" s="1576">
        <f t="shared" si="209"/>
        <v>0</v>
      </c>
      <c r="S611" s="1576">
        <f t="shared" si="209"/>
        <v>0</v>
      </c>
      <c r="T611" s="1576">
        <f t="shared" si="209"/>
        <v>0</v>
      </c>
      <c r="U611" s="1576">
        <f t="shared" si="209"/>
        <v>0</v>
      </c>
      <c r="V611" s="1576">
        <f t="shared" si="209"/>
        <v>0</v>
      </c>
      <c r="W611" s="1576">
        <f t="shared" si="209"/>
        <v>0</v>
      </c>
      <c r="X611" s="1576">
        <f t="shared" si="209"/>
        <v>0</v>
      </c>
      <c r="Y611" s="1576">
        <f t="shared" si="209"/>
        <v>0</v>
      </c>
      <c r="Z611" s="1576">
        <f t="shared" si="209"/>
        <v>0</v>
      </c>
      <c r="AA611" s="1576">
        <f t="shared" si="209"/>
        <v>0</v>
      </c>
      <c r="AB611" s="1576">
        <f t="shared" si="209"/>
        <v>0</v>
      </c>
      <c r="AC611" s="1576">
        <f t="shared" si="209"/>
        <v>0</v>
      </c>
      <c r="AD611" s="1576">
        <f t="shared" si="209"/>
        <v>0</v>
      </c>
      <c r="AE611" s="1576">
        <f t="shared" si="209"/>
        <v>0</v>
      </c>
      <c r="AF611" s="1576">
        <f t="shared" si="209"/>
        <v>0</v>
      </c>
      <c r="AG611" s="1576">
        <f t="shared" si="209"/>
        <v>0</v>
      </c>
      <c r="AH611" s="1576">
        <f t="shared" si="209"/>
        <v>0</v>
      </c>
      <c r="AI611" s="1576">
        <f t="shared" si="209"/>
        <v>0</v>
      </c>
      <c r="AJ611" s="1576">
        <f t="shared" si="209"/>
        <v>0</v>
      </c>
      <c r="AK611" s="1576">
        <f t="shared" si="209"/>
        <v>0</v>
      </c>
      <c r="AL611" s="1576">
        <f t="shared" si="209"/>
        <v>0</v>
      </c>
      <c r="AM611" s="1576">
        <f t="shared" si="209"/>
        <v>0</v>
      </c>
      <c r="AN611" s="1576">
        <f t="shared" si="209"/>
        <v>0</v>
      </c>
      <c r="AO611" s="1576">
        <f t="shared" si="209"/>
        <v>0</v>
      </c>
      <c r="AP611" s="1576">
        <f t="shared" si="209"/>
        <v>0</v>
      </c>
      <c r="AQ611" s="1576">
        <f t="shared" si="209"/>
        <v>0</v>
      </c>
      <c r="AR611" s="1576">
        <f t="shared" si="209"/>
        <v>0</v>
      </c>
      <c r="AS611" s="1576">
        <f t="shared" si="209"/>
        <v>0</v>
      </c>
      <c r="AT611" s="1576">
        <f t="shared" si="209"/>
        <v>0</v>
      </c>
      <c r="AU611" s="1576">
        <f t="shared" si="209"/>
        <v>0</v>
      </c>
      <c r="AV611" s="1576">
        <f t="shared" si="209"/>
        <v>0</v>
      </c>
      <c r="AW611" s="1576">
        <f t="shared" si="209"/>
        <v>0</v>
      </c>
      <c r="AX611" s="1576">
        <f t="shared" si="209"/>
        <v>0</v>
      </c>
      <c r="AY611" s="1576">
        <f t="shared" si="209"/>
        <v>0</v>
      </c>
      <c r="AZ611" s="1576">
        <f t="shared" si="209"/>
        <v>0</v>
      </c>
      <c r="BA611" s="1576">
        <f t="shared" si="209"/>
        <v>0</v>
      </c>
      <c r="BB611" s="1576">
        <f t="shared" si="209"/>
        <v>0</v>
      </c>
      <c r="BC611" s="1576">
        <f t="shared" si="209"/>
        <v>0</v>
      </c>
      <c r="BD611" s="1576">
        <f t="shared" si="209"/>
        <v>0</v>
      </c>
      <c r="BE611" s="1577">
        <f t="shared" si="209"/>
        <v>0</v>
      </c>
      <c r="BF611" s="695"/>
    </row>
    <row r="612" spans="1:58" x14ac:dyDescent="0.45">
      <c r="A612" s="695"/>
      <c r="B612" s="946"/>
      <c r="C612" s="947" t="s">
        <v>67</v>
      </c>
      <c r="D612" s="947"/>
      <c r="E612" s="947"/>
      <c r="F612" s="947"/>
      <c r="G612" s="1574"/>
      <c r="H612" s="1574">
        <f>SUM(H610:H611)</f>
        <v>0</v>
      </c>
      <c r="I612" s="1574">
        <f t="shared" ref="I612:BE612" si="210">SUM(I610:I611)</f>
        <v>0</v>
      </c>
      <c r="J612" s="1574">
        <f t="shared" si="210"/>
        <v>0</v>
      </c>
      <c r="K612" s="1574">
        <f t="shared" si="210"/>
        <v>0</v>
      </c>
      <c r="L612" s="1574">
        <f t="shared" si="210"/>
        <v>0</v>
      </c>
      <c r="M612" s="1574">
        <f t="shared" si="210"/>
        <v>0</v>
      </c>
      <c r="N612" s="1574">
        <f t="shared" si="210"/>
        <v>0</v>
      </c>
      <c r="O612" s="1574">
        <f t="shared" si="210"/>
        <v>0</v>
      </c>
      <c r="P612" s="1574">
        <f t="shared" si="210"/>
        <v>0</v>
      </c>
      <c r="Q612" s="1574">
        <f t="shared" si="210"/>
        <v>0</v>
      </c>
      <c r="R612" s="1574">
        <f t="shared" si="210"/>
        <v>0</v>
      </c>
      <c r="S612" s="1574">
        <f t="shared" si="210"/>
        <v>0</v>
      </c>
      <c r="T612" s="1574">
        <f t="shared" si="210"/>
        <v>0</v>
      </c>
      <c r="U612" s="1574">
        <f t="shared" si="210"/>
        <v>0</v>
      </c>
      <c r="V612" s="1574">
        <f t="shared" si="210"/>
        <v>0</v>
      </c>
      <c r="W612" s="1574">
        <f t="shared" si="210"/>
        <v>0</v>
      </c>
      <c r="X612" s="1574">
        <f t="shared" si="210"/>
        <v>0</v>
      </c>
      <c r="Y612" s="1574">
        <f t="shared" si="210"/>
        <v>0</v>
      </c>
      <c r="Z612" s="1574">
        <f t="shared" si="210"/>
        <v>0</v>
      </c>
      <c r="AA612" s="1574">
        <f t="shared" si="210"/>
        <v>0</v>
      </c>
      <c r="AB612" s="1574">
        <f t="shared" si="210"/>
        <v>0</v>
      </c>
      <c r="AC612" s="1574">
        <f t="shared" si="210"/>
        <v>0</v>
      </c>
      <c r="AD612" s="1574">
        <f t="shared" si="210"/>
        <v>0</v>
      </c>
      <c r="AE612" s="1574">
        <f t="shared" si="210"/>
        <v>0</v>
      </c>
      <c r="AF612" s="1574">
        <f t="shared" si="210"/>
        <v>0</v>
      </c>
      <c r="AG612" s="1574">
        <f t="shared" si="210"/>
        <v>0</v>
      </c>
      <c r="AH612" s="1574">
        <f t="shared" si="210"/>
        <v>0</v>
      </c>
      <c r="AI612" s="1574">
        <f t="shared" si="210"/>
        <v>0</v>
      </c>
      <c r="AJ612" s="1574">
        <f t="shared" si="210"/>
        <v>0</v>
      </c>
      <c r="AK612" s="1574">
        <f t="shared" si="210"/>
        <v>0</v>
      </c>
      <c r="AL612" s="1574">
        <f t="shared" si="210"/>
        <v>0</v>
      </c>
      <c r="AM612" s="1574">
        <f t="shared" si="210"/>
        <v>0</v>
      </c>
      <c r="AN612" s="1574">
        <f t="shared" si="210"/>
        <v>0</v>
      </c>
      <c r="AO612" s="1574">
        <f t="shared" si="210"/>
        <v>0</v>
      </c>
      <c r="AP612" s="1574">
        <f t="shared" si="210"/>
        <v>0</v>
      </c>
      <c r="AQ612" s="1574">
        <f t="shared" si="210"/>
        <v>0</v>
      </c>
      <c r="AR612" s="1574">
        <f t="shared" si="210"/>
        <v>0</v>
      </c>
      <c r="AS612" s="1574">
        <f t="shared" si="210"/>
        <v>0</v>
      </c>
      <c r="AT612" s="1574">
        <f t="shared" si="210"/>
        <v>0</v>
      </c>
      <c r="AU612" s="1574">
        <f t="shared" si="210"/>
        <v>0</v>
      </c>
      <c r="AV612" s="1574">
        <f t="shared" si="210"/>
        <v>0</v>
      </c>
      <c r="AW612" s="1574">
        <f t="shared" si="210"/>
        <v>0</v>
      </c>
      <c r="AX612" s="1574">
        <f t="shared" si="210"/>
        <v>0</v>
      </c>
      <c r="AY612" s="1574">
        <f t="shared" si="210"/>
        <v>0</v>
      </c>
      <c r="AZ612" s="1574">
        <f t="shared" si="210"/>
        <v>0</v>
      </c>
      <c r="BA612" s="1574">
        <f t="shared" si="210"/>
        <v>0</v>
      </c>
      <c r="BB612" s="1574">
        <f t="shared" si="210"/>
        <v>0</v>
      </c>
      <c r="BC612" s="1574">
        <f t="shared" si="210"/>
        <v>0</v>
      </c>
      <c r="BD612" s="1574">
        <f t="shared" si="210"/>
        <v>0</v>
      </c>
      <c r="BE612" s="1575">
        <f t="shared" si="210"/>
        <v>0</v>
      </c>
      <c r="BF612" s="695"/>
    </row>
    <row r="613" spans="1:58" x14ac:dyDescent="0.45">
      <c r="A613" s="695"/>
      <c r="B613" s="946"/>
      <c r="C613" s="947"/>
      <c r="D613" s="947"/>
      <c r="E613" s="947"/>
      <c r="F613" s="947"/>
      <c r="G613" s="1574"/>
      <c r="H613" s="1574"/>
      <c r="I613" s="1574"/>
      <c r="J613" s="1574"/>
      <c r="K613" s="1574"/>
      <c r="L613" s="1574"/>
      <c r="M613" s="1574"/>
      <c r="N613" s="1574"/>
      <c r="O613" s="1574"/>
      <c r="P613" s="1574"/>
      <c r="Q613" s="1574"/>
      <c r="R613" s="1574"/>
      <c r="S613" s="1574"/>
      <c r="T613" s="1574"/>
      <c r="U613" s="1574"/>
      <c r="V613" s="1574"/>
      <c r="W613" s="1574"/>
      <c r="X613" s="1574"/>
      <c r="Y613" s="1574"/>
      <c r="Z613" s="1574"/>
      <c r="AA613" s="1574"/>
      <c r="AB613" s="1574"/>
      <c r="AC613" s="1574"/>
      <c r="AD613" s="1574"/>
      <c r="AE613" s="1574"/>
      <c r="AF613" s="1574"/>
      <c r="AG613" s="1574"/>
      <c r="AH613" s="1574"/>
      <c r="AI613" s="1574"/>
      <c r="AJ613" s="1574"/>
      <c r="AK613" s="1574"/>
      <c r="AL613" s="1574"/>
      <c r="AM613" s="1574"/>
      <c r="AN613" s="1574"/>
      <c r="AO613" s="1574"/>
      <c r="AP613" s="1574"/>
      <c r="AQ613" s="1574"/>
      <c r="AR613" s="1574"/>
      <c r="AS613" s="1574"/>
      <c r="AT613" s="1574"/>
      <c r="AU613" s="1574"/>
      <c r="AV613" s="1574"/>
      <c r="AW613" s="1574"/>
      <c r="AX613" s="1574"/>
      <c r="AY613" s="1574"/>
      <c r="AZ613" s="1574"/>
      <c r="BA613" s="1574"/>
      <c r="BB613" s="1574"/>
      <c r="BC613" s="1574"/>
      <c r="BD613" s="1574"/>
      <c r="BE613" s="1575"/>
      <c r="BF613" s="695"/>
    </row>
    <row r="614" spans="1:58" x14ac:dyDescent="0.45">
      <c r="A614" s="695"/>
      <c r="B614" s="946"/>
      <c r="C614" s="1047" t="s">
        <v>58</v>
      </c>
      <c r="D614" s="947"/>
      <c r="E614" s="947"/>
      <c r="F614" s="947"/>
      <c r="G614" s="1574"/>
      <c r="H614" s="1574"/>
      <c r="I614" s="1574"/>
      <c r="J614" s="1574"/>
      <c r="K614" s="1574"/>
      <c r="L614" s="1574"/>
      <c r="M614" s="1574"/>
      <c r="N614" s="1574"/>
      <c r="O614" s="1574"/>
      <c r="P614" s="1574"/>
      <c r="Q614" s="1574"/>
      <c r="R614" s="1574"/>
      <c r="S614" s="1574"/>
      <c r="T614" s="1574"/>
      <c r="U614" s="1574"/>
      <c r="V614" s="1574"/>
      <c r="W614" s="1574"/>
      <c r="X614" s="1574"/>
      <c r="Y614" s="1574"/>
      <c r="Z614" s="1574"/>
      <c r="AA614" s="1574"/>
      <c r="AB614" s="1574"/>
      <c r="AC614" s="1574"/>
      <c r="AD614" s="1574"/>
      <c r="AE614" s="1574"/>
      <c r="AF614" s="1574"/>
      <c r="AG614" s="1574"/>
      <c r="AH614" s="1574"/>
      <c r="AI614" s="1574"/>
      <c r="AJ614" s="1574"/>
      <c r="AK614" s="1574"/>
      <c r="AL614" s="1574"/>
      <c r="AM614" s="1574"/>
      <c r="AN614" s="1574"/>
      <c r="AO614" s="1574"/>
      <c r="AP614" s="1574"/>
      <c r="AQ614" s="1574"/>
      <c r="AR614" s="1574"/>
      <c r="AS614" s="1574"/>
      <c r="AT614" s="1574"/>
      <c r="AU614" s="1574"/>
      <c r="AV614" s="1574"/>
      <c r="AW614" s="1574"/>
      <c r="AX614" s="1574"/>
      <c r="AY614" s="1574"/>
      <c r="AZ614" s="1574"/>
      <c r="BA614" s="1574"/>
      <c r="BB614" s="1574"/>
      <c r="BC614" s="1574"/>
      <c r="BD614" s="1574"/>
      <c r="BE614" s="1575"/>
      <c r="BF614" s="695"/>
    </row>
    <row r="615" spans="1:58" x14ac:dyDescent="0.45">
      <c r="A615" s="695"/>
      <c r="B615" s="946"/>
      <c r="C615" s="947" t="s">
        <v>68</v>
      </c>
      <c r="D615" s="947"/>
      <c r="E615" s="947"/>
      <c r="F615" s="947"/>
      <c r="G615" s="1574">
        <v>0</v>
      </c>
      <c r="H615" s="1574">
        <f t="shared" ref="H615:AM615" si="211">G618</f>
        <v>0</v>
      </c>
      <c r="I615" s="1574">
        <f t="shared" si="211"/>
        <v>0</v>
      </c>
      <c r="J615" s="1574">
        <f t="shared" si="211"/>
        <v>0</v>
      </c>
      <c r="K615" s="1574">
        <f t="shared" si="211"/>
        <v>0</v>
      </c>
      <c r="L615" s="1574">
        <f t="shared" si="211"/>
        <v>0</v>
      </c>
      <c r="M615" s="1574">
        <f t="shared" si="211"/>
        <v>0</v>
      </c>
      <c r="N615" s="1574">
        <f t="shared" si="211"/>
        <v>0</v>
      </c>
      <c r="O615" s="1574">
        <f t="shared" si="211"/>
        <v>0</v>
      </c>
      <c r="P615" s="1574">
        <f t="shared" si="211"/>
        <v>0</v>
      </c>
      <c r="Q615" s="1574">
        <f t="shared" si="211"/>
        <v>0</v>
      </c>
      <c r="R615" s="1574">
        <f t="shared" si="211"/>
        <v>0</v>
      </c>
      <c r="S615" s="1574">
        <f t="shared" si="211"/>
        <v>0</v>
      </c>
      <c r="T615" s="1574">
        <f t="shared" si="211"/>
        <v>0</v>
      </c>
      <c r="U615" s="1574">
        <f t="shared" si="211"/>
        <v>0</v>
      </c>
      <c r="V615" s="1574">
        <f t="shared" si="211"/>
        <v>0</v>
      </c>
      <c r="W615" s="1574">
        <f t="shared" si="211"/>
        <v>0</v>
      </c>
      <c r="X615" s="1574">
        <f t="shared" si="211"/>
        <v>0</v>
      </c>
      <c r="Y615" s="1574">
        <f t="shared" si="211"/>
        <v>0</v>
      </c>
      <c r="Z615" s="1574">
        <f t="shared" si="211"/>
        <v>0</v>
      </c>
      <c r="AA615" s="1574">
        <f t="shared" si="211"/>
        <v>0</v>
      </c>
      <c r="AB615" s="1574">
        <f t="shared" si="211"/>
        <v>0</v>
      </c>
      <c r="AC615" s="1574">
        <f t="shared" si="211"/>
        <v>0</v>
      </c>
      <c r="AD615" s="1574">
        <f t="shared" si="211"/>
        <v>0</v>
      </c>
      <c r="AE615" s="1574">
        <f t="shared" si="211"/>
        <v>0</v>
      </c>
      <c r="AF615" s="1574">
        <f t="shared" si="211"/>
        <v>0</v>
      </c>
      <c r="AG615" s="1574">
        <f t="shared" si="211"/>
        <v>0</v>
      </c>
      <c r="AH615" s="1574">
        <f t="shared" si="211"/>
        <v>0</v>
      </c>
      <c r="AI615" s="1574">
        <f t="shared" si="211"/>
        <v>0</v>
      </c>
      <c r="AJ615" s="1574">
        <f t="shared" si="211"/>
        <v>0</v>
      </c>
      <c r="AK615" s="1574">
        <f t="shared" si="211"/>
        <v>0</v>
      </c>
      <c r="AL615" s="1574">
        <f t="shared" si="211"/>
        <v>0</v>
      </c>
      <c r="AM615" s="1574">
        <f t="shared" si="211"/>
        <v>0</v>
      </c>
      <c r="AN615" s="1574">
        <f t="shared" ref="AN615:BE615" si="212">AM618</f>
        <v>0</v>
      </c>
      <c r="AO615" s="1574">
        <f t="shared" si="212"/>
        <v>0</v>
      </c>
      <c r="AP615" s="1574">
        <f t="shared" si="212"/>
        <v>0</v>
      </c>
      <c r="AQ615" s="1574">
        <f t="shared" si="212"/>
        <v>0</v>
      </c>
      <c r="AR615" s="1574">
        <f t="shared" si="212"/>
        <v>0</v>
      </c>
      <c r="AS615" s="1574">
        <f t="shared" si="212"/>
        <v>0</v>
      </c>
      <c r="AT615" s="1574">
        <f t="shared" si="212"/>
        <v>0</v>
      </c>
      <c r="AU615" s="1574">
        <f t="shared" si="212"/>
        <v>0</v>
      </c>
      <c r="AV615" s="1574">
        <f t="shared" si="212"/>
        <v>0</v>
      </c>
      <c r="AW615" s="1574">
        <f t="shared" si="212"/>
        <v>0</v>
      </c>
      <c r="AX615" s="1574">
        <f t="shared" si="212"/>
        <v>0</v>
      </c>
      <c r="AY615" s="1574">
        <f t="shared" si="212"/>
        <v>0</v>
      </c>
      <c r="AZ615" s="1574">
        <f t="shared" si="212"/>
        <v>0</v>
      </c>
      <c r="BA615" s="1574">
        <f t="shared" si="212"/>
        <v>0</v>
      </c>
      <c r="BB615" s="1574">
        <f t="shared" si="212"/>
        <v>0</v>
      </c>
      <c r="BC615" s="1574">
        <f t="shared" si="212"/>
        <v>0</v>
      </c>
      <c r="BD615" s="1574">
        <f t="shared" si="212"/>
        <v>0</v>
      </c>
      <c r="BE615" s="1575">
        <f t="shared" si="212"/>
        <v>0</v>
      </c>
      <c r="BF615" s="695"/>
    </row>
    <row r="616" spans="1:58" x14ac:dyDescent="0.45">
      <c r="A616" s="695"/>
      <c r="B616" s="946"/>
      <c r="C616" s="947" t="s">
        <v>69</v>
      </c>
      <c r="D616" s="947"/>
      <c r="E616" s="947"/>
      <c r="F616" s="947"/>
      <c r="G616" s="1574">
        <f>G605</f>
        <v>0</v>
      </c>
      <c r="H616" s="1574">
        <v>0</v>
      </c>
      <c r="I616" s="1574">
        <v>0</v>
      </c>
      <c r="J616" s="1574">
        <v>0</v>
      </c>
      <c r="K616" s="1574">
        <v>0</v>
      </c>
      <c r="L616" s="1574">
        <v>0</v>
      </c>
      <c r="M616" s="1574">
        <v>0</v>
      </c>
      <c r="N616" s="1574">
        <v>0</v>
      </c>
      <c r="O616" s="1574">
        <v>0</v>
      </c>
      <c r="P616" s="1574">
        <v>0</v>
      </c>
      <c r="Q616" s="1574">
        <v>0</v>
      </c>
      <c r="R616" s="1574">
        <v>0</v>
      </c>
      <c r="S616" s="1574">
        <v>0</v>
      </c>
      <c r="T616" s="1574">
        <v>0</v>
      </c>
      <c r="U616" s="1574">
        <v>0</v>
      </c>
      <c r="V616" s="1574">
        <v>0</v>
      </c>
      <c r="W616" s="1574">
        <v>0</v>
      </c>
      <c r="X616" s="1574">
        <v>0</v>
      </c>
      <c r="Y616" s="1574">
        <v>0</v>
      </c>
      <c r="Z616" s="1574">
        <v>0</v>
      </c>
      <c r="AA616" s="1574">
        <v>0</v>
      </c>
      <c r="AB616" s="1574">
        <v>0</v>
      </c>
      <c r="AC616" s="1574">
        <v>0</v>
      </c>
      <c r="AD616" s="1574">
        <v>0</v>
      </c>
      <c r="AE616" s="1574">
        <v>0</v>
      </c>
      <c r="AF616" s="1574">
        <v>0</v>
      </c>
      <c r="AG616" s="1574">
        <v>0</v>
      </c>
      <c r="AH616" s="1574">
        <v>0</v>
      </c>
      <c r="AI616" s="1574">
        <v>0</v>
      </c>
      <c r="AJ616" s="1574">
        <v>0</v>
      </c>
      <c r="AK616" s="1574">
        <v>0</v>
      </c>
      <c r="AL616" s="1574">
        <v>0</v>
      </c>
      <c r="AM616" s="1574">
        <v>0</v>
      </c>
      <c r="AN616" s="1574">
        <v>0</v>
      </c>
      <c r="AO616" s="1574">
        <v>0</v>
      </c>
      <c r="AP616" s="1574">
        <v>0</v>
      </c>
      <c r="AQ616" s="1574">
        <v>0</v>
      </c>
      <c r="AR616" s="1574">
        <v>0</v>
      </c>
      <c r="AS616" s="1574">
        <v>0</v>
      </c>
      <c r="AT616" s="1574">
        <v>0</v>
      </c>
      <c r="AU616" s="1574">
        <v>0</v>
      </c>
      <c r="AV616" s="1574">
        <v>0</v>
      </c>
      <c r="AW616" s="1574">
        <v>0</v>
      </c>
      <c r="AX616" s="1574">
        <v>0</v>
      </c>
      <c r="AY616" s="1574">
        <v>0</v>
      </c>
      <c r="AZ616" s="1574">
        <v>0</v>
      </c>
      <c r="BA616" s="1574">
        <v>0</v>
      </c>
      <c r="BB616" s="1574">
        <v>0</v>
      </c>
      <c r="BC616" s="1574">
        <v>0</v>
      </c>
      <c r="BD616" s="1574">
        <v>0</v>
      </c>
      <c r="BE616" s="1575">
        <v>0</v>
      </c>
      <c r="BF616" s="695"/>
    </row>
    <row r="617" spans="1:58" x14ac:dyDescent="0.45">
      <c r="A617" s="695"/>
      <c r="B617" s="946"/>
      <c r="C617" s="954" t="s">
        <v>70</v>
      </c>
      <c r="D617" s="954"/>
      <c r="E617" s="954"/>
      <c r="F617" s="954"/>
      <c r="G617" s="1576">
        <v>0</v>
      </c>
      <c r="H617" s="1576">
        <f t="shared" ref="H617:BE617" si="213">-H611</f>
        <v>0</v>
      </c>
      <c r="I617" s="1576">
        <f t="shared" si="213"/>
        <v>0</v>
      </c>
      <c r="J617" s="1576">
        <f t="shared" si="213"/>
        <v>0</v>
      </c>
      <c r="K617" s="1576">
        <f t="shared" si="213"/>
        <v>0</v>
      </c>
      <c r="L617" s="1576">
        <f t="shared" si="213"/>
        <v>0</v>
      </c>
      <c r="M617" s="1576">
        <f t="shared" si="213"/>
        <v>0</v>
      </c>
      <c r="N617" s="1576">
        <f t="shared" si="213"/>
        <v>0</v>
      </c>
      <c r="O617" s="1576">
        <f t="shared" si="213"/>
        <v>0</v>
      </c>
      <c r="P617" s="1576">
        <f t="shared" si="213"/>
        <v>0</v>
      </c>
      <c r="Q617" s="1576">
        <f t="shared" si="213"/>
        <v>0</v>
      </c>
      <c r="R617" s="1576">
        <f t="shared" si="213"/>
        <v>0</v>
      </c>
      <c r="S617" s="1576">
        <f t="shared" si="213"/>
        <v>0</v>
      </c>
      <c r="T617" s="1576">
        <f t="shared" si="213"/>
        <v>0</v>
      </c>
      <c r="U617" s="1576">
        <f t="shared" si="213"/>
        <v>0</v>
      </c>
      <c r="V617" s="1576">
        <f t="shared" si="213"/>
        <v>0</v>
      </c>
      <c r="W617" s="1576">
        <f t="shared" si="213"/>
        <v>0</v>
      </c>
      <c r="X617" s="1576">
        <f t="shared" si="213"/>
        <v>0</v>
      </c>
      <c r="Y617" s="1576">
        <f t="shared" si="213"/>
        <v>0</v>
      </c>
      <c r="Z617" s="1576">
        <f t="shared" si="213"/>
        <v>0</v>
      </c>
      <c r="AA617" s="1576">
        <f t="shared" si="213"/>
        <v>0</v>
      </c>
      <c r="AB617" s="1576">
        <f t="shared" si="213"/>
        <v>0</v>
      </c>
      <c r="AC617" s="1576">
        <f t="shared" si="213"/>
        <v>0</v>
      </c>
      <c r="AD617" s="1576">
        <f t="shared" si="213"/>
        <v>0</v>
      </c>
      <c r="AE617" s="1576">
        <f t="shared" si="213"/>
        <v>0</v>
      </c>
      <c r="AF617" s="1576">
        <f t="shared" si="213"/>
        <v>0</v>
      </c>
      <c r="AG617" s="1576">
        <f t="shared" si="213"/>
        <v>0</v>
      </c>
      <c r="AH617" s="1576">
        <f t="shared" si="213"/>
        <v>0</v>
      </c>
      <c r="AI617" s="1576">
        <f t="shared" si="213"/>
        <v>0</v>
      </c>
      <c r="AJ617" s="1576">
        <f t="shared" si="213"/>
        <v>0</v>
      </c>
      <c r="AK617" s="1576">
        <f t="shared" si="213"/>
        <v>0</v>
      </c>
      <c r="AL617" s="1576">
        <f t="shared" si="213"/>
        <v>0</v>
      </c>
      <c r="AM617" s="1576">
        <f t="shared" si="213"/>
        <v>0</v>
      </c>
      <c r="AN617" s="1576">
        <f t="shared" si="213"/>
        <v>0</v>
      </c>
      <c r="AO617" s="1576">
        <f t="shared" si="213"/>
        <v>0</v>
      </c>
      <c r="AP617" s="1576">
        <f t="shared" si="213"/>
        <v>0</v>
      </c>
      <c r="AQ617" s="1576">
        <f t="shared" si="213"/>
        <v>0</v>
      </c>
      <c r="AR617" s="1576">
        <f t="shared" si="213"/>
        <v>0</v>
      </c>
      <c r="AS617" s="1576">
        <f t="shared" si="213"/>
        <v>0</v>
      </c>
      <c r="AT617" s="1576">
        <f t="shared" si="213"/>
        <v>0</v>
      </c>
      <c r="AU617" s="1576">
        <f t="shared" si="213"/>
        <v>0</v>
      </c>
      <c r="AV617" s="1576">
        <f t="shared" si="213"/>
        <v>0</v>
      </c>
      <c r="AW617" s="1576">
        <f t="shared" si="213"/>
        <v>0</v>
      </c>
      <c r="AX617" s="1576">
        <f t="shared" si="213"/>
        <v>0</v>
      </c>
      <c r="AY617" s="1576">
        <f t="shared" si="213"/>
        <v>0</v>
      </c>
      <c r="AZ617" s="1576">
        <f t="shared" si="213"/>
        <v>0</v>
      </c>
      <c r="BA617" s="1576">
        <f t="shared" si="213"/>
        <v>0</v>
      </c>
      <c r="BB617" s="1576">
        <f t="shared" si="213"/>
        <v>0</v>
      </c>
      <c r="BC617" s="1576">
        <f t="shared" si="213"/>
        <v>0</v>
      </c>
      <c r="BD617" s="1576">
        <f t="shared" si="213"/>
        <v>0</v>
      </c>
      <c r="BE617" s="1577">
        <f t="shared" si="213"/>
        <v>0</v>
      </c>
      <c r="BF617" s="695"/>
    </row>
    <row r="618" spans="1:58" x14ac:dyDescent="0.45">
      <c r="A618" s="695"/>
      <c r="B618" s="946"/>
      <c r="C618" s="947" t="s">
        <v>59</v>
      </c>
      <c r="D618" s="947"/>
      <c r="E618" s="947"/>
      <c r="F618" s="947"/>
      <c r="G618" s="1574">
        <f t="shared" ref="G618:BE618" si="214">SUM(G615:G617)</f>
        <v>0</v>
      </c>
      <c r="H618" s="1574">
        <f t="shared" si="214"/>
        <v>0</v>
      </c>
      <c r="I618" s="1574">
        <f t="shared" si="214"/>
        <v>0</v>
      </c>
      <c r="J618" s="1574">
        <f t="shared" si="214"/>
        <v>0</v>
      </c>
      <c r="K618" s="1574">
        <f t="shared" si="214"/>
        <v>0</v>
      </c>
      <c r="L618" s="1574">
        <f t="shared" si="214"/>
        <v>0</v>
      </c>
      <c r="M618" s="1574">
        <f t="shared" si="214"/>
        <v>0</v>
      </c>
      <c r="N618" s="1574">
        <f t="shared" si="214"/>
        <v>0</v>
      </c>
      <c r="O618" s="1574">
        <f t="shared" si="214"/>
        <v>0</v>
      </c>
      <c r="P618" s="1574">
        <f t="shared" si="214"/>
        <v>0</v>
      </c>
      <c r="Q618" s="1574">
        <f t="shared" si="214"/>
        <v>0</v>
      </c>
      <c r="R618" s="1574">
        <f t="shared" si="214"/>
        <v>0</v>
      </c>
      <c r="S618" s="1574">
        <f t="shared" si="214"/>
        <v>0</v>
      </c>
      <c r="T618" s="1574">
        <f t="shared" si="214"/>
        <v>0</v>
      </c>
      <c r="U618" s="1574">
        <f t="shared" si="214"/>
        <v>0</v>
      </c>
      <c r="V618" s="1574">
        <f t="shared" si="214"/>
        <v>0</v>
      </c>
      <c r="W618" s="1574">
        <f t="shared" si="214"/>
        <v>0</v>
      </c>
      <c r="X618" s="1574">
        <f t="shared" si="214"/>
        <v>0</v>
      </c>
      <c r="Y618" s="1574">
        <f t="shared" si="214"/>
        <v>0</v>
      </c>
      <c r="Z618" s="1574">
        <f t="shared" si="214"/>
        <v>0</v>
      </c>
      <c r="AA618" s="1574">
        <f t="shared" si="214"/>
        <v>0</v>
      </c>
      <c r="AB618" s="1574">
        <f t="shared" si="214"/>
        <v>0</v>
      </c>
      <c r="AC618" s="1574">
        <f t="shared" si="214"/>
        <v>0</v>
      </c>
      <c r="AD618" s="1574">
        <f t="shared" si="214"/>
        <v>0</v>
      </c>
      <c r="AE618" s="1574">
        <f t="shared" si="214"/>
        <v>0</v>
      </c>
      <c r="AF618" s="1574">
        <f t="shared" si="214"/>
        <v>0</v>
      </c>
      <c r="AG618" s="1574">
        <f t="shared" si="214"/>
        <v>0</v>
      </c>
      <c r="AH618" s="1574">
        <f t="shared" si="214"/>
        <v>0</v>
      </c>
      <c r="AI618" s="1574">
        <f t="shared" si="214"/>
        <v>0</v>
      </c>
      <c r="AJ618" s="1574">
        <f t="shared" si="214"/>
        <v>0</v>
      </c>
      <c r="AK618" s="1574">
        <f t="shared" si="214"/>
        <v>0</v>
      </c>
      <c r="AL618" s="1574">
        <f t="shared" si="214"/>
        <v>0</v>
      </c>
      <c r="AM618" s="1574">
        <f t="shared" si="214"/>
        <v>0</v>
      </c>
      <c r="AN618" s="1574">
        <f t="shared" si="214"/>
        <v>0</v>
      </c>
      <c r="AO618" s="1574">
        <f t="shared" si="214"/>
        <v>0</v>
      </c>
      <c r="AP618" s="1574">
        <f t="shared" si="214"/>
        <v>0</v>
      </c>
      <c r="AQ618" s="1574">
        <f t="shared" si="214"/>
        <v>0</v>
      </c>
      <c r="AR618" s="1574">
        <f t="shared" si="214"/>
        <v>0</v>
      </c>
      <c r="AS618" s="1574">
        <f t="shared" si="214"/>
        <v>0</v>
      </c>
      <c r="AT618" s="1574">
        <f t="shared" si="214"/>
        <v>0</v>
      </c>
      <c r="AU618" s="1574">
        <f t="shared" si="214"/>
        <v>0</v>
      </c>
      <c r="AV618" s="1574">
        <f t="shared" si="214"/>
        <v>0</v>
      </c>
      <c r="AW618" s="1574">
        <f t="shared" si="214"/>
        <v>0</v>
      </c>
      <c r="AX618" s="1574">
        <f t="shared" si="214"/>
        <v>0</v>
      </c>
      <c r="AY618" s="1574">
        <f t="shared" si="214"/>
        <v>0</v>
      </c>
      <c r="AZ618" s="1574">
        <f t="shared" si="214"/>
        <v>0</v>
      </c>
      <c r="BA618" s="1574">
        <f t="shared" si="214"/>
        <v>0</v>
      </c>
      <c r="BB618" s="1574">
        <f t="shared" si="214"/>
        <v>0</v>
      </c>
      <c r="BC618" s="1574">
        <f t="shared" si="214"/>
        <v>0</v>
      </c>
      <c r="BD618" s="1574">
        <f t="shared" si="214"/>
        <v>0</v>
      </c>
      <c r="BE618" s="1575">
        <f t="shared" si="214"/>
        <v>0</v>
      </c>
      <c r="BF618" s="695"/>
    </row>
    <row r="619" spans="1:58" x14ac:dyDescent="0.45">
      <c r="A619" s="695"/>
      <c r="B619" s="946"/>
      <c r="C619" s="947"/>
      <c r="D619" s="947"/>
      <c r="E619" s="947"/>
      <c r="F619" s="947"/>
      <c r="G619" s="1574"/>
      <c r="H619" s="1574"/>
      <c r="I619" s="1574"/>
      <c r="J619" s="1574"/>
      <c r="K619" s="1574"/>
      <c r="L619" s="1574"/>
      <c r="M619" s="1574"/>
      <c r="N619" s="1574"/>
      <c r="O619" s="1574"/>
      <c r="P619" s="1574"/>
      <c r="Q619" s="1574"/>
      <c r="R619" s="1574"/>
      <c r="S619" s="1574"/>
      <c r="T619" s="1574"/>
      <c r="U619" s="1574"/>
      <c r="V619" s="1574"/>
      <c r="W619" s="1574"/>
      <c r="X619" s="1574"/>
      <c r="Y619" s="1574"/>
      <c r="Z619" s="1574"/>
      <c r="AA619" s="1574"/>
      <c r="AB619" s="1574"/>
      <c r="AC619" s="1574"/>
      <c r="AD619" s="1574"/>
      <c r="AE619" s="1574"/>
      <c r="AF619" s="1574"/>
      <c r="AG619" s="1574"/>
      <c r="AH619" s="1574"/>
      <c r="AI619" s="1574"/>
      <c r="AJ619" s="1574"/>
      <c r="AK619" s="1574"/>
      <c r="AL619" s="1574"/>
      <c r="AM619" s="1574"/>
      <c r="AN619" s="1574"/>
      <c r="AO619" s="1574"/>
      <c r="AP619" s="1574"/>
      <c r="AQ619" s="1574"/>
      <c r="AR619" s="1574"/>
      <c r="AS619" s="1574"/>
      <c r="AT619" s="1574"/>
      <c r="AU619" s="1574"/>
      <c r="AV619" s="1574"/>
      <c r="AW619" s="1574"/>
      <c r="AX619" s="1574"/>
      <c r="AY619" s="1574"/>
      <c r="AZ619" s="1574"/>
      <c r="BA619" s="1574"/>
      <c r="BB619" s="1574"/>
      <c r="BC619" s="1574"/>
      <c r="BD619" s="1574"/>
      <c r="BE619" s="1575"/>
      <c r="BF619" s="695"/>
    </row>
    <row r="620" spans="1:58" x14ac:dyDescent="0.45">
      <c r="A620" s="695"/>
      <c r="B620" s="946"/>
      <c r="C620" s="1047" t="s">
        <v>64</v>
      </c>
      <c r="D620" s="947"/>
      <c r="E620" s="947"/>
      <c r="F620" s="947"/>
      <c r="G620" s="1574"/>
      <c r="H620" s="1574"/>
      <c r="I620" s="1574"/>
      <c r="J620" s="1574"/>
      <c r="K620" s="1574"/>
      <c r="L620" s="1574"/>
      <c r="M620" s="1574"/>
      <c r="N620" s="1574"/>
      <c r="O620" s="1574"/>
      <c r="P620" s="1574"/>
      <c r="Q620" s="1574"/>
      <c r="R620" s="1574"/>
      <c r="S620" s="1574"/>
      <c r="T620" s="1574"/>
      <c r="U620" s="1574"/>
      <c r="V620" s="1574"/>
      <c r="W620" s="1574"/>
      <c r="X620" s="1574"/>
      <c r="Y620" s="1574"/>
      <c r="Z620" s="1574"/>
      <c r="AA620" s="1574"/>
      <c r="AB620" s="1574"/>
      <c r="AC620" s="1574"/>
      <c r="AD620" s="1574"/>
      <c r="AE620" s="1574"/>
      <c r="AF620" s="1574"/>
      <c r="AG620" s="1574"/>
      <c r="AH620" s="1574"/>
      <c r="AI620" s="1574"/>
      <c r="AJ620" s="1574"/>
      <c r="AK620" s="1574"/>
      <c r="AL620" s="1574"/>
      <c r="AM620" s="1574"/>
      <c r="AN620" s="1574"/>
      <c r="AO620" s="1574"/>
      <c r="AP620" s="1574"/>
      <c r="AQ620" s="1574"/>
      <c r="AR620" s="1574"/>
      <c r="AS620" s="1574"/>
      <c r="AT620" s="1574"/>
      <c r="AU620" s="1574"/>
      <c r="AV620" s="1574"/>
      <c r="AW620" s="1574"/>
      <c r="AX620" s="1574"/>
      <c r="AY620" s="1574"/>
      <c r="AZ620" s="1574"/>
      <c r="BA620" s="1574"/>
      <c r="BB620" s="1574"/>
      <c r="BC620" s="1574"/>
      <c r="BD620" s="1574"/>
      <c r="BE620" s="1575"/>
      <c r="BF620" s="695"/>
    </row>
    <row r="621" spans="1:58" x14ac:dyDescent="0.45">
      <c r="A621" s="695"/>
      <c r="B621" s="946"/>
      <c r="C621" s="947" t="str">
        <f>'II. Inputs, Baseline Energy Mix'!$E$78</f>
        <v>Front-end Fee</v>
      </c>
      <c r="D621" s="947"/>
      <c r="E621" s="947"/>
      <c r="F621" s="947"/>
      <c r="G621" s="1574"/>
      <c r="H621" s="1574">
        <f>IF($G605&gt;0, G605*'II. Inputs, Baseline Energy Mix'!$R$78/10000,0)</f>
        <v>0</v>
      </c>
      <c r="I621" s="1574">
        <v>0</v>
      </c>
      <c r="J621" s="1574">
        <v>0</v>
      </c>
      <c r="K621" s="1574">
        <v>0</v>
      </c>
      <c r="L621" s="1574">
        <v>0</v>
      </c>
      <c r="M621" s="1574">
        <v>0</v>
      </c>
      <c r="N621" s="1574">
        <v>0</v>
      </c>
      <c r="O621" s="1574">
        <v>0</v>
      </c>
      <c r="P621" s="1574">
        <v>0</v>
      </c>
      <c r="Q621" s="1574">
        <v>0</v>
      </c>
      <c r="R621" s="1574">
        <v>0</v>
      </c>
      <c r="S621" s="1574">
        <v>0</v>
      </c>
      <c r="T621" s="1574">
        <v>0</v>
      </c>
      <c r="U621" s="1574">
        <v>0</v>
      </c>
      <c r="V621" s="1574">
        <v>0</v>
      </c>
      <c r="W621" s="1574">
        <v>0</v>
      </c>
      <c r="X621" s="1574">
        <v>0</v>
      </c>
      <c r="Y621" s="1574">
        <v>0</v>
      </c>
      <c r="Z621" s="1574">
        <v>0</v>
      </c>
      <c r="AA621" s="1574">
        <v>0</v>
      </c>
      <c r="AB621" s="1574">
        <v>0</v>
      </c>
      <c r="AC621" s="1574">
        <v>0</v>
      </c>
      <c r="AD621" s="1574">
        <v>0</v>
      </c>
      <c r="AE621" s="1574">
        <v>0</v>
      </c>
      <c r="AF621" s="1574">
        <v>0</v>
      </c>
      <c r="AG621" s="1574">
        <v>0</v>
      </c>
      <c r="AH621" s="1574">
        <v>0</v>
      </c>
      <c r="AI621" s="1574">
        <v>0</v>
      </c>
      <c r="AJ621" s="1574">
        <v>0</v>
      </c>
      <c r="AK621" s="1574">
        <v>0</v>
      </c>
      <c r="AL621" s="1574">
        <v>0</v>
      </c>
      <c r="AM621" s="1574">
        <v>0</v>
      </c>
      <c r="AN621" s="1574">
        <v>0</v>
      </c>
      <c r="AO621" s="1574">
        <v>0</v>
      </c>
      <c r="AP621" s="1574">
        <v>0</v>
      </c>
      <c r="AQ621" s="1574">
        <v>0</v>
      </c>
      <c r="AR621" s="1574">
        <v>0</v>
      </c>
      <c r="AS621" s="1574">
        <v>0</v>
      </c>
      <c r="AT621" s="1574">
        <v>0</v>
      </c>
      <c r="AU621" s="1574">
        <v>0</v>
      </c>
      <c r="AV621" s="1574">
        <v>0</v>
      </c>
      <c r="AW621" s="1574">
        <v>0</v>
      </c>
      <c r="AX621" s="1574">
        <v>0</v>
      </c>
      <c r="AY621" s="1574">
        <v>0</v>
      </c>
      <c r="AZ621" s="1574">
        <v>0</v>
      </c>
      <c r="BA621" s="1574">
        <v>0</v>
      </c>
      <c r="BB621" s="1574">
        <v>0</v>
      </c>
      <c r="BC621" s="1574">
        <v>0</v>
      </c>
      <c r="BD621" s="1574">
        <v>0</v>
      </c>
      <c r="BE621" s="1575">
        <v>0</v>
      </c>
      <c r="BF621" s="695"/>
    </row>
    <row r="622" spans="1:58" x14ac:dyDescent="0.45">
      <c r="A622" s="695"/>
      <c r="B622" s="946"/>
      <c r="C622" s="947"/>
      <c r="D622" s="947"/>
      <c r="E622" s="947"/>
      <c r="F622" s="947"/>
      <c r="G622" s="947"/>
      <c r="H622" s="947"/>
      <c r="I622" s="947"/>
      <c r="J622" s="947"/>
      <c r="K622" s="947"/>
      <c r="L622" s="947"/>
      <c r="M622" s="947"/>
      <c r="N622" s="947"/>
      <c r="O622" s="947"/>
      <c r="P622" s="947"/>
      <c r="Q622" s="947"/>
      <c r="R622" s="947"/>
      <c r="S622" s="947"/>
      <c r="T622" s="947"/>
      <c r="U622" s="947"/>
      <c r="V622" s="947"/>
      <c r="W622" s="947"/>
      <c r="X622" s="947"/>
      <c r="Y622" s="947"/>
      <c r="Z622" s="947"/>
      <c r="AA622" s="947"/>
      <c r="AB622" s="947"/>
      <c r="AC622" s="947"/>
      <c r="AD622" s="947"/>
      <c r="AE622" s="947"/>
      <c r="AF622" s="947"/>
      <c r="AG622" s="947"/>
      <c r="AH622" s="947"/>
      <c r="AI622" s="947"/>
      <c r="AJ622" s="947"/>
      <c r="AK622" s="947"/>
      <c r="AL622" s="947"/>
      <c r="AM622" s="947"/>
      <c r="AN622" s="947"/>
      <c r="AO622" s="947"/>
      <c r="AP622" s="947"/>
      <c r="AQ622" s="947"/>
      <c r="AR622" s="947"/>
      <c r="AS622" s="947"/>
      <c r="AT622" s="947"/>
      <c r="AU622" s="947"/>
      <c r="AV622" s="947"/>
      <c r="AW622" s="947"/>
      <c r="AX622" s="947"/>
      <c r="AY622" s="947"/>
      <c r="AZ622" s="947"/>
      <c r="BA622" s="947"/>
      <c r="BB622" s="947"/>
      <c r="BC622" s="947"/>
      <c r="BD622" s="947"/>
      <c r="BE622" s="948"/>
      <c r="BF622" s="695"/>
    </row>
    <row r="623" spans="1:58" ht="13.15" x14ac:dyDescent="0.45">
      <c r="A623" s="695"/>
      <c r="B623" s="959" t="s">
        <v>151</v>
      </c>
      <c r="C623" s="947"/>
      <c r="D623" s="947"/>
      <c r="E623" s="947"/>
      <c r="F623" s="947"/>
      <c r="G623" s="947"/>
      <c r="H623" s="947"/>
      <c r="I623" s="947"/>
      <c r="J623" s="947"/>
      <c r="K623" s="947"/>
      <c r="L623" s="947"/>
      <c r="M623" s="947"/>
      <c r="N623" s="947"/>
      <c r="O623" s="947"/>
      <c r="P623" s="947"/>
      <c r="Q623" s="947"/>
      <c r="R623" s="947"/>
      <c r="S623" s="947"/>
      <c r="T623" s="947"/>
      <c r="U623" s="947"/>
      <c r="V623" s="947"/>
      <c r="W623" s="947"/>
      <c r="X623" s="947"/>
      <c r="Y623" s="947"/>
      <c r="Z623" s="947"/>
      <c r="AA623" s="947"/>
      <c r="AB623" s="947"/>
      <c r="AC623" s="947"/>
      <c r="AD623" s="947"/>
      <c r="AE623" s="947"/>
      <c r="AF623" s="947"/>
      <c r="AG623" s="947"/>
      <c r="AH623" s="947"/>
      <c r="AI623" s="947"/>
      <c r="AJ623" s="947"/>
      <c r="AK623" s="947"/>
      <c r="AL623" s="947"/>
      <c r="AM623" s="947"/>
      <c r="AN623" s="947"/>
      <c r="AO623" s="947"/>
      <c r="AP623" s="947"/>
      <c r="AQ623" s="947"/>
      <c r="AR623" s="947"/>
      <c r="AS623" s="947"/>
      <c r="AT623" s="947"/>
      <c r="AU623" s="947"/>
      <c r="AV623" s="947"/>
      <c r="AW623" s="947"/>
      <c r="AX623" s="947"/>
      <c r="AY623" s="947"/>
      <c r="AZ623" s="947"/>
      <c r="BA623" s="947"/>
      <c r="BB623" s="947"/>
      <c r="BC623" s="947"/>
      <c r="BD623" s="947"/>
      <c r="BE623" s="948"/>
      <c r="BF623" s="695"/>
    </row>
    <row r="624" spans="1:58" x14ac:dyDescent="0.45">
      <c r="A624" s="695"/>
      <c r="B624" s="946"/>
      <c r="C624" s="1044" t="s">
        <v>61</v>
      </c>
      <c r="D624" s="950" t="s">
        <v>748</v>
      </c>
      <c r="E624" s="947"/>
      <c r="F624" s="947"/>
      <c r="G624" s="1574">
        <f>IF('II. Inputs, Baseline Energy Mix'!$R$19&gt;0,('II. Inputs, Baseline Energy Mix'!$R$20*'II. Inputs, Baseline Energy Mix'!$R$21*'II. Inputs, Baseline Energy Mix'!$R$36*'II. Inputs, Baseline Energy Mix'!$R$39),0)</f>
        <v>0</v>
      </c>
      <c r="H624" s="947"/>
      <c r="I624" s="947"/>
      <c r="J624" s="947"/>
      <c r="K624" s="947"/>
      <c r="L624" s="947"/>
      <c r="M624" s="947"/>
      <c r="N624" s="947"/>
      <c r="O624" s="947"/>
      <c r="P624" s="947"/>
      <c r="Q624" s="947"/>
      <c r="R624" s="947"/>
      <c r="S624" s="947"/>
      <c r="T624" s="947"/>
      <c r="U624" s="947"/>
      <c r="V624" s="947"/>
      <c r="W624" s="947"/>
      <c r="X624" s="947"/>
      <c r="Y624" s="947"/>
      <c r="Z624" s="947"/>
      <c r="AA624" s="947"/>
      <c r="AB624" s="947"/>
      <c r="AC624" s="947"/>
      <c r="AD624" s="947"/>
      <c r="AE624" s="947"/>
      <c r="AF624" s="947"/>
      <c r="AG624" s="947"/>
      <c r="AH624" s="947"/>
      <c r="AI624" s="947"/>
      <c r="AJ624" s="947"/>
      <c r="AK624" s="947"/>
      <c r="AL624" s="947"/>
      <c r="AM624" s="947"/>
      <c r="AN624" s="947"/>
      <c r="AO624" s="947"/>
      <c r="AP624" s="947"/>
      <c r="AQ624" s="947"/>
      <c r="AR624" s="947"/>
      <c r="AS624" s="947"/>
      <c r="AT624" s="947"/>
      <c r="AU624" s="947"/>
      <c r="AV624" s="947"/>
      <c r="AW624" s="947"/>
      <c r="AX624" s="947"/>
      <c r="AY624" s="947"/>
      <c r="AZ624" s="947"/>
      <c r="BA624" s="947"/>
      <c r="BB624" s="947"/>
      <c r="BC624" s="947"/>
      <c r="BD624" s="947"/>
      <c r="BE624" s="948"/>
      <c r="BF624" s="695"/>
    </row>
    <row r="625" spans="1:58" x14ac:dyDescent="0.45">
      <c r="A625" s="695"/>
      <c r="B625" s="946"/>
      <c r="C625" s="1044" t="s">
        <v>62</v>
      </c>
      <c r="D625" s="950" t="s">
        <v>18</v>
      </c>
      <c r="E625" s="947"/>
      <c r="F625" s="947"/>
      <c r="G625" s="949">
        <f>SUM('II. Inputs, Baseline Energy Mix'!$R$81)</f>
        <v>0</v>
      </c>
      <c r="H625" s="947"/>
      <c r="I625" s="947"/>
      <c r="J625" s="947"/>
      <c r="K625" s="947"/>
      <c r="L625" s="947"/>
      <c r="M625" s="947"/>
      <c r="N625" s="947"/>
      <c r="O625" s="947"/>
      <c r="P625" s="947"/>
      <c r="Q625" s="947"/>
      <c r="R625" s="947"/>
      <c r="S625" s="947"/>
      <c r="T625" s="947"/>
      <c r="U625" s="947"/>
      <c r="V625" s="947"/>
      <c r="W625" s="947"/>
      <c r="X625" s="947"/>
      <c r="Y625" s="947"/>
      <c r="Z625" s="947"/>
      <c r="AA625" s="947"/>
      <c r="AB625" s="947"/>
      <c r="AC625" s="947"/>
      <c r="AD625" s="947"/>
      <c r="AE625" s="947"/>
      <c r="AF625" s="947"/>
      <c r="AG625" s="947"/>
      <c r="AH625" s="947"/>
      <c r="AI625" s="947"/>
      <c r="AJ625" s="947"/>
      <c r="AK625" s="947"/>
      <c r="AL625" s="947"/>
      <c r="AM625" s="947"/>
      <c r="AN625" s="947"/>
      <c r="AO625" s="947"/>
      <c r="AP625" s="947"/>
      <c r="AQ625" s="947"/>
      <c r="AR625" s="947"/>
      <c r="AS625" s="947"/>
      <c r="AT625" s="947"/>
      <c r="AU625" s="947"/>
      <c r="AV625" s="947"/>
      <c r="AW625" s="947"/>
      <c r="AX625" s="947"/>
      <c r="AY625" s="947"/>
      <c r="AZ625" s="947"/>
      <c r="BA625" s="947"/>
      <c r="BB625" s="947"/>
      <c r="BC625" s="947"/>
      <c r="BD625" s="947"/>
      <c r="BE625" s="948"/>
      <c r="BF625" s="695"/>
    </row>
    <row r="626" spans="1:58" x14ac:dyDescent="0.45">
      <c r="A626" s="695"/>
      <c r="B626" s="946"/>
      <c r="C626" s="1044" t="s">
        <v>63</v>
      </c>
      <c r="D626" s="950" t="s">
        <v>14</v>
      </c>
      <c r="E626" s="947"/>
      <c r="F626" s="947"/>
      <c r="G626" s="1045">
        <f>SUM('II. Inputs, Baseline Energy Mix'!$R$80)</f>
        <v>0</v>
      </c>
      <c r="H626" s="947"/>
      <c r="I626" s="947"/>
      <c r="J626" s="947"/>
      <c r="K626" s="947"/>
      <c r="L626" s="947"/>
      <c r="M626" s="947"/>
      <c r="N626" s="947"/>
      <c r="O626" s="947"/>
      <c r="P626" s="947"/>
      <c r="Q626" s="947"/>
      <c r="R626" s="947"/>
      <c r="S626" s="947"/>
      <c r="T626" s="947"/>
      <c r="U626" s="947"/>
      <c r="V626" s="947"/>
      <c r="W626" s="947"/>
      <c r="X626" s="947"/>
      <c r="Y626" s="947"/>
      <c r="Z626" s="947"/>
      <c r="AA626" s="947"/>
      <c r="AB626" s="947"/>
      <c r="AC626" s="947"/>
      <c r="AD626" s="947"/>
      <c r="AE626" s="947"/>
      <c r="AF626" s="947"/>
      <c r="AG626" s="947"/>
      <c r="AH626" s="947"/>
      <c r="AI626" s="947"/>
      <c r="AJ626" s="947"/>
      <c r="AK626" s="947"/>
      <c r="AL626" s="947"/>
      <c r="AM626" s="947"/>
      <c r="AN626" s="947"/>
      <c r="AO626" s="947"/>
      <c r="AP626" s="947"/>
      <c r="AQ626" s="947"/>
      <c r="AR626" s="947"/>
      <c r="AS626" s="947"/>
      <c r="AT626" s="947"/>
      <c r="AU626" s="947"/>
      <c r="AV626" s="947"/>
      <c r="AW626" s="947"/>
      <c r="AX626" s="947"/>
      <c r="AY626" s="947"/>
      <c r="AZ626" s="947"/>
      <c r="BA626" s="947"/>
      <c r="BB626" s="947"/>
      <c r="BC626" s="947"/>
      <c r="BD626" s="947"/>
      <c r="BE626" s="948"/>
      <c r="BF626" s="695"/>
    </row>
    <row r="627" spans="1:58" x14ac:dyDescent="0.45">
      <c r="A627" s="695"/>
      <c r="B627" s="946"/>
      <c r="C627" s="1044" t="str">
        <f>'II. Inputs, Baseline Energy Mix'!$E$83</f>
        <v>Guarantee Coverage, as a % of Commercial Loan Value</v>
      </c>
      <c r="D627" s="950" t="s">
        <v>14</v>
      </c>
      <c r="E627" s="947"/>
      <c r="F627" s="947"/>
      <c r="G627" s="1048">
        <f>SUM('II. Inputs, Baseline Energy Mix'!$R$83)</f>
        <v>0</v>
      </c>
      <c r="H627" s="947"/>
      <c r="I627" s="947"/>
      <c r="J627" s="947"/>
      <c r="K627" s="947"/>
      <c r="L627" s="947"/>
      <c r="M627" s="947"/>
      <c r="N627" s="947"/>
      <c r="O627" s="947"/>
      <c r="P627" s="947"/>
      <c r="Q627" s="947"/>
      <c r="R627" s="947"/>
      <c r="S627" s="947"/>
      <c r="T627" s="947"/>
      <c r="U627" s="947"/>
      <c r="V627" s="947"/>
      <c r="W627" s="947"/>
      <c r="X627" s="947"/>
      <c r="Y627" s="947"/>
      <c r="Z627" s="947"/>
      <c r="AA627" s="947"/>
      <c r="AB627" s="947"/>
      <c r="AC627" s="947"/>
      <c r="AD627" s="947"/>
      <c r="AE627" s="947"/>
      <c r="AF627" s="947"/>
      <c r="AG627" s="947"/>
      <c r="AH627" s="947"/>
      <c r="AI627" s="947"/>
      <c r="AJ627" s="947"/>
      <c r="AK627" s="947"/>
      <c r="AL627" s="947"/>
      <c r="AM627" s="947"/>
      <c r="AN627" s="947"/>
      <c r="AO627" s="947"/>
      <c r="AP627" s="947"/>
      <c r="AQ627" s="947"/>
      <c r="AR627" s="947"/>
      <c r="AS627" s="947"/>
      <c r="AT627" s="947"/>
      <c r="AU627" s="947"/>
      <c r="AV627" s="947"/>
      <c r="AW627" s="947"/>
      <c r="AX627" s="947"/>
      <c r="AY627" s="947"/>
      <c r="AZ627" s="947"/>
      <c r="BA627" s="947"/>
      <c r="BB627" s="947"/>
      <c r="BC627" s="947"/>
      <c r="BD627" s="947"/>
      <c r="BE627" s="948"/>
      <c r="BF627" s="695"/>
    </row>
    <row r="628" spans="1:58" x14ac:dyDescent="0.45">
      <c r="A628" s="695"/>
      <c r="B628" s="946"/>
      <c r="C628" s="1044" t="str">
        <f>'II. Inputs, Baseline Energy Mix'!$E$84</f>
        <v xml:space="preserve">Term of Public Guarantee Coverage </v>
      </c>
      <c r="D628" s="950" t="s">
        <v>18</v>
      </c>
      <c r="E628" s="947"/>
      <c r="F628" s="947"/>
      <c r="G628" s="949">
        <f>'II. Inputs, Baseline Energy Mix'!$R$84</f>
        <v>0</v>
      </c>
      <c r="H628" s="947"/>
      <c r="I628" s="947"/>
      <c r="J628" s="947"/>
      <c r="K628" s="947"/>
      <c r="L628" s="947"/>
      <c r="M628" s="947"/>
      <c r="N628" s="947"/>
      <c r="O628" s="947"/>
      <c r="P628" s="947"/>
      <c r="Q628" s="947"/>
      <c r="R628" s="947"/>
      <c r="S628" s="947"/>
      <c r="T628" s="947"/>
      <c r="U628" s="947"/>
      <c r="V628" s="947"/>
      <c r="W628" s="947"/>
      <c r="X628" s="947"/>
      <c r="Y628" s="947"/>
      <c r="Z628" s="947"/>
      <c r="AA628" s="947"/>
      <c r="AB628" s="947"/>
      <c r="AC628" s="947"/>
      <c r="AD628" s="947"/>
      <c r="AE628" s="947"/>
      <c r="AF628" s="947"/>
      <c r="AG628" s="947"/>
      <c r="AH628" s="947"/>
      <c r="AI628" s="947"/>
      <c r="AJ628" s="947"/>
      <c r="AK628" s="947"/>
      <c r="AL628" s="947"/>
      <c r="AM628" s="947"/>
      <c r="AN628" s="947"/>
      <c r="AO628" s="947"/>
      <c r="AP628" s="947"/>
      <c r="AQ628" s="947"/>
      <c r="AR628" s="947"/>
      <c r="AS628" s="947"/>
      <c r="AT628" s="947"/>
      <c r="AU628" s="947"/>
      <c r="AV628" s="947"/>
      <c r="AW628" s="947"/>
      <c r="AX628" s="947"/>
      <c r="AY628" s="947"/>
      <c r="AZ628" s="947"/>
      <c r="BA628" s="947"/>
      <c r="BB628" s="947"/>
      <c r="BC628" s="947"/>
      <c r="BD628" s="947"/>
      <c r="BE628" s="948"/>
      <c r="BF628" s="695"/>
    </row>
    <row r="629" spans="1:58" x14ac:dyDescent="0.45">
      <c r="A629" s="695"/>
      <c r="B629" s="946"/>
      <c r="C629" s="947"/>
      <c r="D629" s="947"/>
      <c r="E629" s="947"/>
      <c r="F629" s="947"/>
      <c r="G629" s="947"/>
      <c r="H629" s="947"/>
      <c r="I629" s="947"/>
      <c r="J629" s="947"/>
      <c r="K629" s="947"/>
      <c r="L629" s="947"/>
      <c r="M629" s="947"/>
      <c r="N629" s="947"/>
      <c r="O629" s="947"/>
      <c r="P629" s="947"/>
      <c r="Q629" s="947"/>
      <c r="R629" s="947"/>
      <c r="S629" s="947"/>
      <c r="T629" s="947"/>
      <c r="U629" s="947"/>
      <c r="V629" s="947"/>
      <c r="W629" s="947"/>
      <c r="X629" s="947"/>
      <c r="Y629" s="947"/>
      <c r="Z629" s="947"/>
      <c r="AA629" s="947"/>
      <c r="AB629" s="947"/>
      <c r="AC629" s="947"/>
      <c r="AD629" s="947"/>
      <c r="AE629" s="947"/>
      <c r="AF629" s="947"/>
      <c r="AG629" s="947"/>
      <c r="AH629" s="947"/>
      <c r="AI629" s="947"/>
      <c r="AJ629" s="947"/>
      <c r="AK629" s="947"/>
      <c r="AL629" s="947"/>
      <c r="AM629" s="947"/>
      <c r="AN629" s="947"/>
      <c r="AO629" s="947"/>
      <c r="AP629" s="947"/>
      <c r="AQ629" s="947"/>
      <c r="AR629" s="947"/>
      <c r="AS629" s="947"/>
      <c r="AT629" s="947"/>
      <c r="AU629" s="947"/>
      <c r="AV629" s="947"/>
      <c r="AW629" s="947"/>
      <c r="AX629" s="947"/>
      <c r="AY629" s="947"/>
      <c r="AZ629" s="947"/>
      <c r="BA629" s="947"/>
      <c r="BB629" s="947"/>
      <c r="BC629" s="947"/>
      <c r="BD629" s="947"/>
      <c r="BE629" s="948"/>
      <c r="BF629" s="695"/>
    </row>
    <row r="630" spans="1:58" x14ac:dyDescent="0.45">
      <c r="A630" s="695"/>
      <c r="B630" s="946"/>
      <c r="C630" s="1046" t="s">
        <v>60</v>
      </c>
      <c r="D630" s="947"/>
      <c r="E630" s="947"/>
      <c r="F630" s="947"/>
      <c r="G630" s="1574"/>
      <c r="H630" s="1574"/>
      <c r="I630" s="1574"/>
      <c r="J630" s="1574"/>
      <c r="K630" s="1574"/>
      <c r="L630" s="1574"/>
      <c r="M630" s="1574"/>
      <c r="N630" s="1574"/>
      <c r="O630" s="1574"/>
      <c r="P630" s="1574"/>
      <c r="Q630" s="1574"/>
      <c r="R630" s="1574"/>
      <c r="S630" s="1574"/>
      <c r="T630" s="1574"/>
      <c r="U630" s="1574"/>
      <c r="V630" s="1574"/>
      <c r="W630" s="1574"/>
      <c r="X630" s="1574"/>
      <c r="Y630" s="1574"/>
      <c r="Z630" s="1574"/>
      <c r="AA630" s="1574"/>
      <c r="AB630" s="1574"/>
      <c r="AC630" s="1574"/>
      <c r="AD630" s="1574"/>
      <c r="AE630" s="1574"/>
      <c r="AF630" s="1574"/>
      <c r="AG630" s="1574"/>
      <c r="AH630" s="1574"/>
      <c r="AI630" s="1574"/>
      <c r="AJ630" s="1574"/>
      <c r="AK630" s="1574"/>
      <c r="AL630" s="1574"/>
      <c r="AM630" s="1574"/>
      <c r="AN630" s="1574"/>
      <c r="AO630" s="1574"/>
      <c r="AP630" s="1574"/>
      <c r="AQ630" s="1574"/>
      <c r="AR630" s="1574"/>
      <c r="AS630" s="1574"/>
      <c r="AT630" s="1574"/>
      <c r="AU630" s="1574"/>
      <c r="AV630" s="1574"/>
      <c r="AW630" s="1574"/>
      <c r="AX630" s="1574"/>
      <c r="AY630" s="1574"/>
      <c r="AZ630" s="1574"/>
      <c r="BA630" s="1574"/>
      <c r="BB630" s="1574"/>
      <c r="BC630" s="1574"/>
      <c r="BD630" s="1574"/>
      <c r="BE630" s="1575"/>
      <c r="BF630" s="1548"/>
    </row>
    <row r="631" spans="1:58" x14ac:dyDescent="0.45">
      <c r="A631" s="695"/>
      <c r="B631" s="946"/>
      <c r="C631" s="947" t="s">
        <v>66</v>
      </c>
      <c r="D631" s="947"/>
      <c r="E631" s="947"/>
      <c r="F631" s="947"/>
      <c r="G631" s="1574"/>
      <c r="H631" s="1574">
        <f>IF(H$292&gt;$G625,0,IPMT($G626,H$292,$G625,-$G624))</f>
        <v>0</v>
      </c>
      <c r="I631" s="1574">
        <f t="shared" ref="I631:BE631" si="215">IF(I$292&gt;$G625,0,IPMT($G626,I$292,$G625,-$G624))</f>
        <v>0</v>
      </c>
      <c r="J631" s="1574">
        <f t="shared" si="215"/>
        <v>0</v>
      </c>
      <c r="K631" s="1574">
        <f t="shared" si="215"/>
        <v>0</v>
      </c>
      <c r="L631" s="1574">
        <f t="shared" si="215"/>
        <v>0</v>
      </c>
      <c r="M631" s="1574">
        <f t="shared" si="215"/>
        <v>0</v>
      </c>
      <c r="N631" s="1574">
        <f t="shared" si="215"/>
        <v>0</v>
      </c>
      <c r="O631" s="1574">
        <f t="shared" si="215"/>
        <v>0</v>
      </c>
      <c r="P631" s="1574">
        <f t="shared" si="215"/>
        <v>0</v>
      </c>
      <c r="Q631" s="1574">
        <f t="shared" si="215"/>
        <v>0</v>
      </c>
      <c r="R631" s="1574">
        <f t="shared" si="215"/>
        <v>0</v>
      </c>
      <c r="S631" s="1574">
        <f t="shared" si="215"/>
        <v>0</v>
      </c>
      <c r="T631" s="1574">
        <f t="shared" si="215"/>
        <v>0</v>
      </c>
      <c r="U631" s="1574">
        <f t="shared" si="215"/>
        <v>0</v>
      </c>
      <c r="V631" s="1574">
        <f t="shared" si="215"/>
        <v>0</v>
      </c>
      <c r="W631" s="1574">
        <f t="shared" si="215"/>
        <v>0</v>
      </c>
      <c r="X631" s="1574">
        <f t="shared" si="215"/>
        <v>0</v>
      </c>
      <c r="Y631" s="1574">
        <f t="shared" si="215"/>
        <v>0</v>
      </c>
      <c r="Z631" s="1574">
        <f t="shared" si="215"/>
        <v>0</v>
      </c>
      <c r="AA631" s="1574">
        <f t="shared" si="215"/>
        <v>0</v>
      </c>
      <c r="AB631" s="1574">
        <f t="shared" si="215"/>
        <v>0</v>
      </c>
      <c r="AC631" s="1574">
        <f t="shared" si="215"/>
        <v>0</v>
      </c>
      <c r="AD631" s="1574">
        <f t="shared" si="215"/>
        <v>0</v>
      </c>
      <c r="AE631" s="1574">
        <f t="shared" si="215"/>
        <v>0</v>
      </c>
      <c r="AF631" s="1574">
        <f t="shared" si="215"/>
        <v>0</v>
      </c>
      <c r="AG631" s="1574">
        <f t="shared" si="215"/>
        <v>0</v>
      </c>
      <c r="AH631" s="1574">
        <f t="shared" si="215"/>
        <v>0</v>
      </c>
      <c r="AI631" s="1574">
        <f t="shared" si="215"/>
        <v>0</v>
      </c>
      <c r="AJ631" s="1574">
        <f t="shared" si="215"/>
        <v>0</v>
      </c>
      <c r="AK631" s="1574">
        <f t="shared" si="215"/>
        <v>0</v>
      </c>
      <c r="AL631" s="1574">
        <f t="shared" si="215"/>
        <v>0</v>
      </c>
      <c r="AM631" s="1574">
        <f t="shared" si="215"/>
        <v>0</v>
      </c>
      <c r="AN631" s="1574">
        <f t="shared" si="215"/>
        <v>0</v>
      </c>
      <c r="AO631" s="1574">
        <f t="shared" si="215"/>
        <v>0</v>
      </c>
      <c r="AP631" s="1574">
        <f t="shared" si="215"/>
        <v>0</v>
      </c>
      <c r="AQ631" s="1574">
        <f t="shared" si="215"/>
        <v>0</v>
      </c>
      <c r="AR631" s="1574">
        <f t="shared" si="215"/>
        <v>0</v>
      </c>
      <c r="AS631" s="1574">
        <f t="shared" si="215"/>
        <v>0</v>
      </c>
      <c r="AT631" s="1574">
        <f t="shared" si="215"/>
        <v>0</v>
      </c>
      <c r="AU631" s="1574">
        <f t="shared" si="215"/>
        <v>0</v>
      </c>
      <c r="AV631" s="1574">
        <f t="shared" si="215"/>
        <v>0</v>
      </c>
      <c r="AW631" s="1574">
        <f t="shared" si="215"/>
        <v>0</v>
      </c>
      <c r="AX631" s="1574">
        <f t="shared" si="215"/>
        <v>0</v>
      </c>
      <c r="AY631" s="1574">
        <f t="shared" si="215"/>
        <v>0</v>
      </c>
      <c r="AZ631" s="1574">
        <f t="shared" si="215"/>
        <v>0</v>
      </c>
      <c r="BA631" s="1574">
        <f t="shared" si="215"/>
        <v>0</v>
      </c>
      <c r="BB631" s="1574">
        <f t="shared" si="215"/>
        <v>0</v>
      </c>
      <c r="BC631" s="1574">
        <f t="shared" si="215"/>
        <v>0</v>
      </c>
      <c r="BD631" s="1574">
        <f t="shared" si="215"/>
        <v>0</v>
      </c>
      <c r="BE631" s="1575">
        <f t="shared" si="215"/>
        <v>0</v>
      </c>
      <c r="BF631" s="1548"/>
    </row>
    <row r="632" spans="1:58" x14ac:dyDescent="0.45">
      <c r="A632" s="695"/>
      <c r="B632" s="946"/>
      <c r="C632" s="954" t="s">
        <v>65</v>
      </c>
      <c r="D632" s="954"/>
      <c r="E632" s="954"/>
      <c r="F632" s="954"/>
      <c r="G632" s="1576"/>
      <c r="H632" s="1576">
        <f>IF(H$292&gt;$G625,0,PPMT($G626,H$292,$G625,-$G624))</f>
        <v>0</v>
      </c>
      <c r="I632" s="1576">
        <f t="shared" ref="I632:BE632" si="216">IF(I$292&gt;$G625,0,PPMT($G626,I$292,$G625,-$G624))</f>
        <v>0</v>
      </c>
      <c r="J632" s="1576">
        <f t="shared" si="216"/>
        <v>0</v>
      </c>
      <c r="K632" s="1576">
        <f t="shared" si="216"/>
        <v>0</v>
      </c>
      <c r="L632" s="1576">
        <f t="shared" si="216"/>
        <v>0</v>
      </c>
      <c r="M632" s="1576">
        <f t="shared" si="216"/>
        <v>0</v>
      </c>
      <c r="N632" s="1576">
        <f t="shared" si="216"/>
        <v>0</v>
      </c>
      <c r="O632" s="1576">
        <f t="shared" si="216"/>
        <v>0</v>
      </c>
      <c r="P632" s="1576">
        <f t="shared" si="216"/>
        <v>0</v>
      </c>
      <c r="Q632" s="1576">
        <f t="shared" si="216"/>
        <v>0</v>
      </c>
      <c r="R632" s="1576">
        <f t="shared" si="216"/>
        <v>0</v>
      </c>
      <c r="S632" s="1576">
        <f t="shared" si="216"/>
        <v>0</v>
      </c>
      <c r="T632" s="1576">
        <f t="shared" si="216"/>
        <v>0</v>
      </c>
      <c r="U632" s="1576">
        <f t="shared" si="216"/>
        <v>0</v>
      </c>
      <c r="V632" s="1576">
        <f t="shared" si="216"/>
        <v>0</v>
      </c>
      <c r="W632" s="1576">
        <f t="shared" si="216"/>
        <v>0</v>
      </c>
      <c r="X632" s="1576">
        <f t="shared" si="216"/>
        <v>0</v>
      </c>
      <c r="Y632" s="1576">
        <f t="shared" si="216"/>
        <v>0</v>
      </c>
      <c r="Z632" s="1576">
        <f t="shared" si="216"/>
        <v>0</v>
      </c>
      <c r="AA632" s="1576">
        <f t="shared" si="216"/>
        <v>0</v>
      </c>
      <c r="AB632" s="1576">
        <f t="shared" si="216"/>
        <v>0</v>
      </c>
      <c r="AC632" s="1576">
        <f t="shared" si="216"/>
        <v>0</v>
      </c>
      <c r="AD632" s="1576">
        <f t="shared" si="216"/>
        <v>0</v>
      </c>
      <c r="AE632" s="1576">
        <f t="shared" si="216"/>
        <v>0</v>
      </c>
      <c r="AF632" s="1576">
        <f t="shared" si="216"/>
        <v>0</v>
      </c>
      <c r="AG632" s="1576">
        <f t="shared" si="216"/>
        <v>0</v>
      </c>
      <c r="AH632" s="1576">
        <f t="shared" si="216"/>
        <v>0</v>
      </c>
      <c r="AI632" s="1576">
        <f t="shared" si="216"/>
        <v>0</v>
      </c>
      <c r="AJ632" s="1576">
        <f t="shared" si="216"/>
        <v>0</v>
      </c>
      <c r="AK632" s="1576">
        <f t="shared" si="216"/>
        <v>0</v>
      </c>
      <c r="AL632" s="1576">
        <f t="shared" si="216"/>
        <v>0</v>
      </c>
      <c r="AM632" s="1576">
        <f t="shared" si="216"/>
        <v>0</v>
      </c>
      <c r="AN632" s="1576">
        <f t="shared" si="216"/>
        <v>0</v>
      </c>
      <c r="AO632" s="1576">
        <f t="shared" si="216"/>
        <v>0</v>
      </c>
      <c r="AP632" s="1576">
        <f t="shared" si="216"/>
        <v>0</v>
      </c>
      <c r="AQ632" s="1576">
        <f t="shared" si="216"/>
        <v>0</v>
      </c>
      <c r="AR632" s="1576">
        <f t="shared" si="216"/>
        <v>0</v>
      </c>
      <c r="AS632" s="1576">
        <f t="shared" si="216"/>
        <v>0</v>
      </c>
      <c r="AT632" s="1576">
        <f t="shared" si="216"/>
        <v>0</v>
      </c>
      <c r="AU632" s="1576">
        <f t="shared" si="216"/>
        <v>0</v>
      </c>
      <c r="AV632" s="1576">
        <f t="shared" si="216"/>
        <v>0</v>
      </c>
      <c r="AW632" s="1576">
        <f t="shared" si="216"/>
        <v>0</v>
      </c>
      <c r="AX632" s="1576">
        <f t="shared" si="216"/>
        <v>0</v>
      </c>
      <c r="AY632" s="1576">
        <f t="shared" si="216"/>
        <v>0</v>
      </c>
      <c r="AZ632" s="1576">
        <f t="shared" si="216"/>
        <v>0</v>
      </c>
      <c r="BA632" s="1576">
        <f t="shared" si="216"/>
        <v>0</v>
      </c>
      <c r="BB632" s="1576">
        <f t="shared" si="216"/>
        <v>0</v>
      </c>
      <c r="BC632" s="1576">
        <f t="shared" si="216"/>
        <v>0</v>
      </c>
      <c r="BD632" s="1576">
        <f t="shared" si="216"/>
        <v>0</v>
      </c>
      <c r="BE632" s="1577">
        <f t="shared" si="216"/>
        <v>0</v>
      </c>
      <c r="BF632" s="1548"/>
    </row>
    <row r="633" spans="1:58" x14ac:dyDescent="0.45">
      <c r="A633" s="695"/>
      <c r="B633" s="946"/>
      <c r="C633" s="947" t="s">
        <v>67</v>
      </c>
      <c r="D633" s="947"/>
      <c r="E633" s="947"/>
      <c r="F633" s="947"/>
      <c r="G633" s="1574"/>
      <c r="H633" s="1574">
        <f>SUM(H631:H632)</f>
        <v>0</v>
      </c>
      <c r="I633" s="1574">
        <f t="shared" ref="I633:BE633" si="217">SUM(I631:I632)</f>
        <v>0</v>
      </c>
      <c r="J633" s="1574">
        <f t="shared" si="217"/>
        <v>0</v>
      </c>
      <c r="K633" s="1574">
        <f t="shared" si="217"/>
        <v>0</v>
      </c>
      <c r="L633" s="1574">
        <f t="shared" si="217"/>
        <v>0</v>
      </c>
      <c r="M633" s="1574">
        <f t="shared" si="217"/>
        <v>0</v>
      </c>
      <c r="N633" s="1574">
        <f t="shared" si="217"/>
        <v>0</v>
      </c>
      <c r="O633" s="1574">
        <f t="shared" si="217"/>
        <v>0</v>
      </c>
      <c r="P633" s="1574">
        <f t="shared" si="217"/>
        <v>0</v>
      </c>
      <c r="Q633" s="1574">
        <f t="shared" si="217"/>
        <v>0</v>
      </c>
      <c r="R633" s="1574">
        <f t="shared" si="217"/>
        <v>0</v>
      </c>
      <c r="S633" s="1574">
        <f t="shared" si="217"/>
        <v>0</v>
      </c>
      <c r="T633" s="1574">
        <f t="shared" si="217"/>
        <v>0</v>
      </c>
      <c r="U633" s="1574">
        <f t="shared" si="217"/>
        <v>0</v>
      </c>
      <c r="V633" s="1574">
        <f t="shared" si="217"/>
        <v>0</v>
      </c>
      <c r="W633" s="1574">
        <f t="shared" si="217"/>
        <v>0</v>
      </c>
      <c r="X633" s="1574">
        <f t="shared" si="217"/>
        <v>0</v>
      </c>
      <c r="Y633" s="1574">
        <f t="shared" si="217"/>
        <v>0</v>
      </c>
      <c r="Z633" s="1574">
        <f t="shared" si="217"/>
        <v>0</v>
      </c>
      <c r="AA633" s="1574">
        <f t="shared" si="217"/>
        <v>0</v>
      </c>
      <c r="AB633" s="1574">
        <f t="shared" si="217"/>
        <v>0</v>
      </c>
      <c r="AC633" s="1574">
        <f t="shared" si="217"/>
        <v>0</v>
      </c>
      <c r="AD633" s="1574">
        <f t="shared" si="217"/>
        <v>0</v>
      </c>
      <c r="AE633" s="1574">
        <f t="shared" si="217"/>
        <v>0</v>
      </c>
      <c r="AF633" s="1574">
        <f t="shared" si="217"/>
        <v>0</v>
      </c>
      <c r="AG633" s="1574">
        <f t="shared" si="217"/>
        <v>0</v>
      </c>
      <c r="AH633" s="1574">
        <f t="shared" si="217"/>
        <v>0</v>
      </c>
      <c r="AI633" s="1574">
        <f t="shared" si="217"/>
        <v>0</v>
      </c>
      <c r="AJ633" s="1574">
        <f t="shared" si="217"/>
        <v>0</v>
      </c>
      <c r="AK633" s="1574">
        <f t="shared" si="217"/>
        <v>0</v>
      </c>
      <c r="AL633" s="1574">
        <f t="shared" si="217"/>
        <v>0</v>
      </c>
      <c r="AM633" s="1574">
        <f t="shared" si="217"/>
        <v>0</v>
      </c>
      <c r="AN633" s="1574">
        <f t="shared" si="217"/>
        <v>0</v>
      </c>
      <c r="AO633" s="1574">
        <f t="shared" si="217"/>
        <v>0</v>
      </c>
      <c r="AP633" s="1574">
        <f t="shared" si="217"/>
        <v>0</v>
      </c>
      <c r="AQ633" s="1574">
        <f t="shared" si="217"/>
        <v>0</v>
      </c>
      <c r="AR633" s="1574">
        <f t="shared" si="217"/>
        <v>0</v>
      </c>
      <c r="AS633" s="1574">
        <f t="shared" si="217"/>
        <v>0</v>
      </c>
      <c r="AT633" s="1574">
        <f t="shared" si="217"/>
        <v>0</v>
      </c>
      <c r="AU633" s="1574">
        <f t="shared" si="217"/>
        <v>0</v>
      </c>
      <c r="AV633" s="1574">
        <f t="shared" si="217"/>
        <v>0</v>
      </c>
      <c r="AW633" s="1574">
        <f t="shared" si="217"/>
        <v>0</v>
      </c>
      <c r="AX633" s="1574">
        <f t="shared" si="217"/>
        <v>0</v>
      </c>
      <c r="AY633" s="1574">
        <f t="shared" si="217"/>
        <v>0</v>
      </c>
      <c r="AZ633" s="1574">
        <f t="shared" si="217"/>
        <v>0</v>
      </c>
      <c r="BA633" s="1574">
        <f t="shared" si="217"/>
        <v>0</v>
      </c>
      <c r="BB633" s="1574">
        <f t="shared" si="217"/>
        <v>0</v>
      </c>
      <c r="BC633" s="1574">
        <f t="shared" si="217"/>
        <v>0</v>
      </c>
      <c r="BD633" s="1574">
        <f t="shared" si="217"/>
        <v>0</v>
      </c>
      <c r="BE633" s="1575">
        <f t="shared" si="217"/>
        <v>0</v>
      </c>
      <c r="BF633" s="1548"/>
    </row>
    <row r="634" spans="1:58" x14ac:dyDescent="0.45">
      <c r="A634" s="695"/>
      <c r="B634" s="946"/>
      <c r="C634" s="947"/>
      <c r="D634" s="947"/>
      <c r="E634" s="947"/>
      <c r="F634" s="947"/>
      <c r="G634" s="1574"/>
      <c r="H634" s="1574"/>
      <c r="I634" s="1574"/>
      <c r="J634" s="1574"/>
      <c r="K634" s="1574"/>
      <c r="L634" s="1574"/>
      <c r="M634" s="1574"/>
      <c r="N634" s="1574"/>
      <c r="O634" s="1574"/>
      <c r="P634" s="1574"/>
      <c r="Q634" s="1574"/>
      <c r="R634" s="1574"/>
      <c r="S634" s="1574"/>
      <c r="T634" s="1574"/>
      <c r="U634" s="1574"/>
      <c r="V634" s="1574"/>
      <c r="W634" s="1574"/>
      <c r="X634" s="1574"/>
      <c r="Y634" s="1574"/>
      <c r="Z634" s="1574"/>
      <c r="AA634" s="1574"/>
      <c r="AB634" s="1574"/>
      <c r="AC634" s="1574"/>
      <c r="AD634" s="1574"/>
      <c r="AE634" s="1574"/>
      <c r="AF634" s="1574"/>
      <c r="AG634" s="1574"/>
      <c r="AH634" s="1574"/>
      <c r="AI634" s="1574"/>
      <c r="AJ634" s="1574"/>
      <c r="AK634" s="1574"/>
      <c r="AL634" s="1574"/>
      <c r="AM634" s="1574"/>
      <c r="AN634" s="1574"/>
      <c r="AO634" s="1574"/>
      <c r="AP634" s="1574"/>
      <c r="AQ634" s="1574"/>
      <c r="AR634" s="1574"/>
      <c r="AS634" s="1574"/>
      <c r="AT634" s="1574"/>
      <c r="AU634" s="1574"/>
      <c r="AV634" s="1574"/>
      <c r="AW634" s="1574"/>
      <c r="AX634" s="1574"/>
      <c r="AY634" s="1574"/>
      <c r="AZ634" s="1574"/>
      <c r="BA634" s="1574"/>
      <c r="BB634" s="1574"/>
      <c r="BC634" s="1574"/>
      <c r="BD634" s="1574"/>
      <c r="BE634" s="1575"/>
      <c r="BF634" s="1548"/>
    </row>
    <row r="635" spans="1:58" x14ac:dyDescent="0.45">
      <c r="A635" s="695"/>
      <c r="B635" s="946"/>
      <c r="C635" s="1047" t="s">
        <v>58</v>
      </c>
      <c r="D635" s="947"/>
      <c r="E635" s="947"/>
      <c r="F635" s="947"/>
      <c r="G635" s="1574"/>
      <c r="H635" s="1574"/>
      <c r="I635" s="1574"/>
      <c r="J635" s="1574"/>
      <c r="K635" s="1574"/>
      <c r="L635" s="1574"/>
      <c r="M635" s="1574"/>
      <c r="N635" s="1574"/>
      <c r="O635" s="1574"/>
      <c r="P635" s="1574"/>
      <c r="Q635" s="1574"/>
      <c r="R635" s="1574"/>
      <c r="S635" s="1574"/>
      <c r="T635" s="1574"/>
      <c r="U635" s="1574"/>
      <c r="V635" s="1574"/>
      <c r="W635" s="1574"/>
      <c r="X635" s="1574"/>
      <c r="Y635" s="1574"/>
      <c r="Z635" s="1574"/>
      <c r="AA635" s="1574"/>
      <c r="AB635" s="1574"/>
      <c r="AC635" s="1574"/>
      <c r="AD635" s="1574"/>
      <c r="AE635" s="1574"/>
      <c r="AF635" s="1574"/>
      <c r="AG635" s="1574"/>
      <c r="AH635" s="1574"/>
      <c r="AI635" s="1574"/>
      <c r="AJ635" s="1574"/>
      <c r="AK635" s="1574"/>
      <c r="AL635" s="1574"/>
      <c r="AM635" s="1574"/>
      <c r="AN635" s="1574"/>
      <c r="AO635" s="1574"/>
      <c r="AP635" s="1574"/>
      <c r="AQ635" s="1574"/>
      <c r="AR635" s="1574"/>
      <c r="AS635" s="1574"/>
      <c r="AT635" s="1574"/>
      <c r="AU635" s="1574"/>
      <c r="AV635" s="1574"/>
      <c r="AW635" s="1574"/>
      <c r="AX635" s="1574"/>
      <c r="AY635" s="1574"/>
      <c r="AZ635" s="1574"/>
      <c r="BA635" s="1574"/>
      <c r="BB635" s="1574"/>
      <c r="BC635" s="1574"/>
      <c r="BD635" s="1574"/>
      <c r="BE635" s="1575"/>
      <c r="BF635" s="1548"/>
    </row>
    <row r="636" spans="1:58" x14ac:dyDescent="0.45">
      <c r="A636" s="695"/>
      <c r="B636" s="946"/>
      <c r="C636" s="947" t="s">
        <v>68</v>
      </c>
      <c r="D636" s="947"/>
      <c r="E636" s="947"/>
      <c r="F636" s="947"/>
      <c r="G636" s="1574">
        <v>0</v>
      </c>
      <c r="H636" s="1574">
        <f t="shared" ref="H636:AM636" si="218">G639</f>
        <v>0</v>
      </c>
      <c r="I636" s="1574">
        <f t="shared" si="218"/>
        <v>0</v>
      </c>
      <c r="J636" s="1574">
        <f t="shared" si="218"/>
        <v>0</v>
      </c>
      <c r="K636" s="1574">
        <f t="shared" si="218"/>
        <v>0</v>
      </c>
      <c r="L636" s="1574">
        <f t="shared" si="218"/>
        <v>0</v>
      </c>
      <c r="M636" s="1574">
        <f t="shared" si="218"/>
        <v>0</v>
      </c>
      <c r="N636" s="1574">
        <f t="shared" si="218"/>
        <v>0</v>
      </c>
      <c r="O636" s="1574">
        <f t="shared" si="218"/>
        <v>0</v>
      </c>
      <c r="P636" s="1574">
        <f t="shared" si="218"/>
        <v>0</v>
      </c>
      <c r="Q636" s="1574">
        <f t="shared" si="218"/>
        <v>0</v>
      </c>
      <c r="R636" s="1574">
        <f t="shared" si="218"/>
        <v>0</v>
      </c>
      <c r="S636" s="1574">
        <f t="shared" si="218"/>
        <v>0</v>
      </c>
      <c r="T636" s="1574">
        <f t="shared" si="218"/>
        <v>0</v>
      </c>
      <c r="U636" s="1574">
        <f t="shared" si="218"/>
        <v>0</v>
      </c>
      <c r="V636" s="1574">
        <f t="shared" si="218"/>
        <v>0</v>
      </c>
      <c r="W636" s="1574">
        <f t="shared" si="218"/>
        <v>0</v>
      </c>
      <c r="X636" s="1574">
        <f t="shared" si="218"/>
        <v>0</v>
      </c>
      <c r="Y636" s="1574">
        <f t="shared" si="218"/>
        <v>0</v>
      </c>
      <c r="Z636" s="1574">
        <f t="shared" si="218"/>
        <v>0</v>
      </c>
      <c r="AA636" s="1574">
        <f t="shared" si="218"/>
        <v>0</v>
      </c>
      <c r="AB636" s="1574">
        <f t="shared" si="218"/>
        <v>0</v>
      </c>
      <c r="AC636" s="1574">
        <f t="shared" si="218"/>
        <v>0</v>
      </c>
      <c r="AD636" s="1574">
        <f t="shared" si="218"/>
        <v>0</v>
      </c>
      <c r="AE636" s="1574">
        <f t="shared" si="218"/>
        <v>0</v>
      </c>
      <c r="AF636" s="1574">
        <f t="shared" si="218"/>
        <v>0</v>
      </c>
      <c r="AG636" s="1574">
        <f t="shared" si="218"/>
        <v>0</v>
      </c>
      <c r="AH636" s="1574">
        <f t="shared" si="218"/>
        <v>0</v>
      </c>
      <c r="AI636" s="1574">
        <f t="shared" si="218"/>
        <v>0</v>
      </c>
      <c r="AJ636" s="1574">
        <f t="shared" si="218"/>
        <v>0</v>
      </c>
      <c r="AK636" s="1574">
        <f t="shared" si="218"/>
        <v>0</v>
      </c>
      <c r="AL636" s="1574">
        <f t="shared" si="218"/>
        <v>0</v>
      </c>
      <c r="AM636" s="1574">
        <f t="shared" si="218"/>
        <v>0</v>
      </c>
      <c r="AN636" s="1574">
        <f t="shared" ref="AN636:BE636" si="219">AM639</f>
        <v>0</v>
      </c>
      <c r="AO636" s="1574">
        <f t="shared" si="219"/>
        <v>0</v>
      </c>
      <c r="AP636" s="1574">
        <f t="shared" si="219"/>
        <v>0</v>
      </c>
      <c r="AQ636" s="1574">
        <f t="shared" si="219"/>
        <v>0</v>
      </c>
      <c r="AR636" s="1574">
        <f t="shared" si="219"/>
        <v>0</v>
      </c>
      <c r="AS636" s="1574">
        <f t="shared" si="219"/>
        <v>0</v>
      </c>
      <c r="AT636" s="1574">
        <f t="shared" si="219"/>
        <v>0</v>
      </c>
      <c r="AU636" s="1574">
        <f t="shared" si="219"/>
        <v>0</v>
      </c>
      <c r="AV636" s="1574">
        <f t="shared" si="219"/>
        <v>0</v>
      </c>
      <c r="AW636" s="1574">
        <f t="shared" si="219"/>
        <v>0</v>
      </c>
      <c r="AX636" s="1574">
        <f t="shared" si="219"/>
        <v>0</v>
      </c>
      <c r="AY636" s="1574">
        <f t="shared" si="219"/>
        <v>0</v>
      </c>
      <c r="AZ636" s="1574">
        <f t="shared" si="219"/>
        <v>0</v>
      </c>
      <c r="BA636" s="1574">
        <f t="shared" si="219"/>
        <v>0</v>
      </c>
      <c r="BB636" s="1574">
        <f t="shared" si="219"/>
        <v>0</v>
      </c>
      <c r="BC636" s="1574">
        <f t="shared" si="219"/>
        <v>0</v>
      </c>
      <c r="BD636" s="1574">
        <f t="shared" si="219"/>
        <v>0</v>
      </c>
      <c r="BE636" s="1575">
        <f t="shared" si="219"/>
        <v>0</v>
      </c>
      <c r="BF636" s="1548"/>
    </row>
    <row r="637" spans="1:58" x14ac:dyDescent="0.45">
      <c r="A637" s="695"/>
      <c r="B637" s="946"/>
      <c r="C637" s="947" t="s">
        <v>69</v>
      </c>
      <c r="D637" s="947"/>
      <c r="E637" s="947"/>
      <c r="F637" s="947"/>
      <c r="G637" s="1574">
        <f>G624</f>
        <v>0</v>
      </c>
      <c r="H637" s="1574">
        <v>0</v>
      </c>
      <c r="I637" s="1574">
        <v>0</v>
      </c>
      <c r="J637" s="1574">
        <v>0</v>
      </c>
      <c r="K637" s="1574">
        <v>0</v>
      </c>
      <c r="L637" s="1574">
        <v>0</v>
      </c>
      <c r="M637" s="1574">
        <v>0</v>
      </c>
      <c r="N637" s="1574">
        <v>0</v>
      </c>
      <c r="O637" s="1574">
        <v>0</v>
      </c>
      <c r="P637" s="1574">
        <v>0</v>
      </c>
      <c r="Q637" s="1574">
        <v>0</v>
      </c>
      <c r="R637" s="1574">
        <v>0</v>
      </c>
      <c r="S637" s="1574">
        <v>0</v>
      </c>
      <c r="T637" s="1574">
        <v>0</v>
      </c>
      <c r="U637" s="1574">
        <v>0</v>
      </c>
      <c r="V637" s="1574">
        <v>0</v>
      </c>
      <c r="W637" s="1574">
        <v>0</v>
      </c>
      <c r="X637" s="1574">
        <v>0</v>
      </c>
      <c r="Y637" s="1574">
        <v>0</v>
      </c>
      <c r="Z637" s="1574">
        <v>0</v>
      </c>
      <c r="AA637" s="1574">
        <v>0</v>
      </c>
      <c r="AB637" s="1574">
        <v>0</v>
      </c>
      <c r="AC637" s="1574">
        <v>0</v>
      </c>
      <c r="AD637" s="1574">
        <v>0</v>
      </c>
      <c r="AE637" s="1574">
        <v>0</v>
      </c>
      <c r="AF637" s="1574">
        <v>0</v>
      </c>
      <c r="AG637" s="1574">
        <v>0</v>
      </c>
      <c r="AH637" s="1574">
        <v>0</v>
      </c>
      <c r="AI637" s="1574">
        <v>0</v>
      </c>
      <c r="AJ637" s="1574">
        <v>0</v>
      </c>
      <c r="AK637" s="1574">
        <v>0</v>
      </c>
      <c r="AL637" s="1574">
        <v>0</v>
      </c>
      <c r="AM637" s="1574">
        <v>0</v>
      </c>
      <c r="AN637" s="1574">
        <v>0</v>
      </c>
      <c r="AO637" s="1574">
        <v>0</v>
      </c>
      <c r="AP637" s="1574">
        <v>0</v>
      </c>
      <c r="AQ637" s="1574">
        <v>0</v>
      </c>
      <c r="AR637" s="1574">
        <v>0</v>
      </c>
      <c r="AS637" s="1574">
        <v>0</v>
      </c>
      <c r="AT637" s="1574">
        <v>0</v>
      </c>
      <c r="AU637" s="1574">
        <v>0</v>
      </c>
      <c r="AV637" s="1574">
        <v>0</v>
      </c>
      <c r="AW637" s="1574">
        <v>0</v>
      </c>
      <c r="AX637" s="1574">
        <v>0</v>
      </c>
      <c r="AY637" s="1574">
        <v>0</v>
      </c>
      <c r="AZ637" s="1574">
        <v>0</v>
      </c>
      <c r="BA637" s="1574">
        <v>0</v>
      </c>
      <c r="BB637" s="1574">
        <v>0</v>
      </c>
      <c r="BC637" s="1574">
        <v>0</v>
      </c>
      <c r="BD637" s="1574">
        <v>0</v>
      </c>
      <c r="BE637" s="1575">
        <v>0</v>
      </c>
      <c r="BF637" s="1548"/>
    </row>
    <row r="638" spans="1:58" x14ac:dyDescent="0.45">
      <c r="A638" s="695"/>
      <c r="B638" s="946"/>
      <c r="C638" s="954" t="s">
        <v>70</v>
      </c>
      <c r="D638" s="954"/>
      <c r="E638" s="954"/>
      <c r="F638" s="954"/>
      <c r="G638" s="1576">
        <v>0</v>
      </c>
      <c r="H638" s="1576">
        <f>-H632</f>
        <v>0</v>
      </c>
      <c r="I638" s="1576">
        <f t="shared" ref="I638:BE638" si="220">-I632</f>
        <v>0</v>
      </c>
      <c r="J638" s="1576">
        <f t="shared" si="220"/>
        <v>0</v>
      </c>
      <c r="K638" s="1576">
        <f t="shared" si="220"/>
        <v>0</v>
      </c>
      <c r="L638" s="1576">
        <f t="shared" si="220"/>
        <v>0</v>
      </c>
      <c r="M638" s="1576">
        <f t="shared" si="220"/>
        <v>0</v>
      </c>
      <c r="N638" s="1576">
        <f t="shared" si="220"/>
        <v>0</v>
      </c>
      <c r="O638" s="1576">
        <f t="shared" si="220"/>
        <v>0</v>
      </c>
      <c r="P638" s="1576">
        <f t="shared" si="220"/>
        <v>0</v>
      </c>
      <c r="Q638" s="1576">
        <f t="shared" si="220"/>
        <v>0</v>
      </c>
      <c r="R638" s="1576">
        <f t="shared" si="220"/>
        <v>0</v>
      </c>
      <c r="S638" s="1576">
        <f t="shared" si="220"/>
        <v>0</v>
      </c>
      <c r="T638" s="1576">
        <f t="shared" si="220"/>
        <v>0</v>
      </c>
      <c r="U638" s="1576">
        <f t="shared" si="220"/>
        <v>0</v>
      </c>
      <c r="V638" s="1576">
        <f t="shared" si="220"/>
        <v>0</v>
      </c>
      <c r="W638" s="1576">
        <f t="shared" si="220"/>
        <v>0</v>
      </c>
      <c r="X638" s="1576">
        <f t="shared" si="220"/>
        <v>0</v>
      </c>
      <c r="Y638" s="1576">
        <f t="shared" si="220"/>
        <v>0</v>
      </c>
      <c r="Z638" s="1576">
        <f t="shared" si="220"/>
        <v>0</v>
      </c>
      <c r="AA638" s="1576">
        <f t="shared" si="220"/>
        <v>0</v>
      </c>
      <c r="AB638" s="1576">
        <f t="shared" si="220"/>
        <v>0</v>
      </c>
      <c r="AC638" s="1576">
        <f t="shared" si="220"/>
        <v>0</v>
      </c>
      <c r="AD638" s="1576">
        <f t="shared" si="220"/>
        <v>0</v>
      </c>
      <c r="AE638" s="1576">
        <f t="shared" si="220"/>
        <v>0</v>
      </c>
      <c r="AF638" s="1576">
        <f t="shared" si="220"/>
        <v>0</v>
      </c>
      <c r="AG638" s="1576">
        <f t="shared" si="220"/>
        <v>0</v>
      </c>
      <c r="AH638" s="1576">
        <f t="shared" si="220"/>
        <v>0</v>
      </c>
      <c r="AI638" s="1576">
        <f t="shared" si="220"/>
        <v>0</v>
      </c>
      <c r="AJ638" s="1576">
        <f t="shared" si="220"/>
        <v>0</v>
      </c>
      <c r="AK638" s="1576">
        <f t="shared" si="220"/>
        <v>0</v>
      </c>
      <c r="AL638" s="1576">
        <f t="shared" si="220"/>
        <v>0</v>
      </c>
      <c r="AM638" s="1576">
        <f t="shared" si="220"/>
        <v>0</v>
      </c>
      <c r="AN638" s="1576">
        <f t="shared" si="220"/>
        <v>0</v>
      </c>
      <c r="AO638" s="1576">
        <f t="shared" si="220"/>
        <v>0</v>
      </c>
      <c r="AP638" s="1576">
        <f t="shared" si="220"/>
        <v>0</v>
      </c>
      <c r="AQ638" s="1576">
        <f t="shared" si="220"/>
        <v>0</v>
      </c>
      <c r="AR638" s="1576">
        <f t="shared" si="220"/>
        <v>0</v>
      </c>
      <c r="AS638" s="1576">
        <f t="shared" si="220"/>
        <v>0</v>
      </c>
      <c r="AT638" s="1576">
        <f t="shared" si="220"/>
        <v>0</v>
      </c>
      <c r="AU638" s="1576">
        <f t="shared" si="220"/>
        <v>0</v>
      </c>
      <c r="AV638" s="1576">
        <f t="shared" si="220"/>
        <v>0</v>
      </c>
      <c r="AW638" s="1576">
        <f t="shared" si="220"/>
        <v>0</v>
      </c>
      <c r="AX638" s="1576">
        <f t="shared" si="220"/>
        <v>0</v>
      </c>
      <c r="AY638" s="1576">
        <f t="shared" si="220"/>
        <v>0</v>
      </c>
      <c r="AZ638" s="1576">
        <f t="shared" si="220"/>
        <v>0</v>
      </c>
      <c r="BA638" s="1576">
        <f t="shared" si="220"/>
        <v>0</v>
      </c>
      <c r="BB638" s="1576">
        <f t="shared" si="220"/>
        <v>0</v>
      </c>
      <c r="BC638" s="1576">
        <f t="shared" si="220"/>
        <v>0</v>
      </c>
      <c r="BD638" s="1576">
        <f t="shared" si="220"/>
        <v>0</v>
      </c>
      <c r="BE638" s="1577">
        <f t="shared" si="220"/>
        <v>0</v>
      </c>
      <c r="BF638" s="1548"/>
    </row>
    <row r="639" spans="1:58" x14ac:dyDescent="0.45">
      <c r="A639" s="695"/>
      <c r="B639" s="946"/>
      <c r="C639" s="947" t="s">
        <v>59</v>
      </c>
      <c r="D639" s="947"/>
      <c r="E639" s="947"/>
      <c r="F639" s="947"/>
      <c r="G639" s="1574">
        <f>SUM(G636:G638)</f>
        <v>0</v>
      </c>
      <c r="H639" s="1574">
        <f>SUM(H636:H638)</f>
        <v>0</v>
      </c>
      <c r="I639" s="1574">
        <f t="shared" ref="I639:BE639" si="221">SUM(I636:I638)</f>
        <v>0</v>
      </c>
      <c r="J639" s="1574">
        <f t="shared" si="221"/>
        <v>0</v>
      </c>
      <c r="K639" s="1574">
        <f t="shared" si="221"/>
        <v>0</v>
      </c>
      <c r="L639" s="1574">
        <f t="shared" si="221"/>
        <v>0</v>
      </c>
      <c r="M639" s="1574">
        <f t="shared" si="221"/>
        <v>0</v>
      </c>
      <c r="N639" s="1574">
        <f t="shared" si="221"/>
        <v>0</v>
      </c>
      <c r="O639" s="1574">
        <f t="shared" si="221"/>
        <v>0</v>
      </c>
      <c r="P639" s="1574">
        <f t="shared" si="221"/>
        <v>0</v>
      </c>
      <c r="Q639" s="1574">
        <f t="shared" si="221"/>
        <v>0</v>
      </c>
      <c r="R639" s="1574">
        <f t="shared" si="221"/>
        <v>0</v>
      </c>
      <c r="S639" s="1574">
        <f t="shared" si="221"/>
        <v>0</v>
      </c>
      <c r="T639" s="1574">
        <f t="shared" si="221"/>
        <v>0</v>
      </c>
      <c r="U639" s="1574">
        <f t="shared" si="221"/>
        <v>0</v>
      </c>
      <c r="V639" s="1574">
        <f t="shared" si="221"/>
        <v>0</v>
      </c>
      <c r="W639" s="1574">
        <f t="shared" si="221"/>
        <v>0</v>
      </c>
      <c r="X639" s="1574">
        <f t="shared" si="221"/>
        <v>0</v>
      </c>
      <c r="Y639" s="1574">
        <f t="shared" si="221"/>
        <v>0</v>
      </c>
      <c r="Z639" s="1574">
        <f t="shared" si="221"/>
        <v>0</v>
      </c>
      <c r="AA639" s="1574">
        <f t="shared" si="221"/>
        <v>0</v>
      </c>
      <c r="AB639" s="1574">
        <f t="shared" si="221"/>
        <v>0</v>
      </c>
      <c r="AC639" s="1574">
        <f t="shared" si="221"/>
        <v>0</v>
      </c>
      <c r="AD639" s="1574">
        <f t="shared" si="221"/>
        <v>0</v>
      </c>
      <c r="AE639" s="1574">
        <f t="shared" si="221"/>
        <v>0</v>
      </c>
      <c r="AF639" s="1574">
        <f t="shared" si="221"/>
        <v>0</v>
      </c>
      <c r="AG639" s="1574">
        <f t="shared" si="221"/>
        <v>0</v>
      </c>
      <c r="AH639" s="1574">
        <f t="shared" si="221"/>
        <v>0</v>
      </c>
      <c r="AI639" s="1574">
        <f t="shared" si="221"/>
        <v>0</v>
      </c>
      <c r="AJ639" s="1574">
        <f t="shared" si="221"/>
        <v>0</v>
      </c>
      <c r="AK639" s="1574">
        <f t="shared" si="221"/>
        <v>0</v>
      </c>
      <c r="AL639" s="1574">
        <f t="shared" si="221"/>
        <v>0</v>
      </c>
      <c r="AM639" s="1574">
        <f t="shared" si="221"/>
        <v>0</v>
      </c>
      <c r="AN639" s="1574">
        <f t="shared" si="221"/>
        <v>0</v>
      </c>
      <c r="AO639" s="1574">
        <f t="shared" si="221"/>
        <v>0</v>
      </c>
      <c r="AP639" s="1574">
        <f t="shared" si="221"/>
        <v>0</v>
      </c>
      <c r="AQ639" s="1574">
        <f t="shared" si="221"/>
        <v>0</v>
      </c>
      <c r="AR639" s="1574">
        <f t="shared" si="221"/>
        <v>0</v>
      </c>
      <c r="AS639" s="1574">
        <f t="shared" si="221"/>
        <v>0</v>
      </c>
      <c r="AT639" s="1574">
        <f t="shared" si="221"/>
        <v>0</v>
      </c>
      <c r="AU639" s="1574">
        <f t="shared" si="221"/>
        <v>0</v>
      </c>
      <c r="AV639" s="1574">
        <f t="shared" si="221"/>
        <v>0</v>
      </c>
      <c r="AW639" s="1574">
        <f t="shared" si="221"/>
        <v>0</v>
      </c>
      <c r="AX639" s="1574">
        <f t="shared" si="221"/>
        <v>0</v>
      </c>
      <c r="AY639" s="1574">
        <f t="shared" si="221"/>
        <v>0</v>
      </c>
      <c r="AZ639" s="1574">
        <f t="shared" si="221"/>
        <v>0</v>
      </c>
      <c r="BA639" s="1574">
        <f t="shared" si="221"/>
        <v>0</v>
      </c>
      <c r="BB639" s="1574">
        <f t="shared" si="221"/>
        <v>0</v>
      </c>
      <c r="BC639" s="1574">
        <f t="shared" si="221"/>
        <v>0</v>
      </c>
      <c r="BD639" s="1574">
        <f t="shared" si="221"/>
        <v>0</v>
      </c>
      <c r="BE639" s="1575">
        <f t="shared" si="221"/>
        <v>0</v>
      </c>
      <c r="BF639" s="1548"/>
    </row>
    <row r="640" spans="1:58" x14ac:dyDescent="0.45">
      <c r="A640" s="695"/>
      <c r="B640" s="946"/>
      <c r="C640" s="947"/>
      <c r="D640" s="947"/>
      <c r="E640" s="947"/>
      <c r="F640" s="947"/>
      <c r="G640" s="1574"/>
      <c r="H640" s="1574"/>
      <c r="I640" s="1574"/>
      <c r="J640" s="1574"/>
      <c r="K640" s="1574"/>
      <c r="L640" s="1574"/>
      <c r="M640" s="1574"/>
      <c r="N640" s="1574"/>
      <c r="O640" s="1574"/>
      <c r="P640" s="1574"/>
      <c r="Q640" s="1574"/>
      <c r="R640" s="1574"/>
      <c r="S640" s="1574"/>
      <c r="T640" s="1574"/>
      <c r="U640" s="1574"/>
      <c r="V640" s="1574"/>
      <c r="W640" s="1574"/>
      <c r="X640" s="1574"/>
      <c r="Y640" s="1574"/>
      <c r="Z640" s="1574"/>
      <c r="AA640" s="1574"/>
      <c r="AB640" s="1574"/>
      <c r="AC640" s="1574"/>
      <c r="AD640" s="1574"/>
      <c r="AE640" s="1574"/>
      <c r="AF640" s="1574"/>
      <c r="AG640" s="1574"/>
      <c r="AH640" s="1574"/>
      <c r="AI640" s="1574"/>
      <c r="AJ640" s="1574"/>
      <c r="AK640" s="1574"/>
      <c r="AL640" s="1574"/>
      <c r="AM640" s="1574"/>
      <c r="AN640" s="1574"/>
      <c r="AO640" s="1574"/>
      <c r="AP640" s="1574"/>
      <c r="AQ640" s="1574"/>
      <c r="AR640" s="1574"/>
      <c r="AS640" s="1574"/>
      <c r="AT640" s="1574"/>
      <c r="AU640" s="1574"/>
      <c r="AV640" s="1574"/>
      <c r="AW640" s="1574"/>
      <c r="AX640" s="1574"/>
      <c r="AY640" s="1574"/>
      <c r="AZ640" s="1574"/>
      <c r="BA640" s="1574"/>
      <c r="BB640" s="1574"/>
      <c r="BC640" s="1574"/>
      <c r="BD640" s="1574"/>
      <c r="BE640" s="1575"/>
      <c r="BF640" s="1548"/>
    </row>
    <row r="641" spans="1:58" x14ac:dyDescent="0.45">
      <c r="A641" s="695"/>
      <c r="B641" s="946"/>
      <c r="C641" s="1047" t="s">
        <v>64</v>
      </c>
      <c r="D641" s="947"/>
      <c r="E641" s="947"/>
      <c r="F641" s="947"/>
      <c r="G641" s="1574"/>
      <c r="H641" s="1574"/>
      <c r="I641" s="1574"/>
      <c r="J641" s="1574"/>
      <c r="K641" s="1574"/>
      <c r="L641" s="1574"/>
      <c r="M641" s="1574"/>
      <c r="N641" s="1574"/>
      <c r="O641" s="1574"/>
      <c r="P641" s="1574"/>
      <c r="Q641" s="1574"/>
      <c r="R641" s="1574"/>
      <c r="S641" s="1574"/>
      <c r="T641" s="1574"/>
      <c r="U641" s="1574"/>
      <c r="V641" s="1574"/>
      <c r="W641" s="1574"/>
      <c r="X641" s="1574"/>
      <c r="Y641" s="1574"/>
      <c r="Z641" s="1574"/>
      <c r="AA641" s="1574"/>
      <c r="AB641" s="1574"/>
      <c r="AC641" s="1574"/>
      <c r="AD641" s="1574"/>
      <c r="AE641" s="1574"/>
      <c r="AF641" s="1574"/>
      <c r="AG641" s="1574"/>
      <c r="AH641" s="1574"/>
      <c r="AI641" s="1574"/>
      <c r="AJ641" s="1574"/>
      <c r="AK641" s="1574"/>
      <c r="AL641" s="1574"/>
      <c r="AM641" s="1574"/>
      <c r="AN641" s="1574"/>
      <c r="AO641" s="1574"/>
      <c r="AP641" s="1574"/>
      <c r="AQ641" s="1574"/>
      <c r="AR641" s="1574"/>
      <c r="AS641" s="1574"/>
      <c r="AT641" s="1574"/>
      <c r="AU641" s="1574"/>
      <c r="AV641" s="1574"/>
      <c r="AW641" s="1574"/>
      <c r="AX641" s="1574"/>
      <c r="AY641" s="1574"/>
      <c r="AZ641" s="1574"/>
      <c r="BA641" s="1574"/>
      <c r="BB641" s="1574"/>
      <c r="BC641" s="1574"/>
      <c r="BD641" s="1574"/>
      <c r="BE641" s="1575"/>
      <c r="BF641" s="1548"/>
    </row>
    <row r="642" spans="1:58" x14ac:dyDescent="0.45">
      <c r="A642" s="695"/>
      <c r="B642" s="946"/>
      <c r="C642" s="947" t="s">
        <v>202</v>
      </c>
      <c r="D642" s="947"/>
      <c r="E642" s="947"/>
      <c r="F642" s="947"/>
      <c r="G642" s="1574"/>
      <c r="H642" s="1574">
        <f>IF($G624&gt;0, $G624*'II. Inputs, Baseline Energy Mix'!$R$82/10000,0)</f>
        <v>0</v>
      </c>
      <c r="I642" s="1574">
        <v>0</v>
      </c>
      <c r="J642" s="1574">
        <v>0</v>
      </c>
      <c r="K642" s="1574">
        <v>0</v>
      </c>
      <c r="L642" s="1574">
        <v>0</v>
      </c>
      <c r="M642" s="1574">
        <v>0</v>
      </c>
      <c r="N642" s="1574">
        <v>0</v>
      </c>
      <c r="O642" s="1574">
        <v>0</v>
      </c>
      <c r="P642" s="1574">
        <v>0</v>
      </c>
      <c r="Q642" s="1574">
        <v>0</v>
      </c>
      <c r="R642" s="1574">
        <v>0</v>
      </c>
      <c r="S642" s="1574">
        <v>0</v>
      </c>
      <c r="T642" s="1574">
        <v>0</v>
      </c>
      <c r="U642" s="1574">
        <v>0</v>
      </c>
      <c r="V642" s="1574">
        <v>0</v>
      </c>
      <c r="W642" s="1574">
        <v>0</v>
      </c>
      <c r="X642" s="1574">
        <v>0</v>
      </c>
      <c r="Y642" s="1574">
        <v>0</v>
      </c>
      <c r="Z642" s="1574">
        <v>0</v>
      </c>
      <c r="AA642" s="1574">
        <v>0</v>
      </c>
      <c r="AB642" s="1574">
        <v>0</v>
      </c>
      <c r="AC642" s="1574">
        <v>0</v>
      </c>
      <c r="AD642" s="1574">
        <v>0</v>
      </c>
      <c r="AE642" s="1574">
        <v>0</v>
      </c>
      <c r="AF642" s="1574">
        <v>0</v>
      </c>
      <c r="AG642" s="1574">
        <v>0</v>
      </c>
      <c r="AH642" s="1574">
        <v>0</v>
      </c>
      <c r="AI642" s="1574">
        <v>0</v>
      </c>
      <c r="AJ642" s="1574">
        <v>0</v>
      </c>
      <c r="AK642" s="1574">
        <v>0</v>
      </c>
      <c r="AL642" s="1574">
        <v>0</v>
      </c>
      <c r="AM642" s="1574">
        <v>0</v>
      </c>
      <c r="AN642" s="1574">
        <v>0</v>
      </c>
      <c r="AO642" s="1574">
        <v>0</v>
      </c>
      <c r="AP642" s="1574">
        <v>0</v>
      </c>
      <c r="AQ642" s="1574">
        <v>0</v>
      </c>
      <c r="AR642" s="1574">
        <v>0</v>
      </c>
      <c r="AS642" s="1574">
        <v>0</v>
      </c>
      <c r="AT642" s="1574">
        <v>0</v>
      </c>
      <c r="AU642" s="1574">
        <v>0</v>
      </c>
      <c r="AV642" s="1574">
        <v>0</v>
      </c>
      <c r="AW642" s="1574">
        <v>0</v>
      </c>
      <c r="AX642" s="1574">
        <v>0</v>
      </c>
      <c r="AY642" s="1574">
        <v>0</v>
      </c>
      <c r="AZ642" s="1574">
        <v>0</v>
      </c>
      <c r="BA642" s="1574">
        <v>0</v>
      </c>
      <c r="BB642" s="1574">
        <v>0</v>
      </c>
      <c r="BC642" s="1574">
        <v>0</v>
      </c>
      <c r="BD642" s="1574">
        <v>0</v>
      </c>
      <c r="BE642" s="1575">
        <v>0</v>
      </c>
      <c r="BF642" s="1548"/>
    </row>
    <row r="643" spans="1:58" x14ac:dyDescent="0.45">
      <c r="A643" s="695"/>
      <c r="B643" s="946"/>
      <c r="C643" s="947" t="str">
        <f>'II. Inputs, Baseline Energy Mix'!$E$85</f>
        <v>Front-end Fee, Public Guarantee</v>
      </c>
      <c r="D643" s="947"/>
      <c r="E643" s="947"/>
      <c r="F643" s="947"/>
      <c r="G643" s="1574"/>
      <c r="H643" s="1574">
        <f>IF($G624&gt;0, $G624*$G627*'II. Inputs, Baseline Energy Mix'!$R$85/10000,0)</f>
        <v>0</v>
      </c>
      <c r="I643" s="1574">
        <v>0</v>
      </c>
      <c r="J643" s="1574">
        <v>0</v>
      </c>
      <c r="K643" s="1574">
        <v>0</v>
      </c>
      <c r="L643" s="1574">
        <v>0</v>
      </c>
      <c r="M643" s="1574">
        <v>0</v>
      </c>
      <c r="N643" s="1574">
        <v>0</v>
      </c>
      <c r="O643" s="1574">
        <v>0</v>
      </c>
      <c r="P643" s="1574">
        <v>0</v>
      </c>
      <c r="Q643" s="1574">
        <v>0</v>
      </c>
      <c r="R643" s="1574">
        <v>0</v>
      </c>
      <c r="S643" s="1574">
        <v>0</v>
      </c>
      <c r="T643" s="1574">
        <v>0</v>
      </c>
      <c r="U643" s="1574">
        <v>0</v>
      </c>
      <c r="V643" s="1574">
        <v>0</v>
      </c>
      <c r="W643" s="1574">
        <v>0</v>
      </c>
      <c r="X643" s="1574">
        <v>0</v>
      </c>
      <c r="Y643" s="1574">
        <v>0</v>
      </c>
      <c r="Z643" s="1574">
        <v>0</v>
      </c>
      <c r="AA643" s="1574">
        <v>0</v>
      </c>
      <c r="AB643" s="1574">
        <v>0</v>
      </c>
      <c r="AC643" s="1574">
        <v>0</v>
      </c>
      <c r="AD643" s="1574">
        <v>0</v>
      </c>
      <c r="AE643" s="1574">
        <v>0</v>
      </c>
      <c r="AF643" s="1574">
        <v>0</v>
      </c>
      <c r="AG643" s="1574">
        <v>0</v>
      </c>
      <c r="AH643" s="1574">
        <v>0</v>
      </c>
      <c r="AI643" s="1574">
        <v>0</v>
      </c>
      <c r="AJ643" s="1574">
        <v>0</v>
      </c>
      <c r="AK643" s="1574">
        <v>0</v>
      </c>
      <c r="AL643" s="1574">
        <v>0</v>
      </c>
      <c r="AM643" s="1574">
        <v>0</v>
      </c>
      <c r="AN643" s="1574">
        <v>0</v>
      </c>
      <c r="AO643" s="1574">
        <v>0</v>
      </c>
      <c r="AP643" s="1574">
        <v>0</v>
      </c>
      <c r="AQ643" s="1574">
        <v>0</v>
      </c>
      <c r="AR643" s="1574">
        <v>0</v>
      </c>
      <c r="AS643" s="1574">
        <v>0</v>
      </c>
      <c r="AT643" s="1574">
        <v>0</v>
      </c>
      <c r="AU643" s="1574">
        <v>0</v>
      </c>
      <c r="AV643" s="1574">
        <v>0</v>
      </c>
      <c r="AW643" s="1574">
        <v>0</v>
      </c>
      <c r="AX643" s="1574">
        <v>0</v>
      </c>
      <c r="AY643" s="1574">
        <v>0</v>
      </c>
      <c r="AZ643" s="1574">
        <v>0</v>
      </c>
      <c r="BA643" s="1574">
        <v>0</v>
      </c>
      <c r="BB643" s="1574">
        <v>0</v>
      </c>
      <c r="BC643" s="1574">
        <v>0</v>
      </c>
      <c r="BD643" s="1574">
        <v>0</v>
      </c>
      <c r="BE643" s="1575">
        <v>0</v>
      </c>
      <c r="BF643" s="1548"/>
    </row>
    <row r="644" spans="1:58" x14ac:dyDescent="0.45">
      <c r="A644" s="695"/>
      <c r="B644" s="946"/>
      <c r="C644" s="947" t="str">
        <f>'II. Inputs, Baseline Energy Mix'!$E$86</f>
        <v xml:space="preserve">Annual Public Guarantee Fee </v>
      </c>
      <c r="D644" s="947"/>
      <c r="E644" s="947"/>
      <c r="F644" s="947"/>
      <c r="G644" s="1574"/>
      <c r="H644" s="1574">
        <f>IF(H$292&gt;$G628,0,((H636+H639)/2)*$G627*'II. Inputs, Baseline Energy Mix'!$R$86/10000)</f>
        <v>0</v>
      </c>
      <c r="I644" s="1574">
        <f>IF(I$292&gt;$G628,0,((I636+I639)/2)*$G627*'II. Inputs, Baseline Energy Mix'!$R$86/10000)</f>
        <v>0</v>
      </c>
      <c r="J644" s="1574">
        <f>IF(J$292&gt;$G628,0,((J636+J639)/2)*$G627*'II. Inputs, Baseline Energy Mix'!$R$86/10000)</f>
        <v>0</v>
      </c>
      <c r="K644" s="1574">
        <f>IF(K$292&gt;$G628,0,((K636+K639)/2)*$G627*'II. Inputs, Baseline Energy Mix'!$R$86/10000)</f>
        <v>0</v>
      </c>
      <c r="L644" s="1574">
        <f>IF(L$292&gt;$G628,0,((L636+L639)/2)*$G627*'II. Inputs, Baseline Energy Mix'!$R$86/10000)</f>
        <v>0</v>
      </c>
      <c r="M644" s="1574">
        <f>IF(M$292&gt;$G628,0,((M636+M639)/2)*$G627*'II. Inputs, Baseline Energy Mix'!$R$86/10000)</f>
        <v>0</v>
      </c>
      <c r="N644" s="1574">
        <f>IF(N$292&gt;$G628,0,((N636+N639)/2)*$G627*'II. Inputs, Baseline Energy Mix'!$R$86/10000)</f>
        <v>0</v>
      </c>
      <c r="O644" s="1574">
        <f>IF(O$292&gt;$G628,0,((O636+O639)/2)*$G627*'II. Inputs, Baseline Energy Mix'!$R$86/10000)</f>
        <v>0</v>
      </c>
      <c r="P644" s="1574">
        <f>IF(P$292&gt;$G628,0,((P636+P639)/2)*$G627*'II. Inputs, Baseline Energy Mix'!$R$86/10000)</f>
        <v>0</v>
      </c>
      <c r="Q644" s="1574">
        <f>IF(Q$292&gt;$G628,0,((Q636+Q639)/2)*$G627*'II. Inputs, Baseline Energy Mix'!$R$86/10000)</f>
        <v>0</v>
      </c>
      <c r="R644" s="1574">
        <f>IF(R$292&gt;$G628,0,((R636+R639)/2)*$G627*'II. Inputs, Baseline Energy Mix'!$R$86/10000)</f>
        <v>0</v>
      </c>
      <c r="S644" s="1574">
        <f>IF(S$292&gt;$G628,0,((S636+S639)/2)*$G627*'II. Inputs, Baseline Energy Mix'!$R$86/10000)</f>
        <v>0</v>
      </c>
      <c r="T644" s="1574">
        <f>IF(T$292&gt;$G628,0,((T636+T639)/2)*$G627*'II. Inputs, Baseline Energy Mix'!$R$86/10000)</f>
        <v>0</v>
      </c>
      <c r="U644" s="1574">
        <f>IF(U$292&gt;$G628,0,((U636+U639)/2)*$G627*'II. Inputs, Baseline Energy Mix'!$R$86/10000)</f>
        <v>0</v>
      </c>
      <c r="V644" s="1574">
        <f>IF(V$292&gt;$G628,0,((V636+V639)/2)*$G627*'II. Inputs, Baseline Energy Mix'!$R$86/10000)</f>
        <v>0</v>
      </c>
      <c r="W644" s="1574">
        <f>IF(W$292&gt;$G628,0,((W636+W639)/2)*$G627*'II. Inputs, Baseline Energy Mix'!$R$86/10000)</f>
        <v>0</v>
      </c>
      <c r="X644" s="1574">
        <f>IF(X$292&gt;$G628,0,((X636+X639)/2)*$G627*'II. Inputs, Baseline Energy Mix'!$R$86/10000)</f>
        <v>0</v>
      </c>
      <c r="Y644" s="1574">
        <f>IF(Y$292&gt;$G628,0,((Y636+Y639)/2)*$G627*'II. Inputs, Baseline Energy Mix'!$R$86/10000)</f>
        <v>0</v>
      </c>
      <c r="Z644" s="1574">
        <f>IF(Z$292&gt;$G628,0,((Z636+Z639)/2)*$G627*'II. Inputs, Baseline Energy Mix'!$R$86/10000)</f>
        <v>0</v>
      </c>
      <c r="AA644" s="1574">
        <f>IF(AA$292&gt;$G628,0,((AA636+AA639)/2)*$G627*'II. Inputs, Baseline Energy Mix'!$R$86/10000)</f>
        <v>0</v>
      </c>
      <c r="AB644" s="1574">
        <f>IF(AB$292&gt;$G628,0,((AB636+AB639)/2)*$G627*'II. Inputs, Baseline Energy Mix'!$R$86/10000)</f>
        <v>0</v>
      </c>
      <c r="AC644" s="1574">
        <f>IF(AC$292&gt;$G628,0,((AC636+AC639)/2)*$G627*'II. Inputs, Baseline Energy Mix'!$R$86/10000)</f>
        <v>0</v>
      </c>
      <c r="AD644" s="1574">
        <f>IF(AD$292&gt;$G628,0,((AD636+AD639)/2)*$G627*'II. Inputs, Baseline Energy Mix'!$R$86/10000)</f>
        <v>0</v>
      </c>
      <c r="AE644" s="1574">
        <f>IF(AE$292&gt;$G628,0,((AE636+AE639)/2)*$G627*'II. Inputs, Baseline Energy Mix'!$R$86/10000)</f>
        <v>0</v>
      </c>
      <c r="AF644" s="1574">
        <f>IF(AF$292&gt;$G628,0,((AF636+AF639)/2)*$G627*'II. Inputs, Baseline Energy Mix'!$R$86/10000)</f>
        <v>0</v>
      </c>
      <c r="AG644" s="1574">
        <f>IF(AG$292&gt;$G628,0,((AG636+AG639)/2)*$G627*'II. Inputs, Baseline Energy Mix'!$R$86/10000)</f>
        <v>0</v>
      </c>
      <c r="AH644" s="1574">
        <f>IF(AH$292&gt;$G628,0,((AH636+AH639)/2)*$G627*'II. Inputs, Baseline Energy Mix'!$R$86/10000)</f>
        <v>0</v>
      </c>
      <c r="AI644" s="1574">
        <f>IF(AI$292&gt;$G628,0,((AI636+AI639)/2)*$G627*'II. Inputs, Baseline Energy Mix'!$R$86/10000)</f>
        <v>0</v>
      </c>
      <c r="AJ644" s="1574">
        <f>IF(AJ$292&gt;$G628,0,((AJ636+AJ639)/2)*$G627*'II. Inputs, Baseline Energy Mix'!$R$86/10000)</f>
        <v>0</v>
      </c>
      <c r="AK644" s="1574">
        <f>IF(AK$292&gt;$G628,0,((AK636+AK639)/2)*$G627*'II. Inputs, Baseline Energy Mix'!$R$86/10000)</f>
        <v>0</v>
      </c>
      <c r="AL644" s="1574">
        <f>IF(AL$292&gt;$G628,0,((AL636+AL639)/2)*$G627*'II. Inputs, Baseline Energy Mix'!$R$86/10000)</f>
        <v>0</v>
      </c>
      <c r="AM644" s="1574">
        <f>IF(AM$292&gt;$G628,0,((AM636+AM639)/2)*$G627*'II. Inputs, Baseline Energy Mix'!$R$86/10000)</f>
        <v>0</v>
      </c>
      <c r="AN644" s="1574">
        <f>IF(AN$292&gt;$G628,0,((AN636+AN639)/2)*$G627*'II. Inputs, Baseline Energy Mix'!$R$86/10000)</f>
        <v>0</v>
      </c>
      <c r="AO644" s="1574">
        <f>IF(AO$292&gt;$G628,0,((AO636+AO639)/2)*$G627*'II. Inputs, Baseline Energy Mix'!$R$86/10000)</f>
        <v>0</v>
      </c>
      <c r="AP644" s="1574">
        <f>IF(AP$292&gt;$G628,0,((AP636+AP639)/2)*$G627*'II. Inputs, Baseline Energy Mix'!$R$86/10000)</f>
        <v>0</v>
      </c>
      <c r="AQ644" s="1574">
        <f>IF(AQ$292&gt;$G628,0,((AQ636+AQ639)/2)*$G627*'II. Inputs, Baseline Energy Mix'!$R$86/10000)</f>
        <v>0</v>
      </c>
      <c r="AR644" s="1574">
        <f>IF(AR$292&gt;$G628,0,((AR636+AR639)/2)*$G627*'II. Inputs, Baseline Energy Mix'!$R$86/10000)</f>
        <v>0</v>
      </c>
      <c r="AS644" s="1574">
        <f>IF(AS$292&gt;$G628,0,((AS636+AS639)/2)*$G627*'II. Inputs, Baseline Energy Mix'!$R$86/10000)</f>
        <v>0</v>
      </c>
      <c r="AT644" s="1574">
        <f>IF(AT$292&gt;$G628,0,((AT636+AT639)/2)*$G627*'II. Inputs, Baseline Energy Mix'!$R$86/10000)</f>
        <v>0</v>
      </c>
      <c r="AU644" s="1574">
        <f>IF(AU$292&gt;$G628,0,((AU636+AU639)/2)*$G627*'II. Inputs, Baseline Energy Mix'!$R$86/10000)</f>
        <v>0</v>
      </c>
      <c r="AV644" s="1574">
        <f>IF(AV$292&gt;$G628,0,((AV636+AV639)/2)*$G627*'II. Inputs, Baseline Energy Mix'!$R$86/10000)</f>
        <v>0</v>
      </c>
      <c r="AW644" s="1574">
        <f>IF(AW$292&gt;$G628,0,((AW636+AW639)/2)*$G627*'II. Inputs, Baseline Energy Mix'!$R$86/10000)</f>
        <v>0</v>
      </c>
      <c r="AX644" s="1574">
        <f>IF(AX$292&gt;$G628,0,((AX636+AX639)/2)*$G627*'II. Inputs, Baseline Energy Mix'!$R$86/10000)</f>
        <v>0</v>
      </c>
      <c r="AY644" s="1574">
        <f>IF(AY$292&gt;$G628,0,((AY636+AY639)/2)*$G627*'II. Inputs, Baseline Energy Mix'!$R$86/10000)</f>
        <v>0</v>
      </c>
      <c r="AZ644" s="1574">
        <f>IF(AZ$292&gt;$G628,0,((AZ636+AZ639)/2)*$G627*'II. Inputs, Baseline Energy Mix'!$R$86/10000)</f>
        <v>0</v>
      </c>
      <c r="BA644" s="1574">
        <f>IF(BA$292&gt;$G628,0,((BA636+BA639)/2)*$G627*'II. Inputs, Baseline Energy Mix'!$R$86/10000)</f>
        <v>0</v>
      </c>
      <c r="BB644" s="1574">
        <f>IF(BB$292&gt;$G628,0,((BB636+BB639)/2)*$G627*'II. Inputs, Baseline Energy Mix'!$R$86/10000)</f>
        <v>0</v>
      </c>
      <c r="BC644" s="1574">
        <f>IF(BC$292&gt;$G628,0,((BC636+BC639)/2)*$G627*'II. Inputs, Baseline Energy Mix'!$R$86/10000)</f>
        <v>0</v>
      </c>
      <c r="BD644" s="1574">
        <f>IF(BD$292&gt;$G628,0,((BD636+BD639)/2)*$G627*'II. Inputs, Baseline Energy Mix'!$R$86/10000)</f>
        <v>0</v>
      </c>
      <c r="BE644" s="1575">
        <f>IF(BE$292&gt;$G628,0,((BE636+BE639)/2)*$G627*'II. Inputs, Baseline Energy Mix'!$R$86/10000)</f>
        <v>0</v>
      </c>
      <c r="BF644" s="1548"/>
    </row>
    <row r="645" spans="1:58" x14ac:dyDescent="0.45">
      <c r="A645" s="695"/>
      <c r="B645" s="946"/>
      <c r="C645" s="947"/>
      <c r="D645" s="947"/>
      <c r="E645" s="947"/>
      <c r="F645" s="947"/>
      <c r="G645" s="947"/>
      <c r="H645" s="947"/>
      <c r="I645" s="947"/>
      <c r="J645" s="947"/>
      <c r="K645" s="947"/>
      <c r="L645" s="947"/>
      <c r="M645" s="947"/>
      <c r="N645" s="947"/>
      <c r="O645" s="947"/>
      <c r="P645" s="947"/>
      <c r="Q645" s="947"/>
      <c r="R645" s="947"/>
      <c r="S645" s="947"/>
      <c r="T645" s="947"/>
      <c r="U645" s="947"/>
      <c r="V645" s="947"/>
      <c r="W645" s="947"/>
      <c r="X645" s="947"/>
      <c r="Y645" s="947"/>
      <c r="Z645" s="947"/>
      <c r="AA645" s="947"/>
      <c r="AB645" s="947"/>
      <c r="AC645" s="947"/>
      <c r="AD645" s="947"/>
      <c r="AE645" s="947"/>
      <c r="AF645" s="947"/>
      <c r="AG645" s="947"/>
      <c r="AH645" s="947"/>
      <c r="AI645" s="947"/>
      <c r="AJ645" s="947"/>
      <c r="AK645" s="947"/>
      <c r="AL645" s="947"/>
      <c r="AM645" s="947"/>
      <c r="AN645" s="947"/>
      <c r="AO645" s="947"/>
      <c r="AP645" s="947"/>
      <c r="AQ645" s="947"/>
      <c r="AR645" s="947"/>
      <c r="AS645" s="947"/>
      <c r="AT645" s="947"/>
      <c r="AU645" s="947"/>
      <c r="AV645" s="947"/>
      <c r="AW645" s="947"/>
      <c r="AX645" s="947"/>
      <c r="AY645" s="947"/>
      <c r="AZ645" s="947"/>
      <c r="BA645" s="947"/>
      <c r="BB645" s="947"/>
      <c r="BC645" s="947"/>
      <c r="BD645" s="947"/>
      <c r="BE645" s="948"/>
      <c r="BF645" s="695"/>
    </row>
    <row r="646" spans="1:58" ht="13.15" x14ac:dyDescent="0.45">
      <c r="A646" s="695"/>
      <c r="B646" s="959" t="s">
        <v>152</v>
      </c>
      <c r="C646" s="947"/>
      <c r="D646" s="947"/>
      <c r="E646" s="947"/>
      <c r="F646" s="947"/>
      <c r="G646" s="947"/>
      <c r="H646" s="947"/>
      <c r="I646" s="947"/>
      <c r="J646" s="947"/>
      <c r="K646" s="947"/>
      <c r="L646" s="947"/>
      <c r="M646" s="947"/>
      <c r="N646" s="947"/>
      <c r="O646" s="947"/>
      <c r="P646" s="947"/>
      <c r="Q646" s="947"/>
      <c r="R646" s="947"/>
      <c r="S646" s="947"/>
      <c r="T646" s="947"/>
      <c r="U646" s="947"/>
      <c r="V646" s="947"/>
      <c r="W646" s="947"/>
      <c r="X646" s="947"/>
      <c r="Y646" s="947"/>
      <c r="Z646" s="947"/>
      <c r="AA646" s="947"/>
      <c r="AB646" s="947"/>
      <c r="AC646" s="947"/>
      <c r="AD646" s="947"/>
      <c r="AE646" s="947"/>
      <c r="AF646" s="947"/>
      <c r="AG646" s="947"/>
      <c r="AH646" s="947"/>
      <c r="AI646" s="947"/>
      <c r="AJ646" s="947"/>
      <c r="AK646" s="947"/>
      <c r="AL646" s="947"/>
      <c r="AM646" s="947"/>
      <c r="AN646" s="947"/>
      <c r="AO646" s="947"/>
      <c r="AP646" s="947"/>
      <c r="AQ646" s="947"/>
      <c r="AR646" s="947"/>
      <c r="AS646" s="947"/>
      <c r="AT646" s="947"/>
      <c r="AU646" s="947"/>
      <c r="AV646" s="947"/>
      <c r="AW646" s="947"/>
      <c r="AX646" s="947"/>
      <c r="AY646" s="947"/>
      <c r="AZ646" s="947"/>
      <c r="BA646" s="947"/>
      <c r="BB646" s="947"/>
      <c r="BC646" s="947"/>
      <c r="BD646" s="947"/>
      <c r="BE646" s="948"/>
      <c r="BF646" s="695"/>
    </row>
    <row r="647" spans="1:58" x14ac:dyDescent="0.45">
      <c r="A647" s="695"/>
      <c r="B647" s="946"/>
      <c r="C647" s="1044" t="s">
        <v>61</v>
      </c>
      <c r="D647" s="947"/>
      <c r="E647" s="947"/>
      <c r="F647" s="947"/>
      <c r="G647" s="1574">
        <f>IF('II. Inputs, Baseline Energy Mix'!$R$19&gt;0,('II. Inputs, Baseline Energy Mix'!$R$20*'II. Inputs, Baseline Energy Mix'!$R$21*'II. Inputs, Baseline Energy Mix'!$R$36*'II. Inputs, Baseline Energy Mix'!$R$40),0)</f>
        <v>0</v>
      </c>
      <c r="H647" s="947"/>
      <c r="I647" s="947"/>
      <c r="J647" s="947"/>
      <c r="K647" s="947"/>
      <c r="L647" s="947"/>
      <c r="M647" s="947"/>
      <c r="N647" s="947"/>
      <c r="O647" s="947"/>
      <c r="P647" s="947"/>
      <c r="Q647" s="947"/>
      <c r="R647" s="947"/>
      <c r="S647" s="947"/>
      <c r="T647" s="947"/>
      <c r="U647" s="947"/>
      <c r="V647" s="947"/>
      <c r="W647" s="947"/>
      <c r="X647" s="947"/>
      <c r="Y647" s="947"/>
      <c r="Z647" s="947"/>
      <c r="AA647" s="947"/>
      <c r="AB647" s="947"/>
      <c r="AC647" s="947"/>
      <c r="AD647" s="947"/>
      <c r="AE647" s="947"/>
      <c r="AF647" s="947"/>
      <c r="AG647" s="947"/>
      <c r="AH647" s="947"/>
      <c r="AI647" s="947"/>
      <c r="AJ647" s="947"/>
      <c r="AK647" s="947"/>
      <c r="AL647" s="947"/>
      <c r="AM647" s="947"/>
      <c r="AN647" s="947"/>
      <c r="AO647" s="947"/>
      <c r="AP647" s="947"/>
      <c r="AQ647" s="947"/>
      <c r="AR647" s="947"/>
      <c r="AS647" s="947"/>
      <c r="AT647" s="947"/>
      <c r="AU647" s="947"/>
      <c r="AV647" s="947"/>
      <c r="AW647" s="947"/>
      <c r="AX647" s="947"/>
      <c r="AY647" s="947"/>
      <c r="AZ647" s="947"/>
      <c r="BA647" s="947"/>
      <c r="BB647" s="947"/>
      <c r="BC647" s="947"/>
      <c r="BD647" s="947"/>
      <c r="BE647" s="948"/>
      <c r="BF647" s="695"/>
    </row>
    <row r="648" spans="1:58" x14ac:dyDescent="0.45">
      <c r="A648" s="695"/>
      <c r="B648" s="946"/>
      <c r="C648" s="1044" t="s">
        <v>62</v>
      </c>
      <c r="D648" s="947"/>
      <c r="E648" s="947"/>
      <c r="F648" s="947"/>
      <c r="G648" s="949">
        <f>SUM('II. Inputs, Baseline Energy Mix'!$R$52)</f>
        <v>0</v>
      </c>
      <c r="H648" s="947"/>
      <c r="I648" s="947"/>
      <c r="J648" s="947"/>
      <c r="K648" s="947"/>
      <c r="L648" s="947"/>
      <c r="M648" s="947"/>
      <c r="N648" s="947"/>
      <c r="O648" s="947"/>
      <c r="P648" s="947"/>
      <c r="Q648" s="947"/>
      <c r="R648" s="947"/>
      <c r="S648" s="947"/>
      <c r="T648" s="947"/>
      <c r="U648" s="947"/>
      <c r="V648" s="947"/>
      <c r="W648" s="947"/>
      <c r="X648" s="947"/>
      <c r="Y648" s="947"/>
      <c r="Z648" s="947"/>
      <c r="AA648" s="947"/>
      <c r="AB648" s="947"/>
      <c r="AC648" s="947"/>
      <c r="AD648" s="947"/>
      <c r="AE648" s="947"/>
      <c r="AF648" s="947"/>
      <c r="AG648" s="947"/>
      <c r="AH648" s="947"/>
      <c r="AI648" s="947"/>
      <c r="AJ648" s="947"/>
      <c r="AK648" s="947"/>
      <c r="AL648" s="947"/>
      <c r="AM648" s="947"/>
      <c r="AN648" s="947"/>
      <c r="AO648" s="947"/>
      <c r="AP648" s="947"/>
      <c r="AQ648" s="947"/>
      <c r="AR648" s="947"/>
      <c r="AS648" s="947"/>
      <c r="AT648" s="947"/>
      <c r="AU648" s="947"/>
      <c r="AV648" s="947"/>
      <c r="AW648" s="947"/>
      <c r="AX648" s="947"/>
      <c r="AY648" s="947"/>
      <c r="AZ648" s="947"/>
      <c r="BA648" s="947"/>
      <c r="BB648" s="947"/>
      <c r="BC648" s="947"/>
      <c r="BD648" s="947"/>
      <c r="BE648" s="948"/>
      <c r="BF648" s="695"/>
    </row>
    <row r="649" spans="1:58" x14ac:dyDescent="0.45">
      <c r="A649" s="695"/>
      <c r="B649" s="946"/>
      <c r="C649" s="1044" t="s">
        <v>63</v>
      </c>
      <c r="D649" s="947"/>
      <c r="E649" s="947"/>
      <c r="F649" s="947"/>
      <c r="G649" s="1048">
        <f>SUM('II. Inputs, Baseline Energy Mix'!$R$47)</f>
        <v>0</v>
      </c>
      <c r="H649" s="947"/>
      <c r="I649" s="947"/>
      <c r="J649" s="947"/>
      <c r="K649" s="947"/>
      <c r="L649" s="947"/>
      <c r="M649" s="947"/>
      <c r="N649" s="947"/>
      <c r="O649" s="947"/>
      <c r="P649" s="947"/>
      <c r="Q649" s="947"/>
      <c r="R649" s="947"/>
      <c r="S649" s="947"/>
      <c r="T649" s="947"/>
      <c r="U649" s="947"/>
      <c r="V649" s="947"/>
      <c r="W649" s="947"/>
      <c r="X649" s="947"/>
      <c r="Y649" s="947"/>
      <c r="Z649" s="947"/>
      <c r="AA649" s="947"/>
      <c r="AB649" s="947"/>
      <c r="AC649" s="947"/>
      <c r="AD649" s="947"/>
      <c r="AE649" s="947"/>
      <c r="AF649" s="947"/>
      <c r="AG649" s="947"/>
      <c r="AH649" s="947"/>
      <c r="AI649" s="947"/>
      <c r="AJ649" s="947"/>
      <c r="AK649" s="947"/>
      <c r="AL649" s="947"/>
      <c r="AM649" s="947"/>
      <c r="AN649" s="947"/>
      <c r="AO649" s="947"/>
      <c r="AP649" s="947"/>
      <c r="AQ649" s="947"/>
      <c r="AR649" s="947"/>
      <c r="AS649" s="947"/>
      <c r="AT649" s="947"/>
      <c r="AU649" s="947"/>
      <c r="AV649" s="947"/>
      <c r="AW649" s="947"/>
      <c r="AX649" s="947"/>
      <c r="AY649" s="947"/>
      <c r="AZ649" s="947"/>
      <c r="BA649" s="947"/>
      <c r="BB649" s="947"/>
      <c r="BC649" s="947"/>
      <c r="BD649" s="947"/>
      <c r="BE649" s="948"/>
      <c r="BF649" s="695"/>
    </row>
    <row r="650" spans="1:58" x14ac:dyDescent="0.45">
      <c r="A650" s="695"/>
      <c r="B650" s="946"/>
      <c r="C650" s="947"/>
      <c r="D650" s="947"/>
      <c r="E650" s="947"/>
      <c r="F650" s="947"/>
      <c r="G650" s="947"/>
      <c r="H650" s="947"/>
      <c r="I650" s="947"/>
      <c r="J650" s="947"/>
      <c r="K650" s="947"/>
      <c r="L650" s="947"/>
      <c r="M650" s="947"/>
      <c r="N650" s="947"/>
      <c r="O650" s="947"/>
      <c r="P650" s="947"/>
      <c r="Q650" s="947"/>
      <c r="R650" s="947"/>
      <c r="S650" s="947"/>
      <c r="T650" s="947"/>
      <c r="U650" s="947"/>
      <c r="V650" s="947"/>
      <c r="W650" s="947"/>
      <c r="X650" s="947"/>
      <c r="Y650" s="947"/>
      <c r="Z650" s="947"/>
      <c r="AA650" s="947"/>
      <c r="AB650" s="947"/>
      <c r="AC650" s="947"/>
      <c r="AD650" s="947"/>
      <c r="AE650" s="947"/>
      <c r="AF650" s="947"/>
      <c r="AG650" s="947"/>
      <c r="AH650" s="947"/>
      <c r="AI650" s="947"/>
      <c r="AJ650" s="947"/>
      <c r="AK650" s="947"/>
      <c r="AL650" s="947"/>
      <c r="AM650" s="947"/>
      <c r="AN650" s="947"/>
      <c r="AO650" s="947"/>
      <c r="AP650" s="947"/>
      <c r="AQ650" s="947"/>
      <c r="AR650" s="947"/>
      <c r="AS650" s="947"/>
      <c r="AT650" s="947"/>
      <c r="AU650" s="947"/>
      <c r="AV650" s="947"/>
      <c r="AW650" s="947"/>
      <c r="AX650" s="947"/>
      <c r="AY650" s="947"/>
      <c r="AZ650" s="947"/>
      <c r="BA650" s="947"/>
      <c r="BB650" s="947"/>
      <c r="BC650" s="947"/>
      <c r="BD650" s="947"/>
      <c r="BE650" s="948"/>
      <c r="BF650" s="695"/>
    </row>
    <row r="651" spans="1:58" x14ac:dyDescent="0.45">
      <c r="A651" s="695"/>
      <c r="B651" s="946"/>
      <c r="C651" s="1046" t="s">
        <v>60</v>
      </c>
      <c r="D651" s="947"/>
      <c r="E651" s="947"/>
      <c r="F651" s="947"/>
      <c r="G651" s="1574"/>
      <c r="H651" s="1574"/>
      <c r="I651" s="1574"/>
      <c r="J651" s="1574"/>
      <c r="K651" s="1574"/>
      <c r="L651" s="1574"/>
      <c r="M651" s="1574"/>
      <c r="N651" s="1574"/>
      <c r="O651" s="1574"/>
      <c r="P651" s="1574"/>
      <c r="Q651" s="1574"/>
      <c r="R651" s="1574"/>
      <c r="S651" s="1574"/>
      <c r="T651" s="1574"/>
      <c r="U651" s="1574"/>
      <c r="V651" s="1574"/>
      <c r="W651" s="1574"/>
      <c r="X651" s="1574"/>
      <c r="Y651" s="1574"/>
      <c r="Z651" s="1574"/>
      <c r="AA651" s="1574"/>
      <c r="AB651" s="1574"/>
      <c r="AC651" s="1574"/>
      <c r="AD651" s="1574"/>
      <c r="AE651" s="1574"/>
      <c r="AF651" s="1574"/>
      <c r="AG651" s="1574"/>
      <c r="AH651" s="1574"/>
      <c r="AI651" s="1574"/>
      <c r="AJ651" s="1574"/>
      <c r="AK651" s="1574"/>
      <c r="AL651" s="1574"/>
      <c r="AM651" s="1574"/>
      <c r="AN651" s="1574"/>
      <c r="AO651" s="1574"/>
      <c r="AP651" s="1574"/>
      <c r="AQ651" s="1574"/>
      <c r="AR651" s="1574"/>
      <c r="AS651" s="1574"/>
      <c r="AT651" s="1574"/>
      <c r="AU651" s="1574"/>
      <c r="AV651" s="1574"/>
      <c r="AW651" s="1574"/>
      <c r="AX651" s="1574"/>
      <c r="AY651" s="1574"/>
      <c r="AZ651" s="1574"/>
      <c r="BA651" s="1574"/>
      <c r="BB651" s="1574"/>
      <c r="BC651" s="1574"/>
      <c r="BD651" s="1574"/>
      <c r="BE651" s="1575"/>
      <c r="BF651" s="1548"/>
    </row>
    <row r="652" spans="1:58" x14ac:dyDescent="0.45">
      <c r="A652" s="695"/>
      <c r="B652" s="946"/>
      <c r="C652" s="947" t="s">
        <v>66</v>
      </c>
      <c r="D652" s="947"/>
      <c r="E652" s="947"/>
      <c r="F652" s="947"/>
      <c r="G652" s="1574"/>
      <c r="H652" s="1574">
        <f>IF(H$292&gt;$G648,0,IPMT($G649,H$292,$G648,-$G647))</f>
        <v>0</v>
      </c>
      <c r="I652" s="1574">
        <f t="shared" ref="I652:BE652" si="222">IF(I$292&gt;$G648,0,IPMT($G649,I$292,$G648,-$G647))</f>
        <v>0</v>
      </c>
      <c r="J652" s="1574">
        <f t="shared" si="222"/>
        <v>0</v>
      </c>
      <c r="K652" s="1574">
        <f t="shared" si="222"/>
        <v>0</v>
      </c>
      <c r="L652" s="1574">
        <f t="shared" si="222"/>
        <v>0</v>
      </c>
      <c r="M652" s="1574">
        <f t="shared" si="222"/>
        <v>0</v>
      </c>
      <c r="N652" s="1574">
        <f t="shared" si="222"/>
        <v>0</v>
      </c>
      <c r="O652" s="1574">
        <f t="shared" si="222"/>
        <v>0</v>
      </c>
      <c r="P652" s="1574">
        <f t="shared" si="222"/>
        <v>0</v>
      </c>
      <c r="Q652" s="1574">
        <f t="shared" si="222"/>
        <v>0</v>
      </c>
      <c r="R652" s="1574">
        <f t="shared" si="222"/>
        <v>0</v>
      </c>
      <c r="S652" s="1574">
        <f t="shared" si="222"/>
        <v>0</v>
      </c>
      <c r="T652" s="1574">
        <f t="shared" si="222"/>
        <v>0</v>
      </c>
      <c r="U652" s="1574">
        <f t="shared" si="222"/>
        <v>0</v>
      </c>
      <c r="V652" s="1574">
        <f t="shared" si="222"/>
        <v>0</v>
      </c>
      <c r="W652" s="1574">
        <f t="shared" si="222"/>
        <v>0</v>
      </c>
      <c r="X652" s="1574">
        <f t="shared" si="222"/>
        <v>0</v>
      </c>
      <c r="Y652" s="1574">
        <f t="shared" si="222"/>
        <v>0</v>
      </c>
      <c r="Z652" s="1574">
        <f t="shared" si="222"/>
        <v>0</v>
      </c>
      <c r="AA652" s="1574">
        <f t="shared" si="222"/>
        <v>0</v>
      </c>
      <c r="AB652" s="1574">
        <f t="shared" si="222"/>
        <v>0</v>
      </c>
      <c r="AC652" s="1574">
        <f t="shared" si="222"/>
        <v>0</v>
      </c>
      <c r="AD652" s="1574">
        <f t="shared" si="222"/>
        <v>0</v>
      </c>
      <c r="AE652" s="1574">
        <f t="shared" si="222"/>
        <v>0</v>
      </c>
      <c r="AF652" s="1574">
        <f t="shared" si="222"/>
        <v>0</v>
      </c>
      <c r="AG652" s="1574">
        <f t="shared" si="222"/>
        <v>0</v>
      </c>
      <c r="AH652" s="1574">
        <f t="shared" si="222"/>
        <v>0</v>
      </c>
      <c r="AI652" s="1574">
        <f t="shared" si="222"/>
        <v>0</v>
      </c>
      <c r="AJ652" s="1574">
        <f t="shared" si="222"/>
        <v>0</v>
      </c>
      <c r="AK652" s="1574">
        <f t="shared" si="222"/>
        <v>0</v>
      </c>
      <c r="AL652" s="1574">
        <f t="shared" si="222"/>
        <v>0</v>
      </c>
      <c r="AM652" s="1574">
        <f t="shared" si="222"/>
        <v>0</v>
      </c>
      <c r="AN652" s="1574">
        <f t="shared" si="222"/>
        <v>0</v>
      </c>
      <c r="AO652" s="1574">
        <f t="shared" si="222"/>
        <v>0</v>
      </c>
      <c r="AP652" s="1574">
        <f t="shared" si="222"/>
        <v>0</v>
      </c>
      <c r="AQ652" s="1574">
        <f t="shared" si="222"/>
        <v>0</v>
      </c>
      <c r="AR652" s="1574">
        <f t="shared" si="222"/>
        <v>0</v>
      </c>
      <c r="AS652" s="1574">
        <f t="shared" si="222"/>
        <v>0</v>
      </c>
      <c r="AT652" s="1574">
        <f t="shared" si="222"/>
        <v>0</v>
      </c>
      <c r="AU652" s="1574">
        <f t="shared" si="222"/>
        <v>0</v>
      </c>
      <c r="AV652" s="1574">
        <f t="shared" si="222"/>
        <v>0</v>
      </c>
      <c r="AW652" s="1574">
        <f t="shared" si="222"/>
        <v>0</v>
      </c>
      <c r="AX652" s="1574">
        <f t="shared" si="222"/>
        <v>0</v>
      </c>
      <c r="AY652" s="1574">
        <f t="shared" si="222"/>
        <v>0</v>
      </c>
      <c r="AZ652" s="1574">
        <f t="shared" si="222"/>
        <v>0</v>
      </c>
      <c r="BA652" s="1574">
        <f t="shared" si="222"/>
        <v>0</v>
      </c>
      <c r="BB652" s="1574">
        <f t="shared" si="222"/>
        <v>0</v>
      </c>
      <c r="BC652" s="1574">
        <f t="shared" si="222"/>
        <v>0</v>
      </c>
      <c r="BD652" s="1574">
        <f t="shared" si="222"/>
        <v>0</v>
      </c>
      <c r="BE652" s="1575">
        <f t="shared" si="222"/>
        <v>0</v>
      </c>
      <c r="BF652" s="1548"/>
    </row>
    <row r="653" spans="1:58" x14ac:dyDescent="0.45">
      <c r="A653" s="695"/>
      <c r="B653" s="946"/>
      <c r="C653" s="954" t="s">
        <v>65</v>
      </c>
      <c r="D653" s="954"/>
      <c r="E653" s="954"/>
      <c r="F653" s="954"/>
      <c r="G653" s="1576"/>
      <c r="H653" s="1576">
        <f>IF(H$292&gt;$G648,0,PPMT($G649,H$292,$G648,-$G647))</f>
        <v>0</v>
      </c>
      <c r="I653" s="1576">
        <f t="shared" ref="I653:BE653" si="223">IF(I$292&gt;$G648,0,PPMT($G649,I$292,$G648,-$G647))</f>
        <v>0</v>
      </c>
      <c r="J653" s="1576">
        <f t="shared" si="223"/>
        <v>0</v>
      </c>
      <c r="K653" s="1576">
        <f t="shared" si="223"/>
        <v>0</v>
      </c>
      <c r="L653" s="1576">
        <f t="shared" si="223"/>
        <v>0</v>
      </c>
      <c r="M653" s="1576">
        <f t="shared" si="223"/>
        <v>0</v>
      </c>
      <c r="N653" s="1576">
        <f t="shared" si="223"/>
        <v>0</v>
      </c>
      <c r="O653" s="1576">
        <f t="shared" si="223"/>
        <v>0</v>
      </c>
      <c r="P653" s="1576">
        <f t="shared" si="223"/>
        <v>0</v>
      </c>
      <c r="Q653" s="1576">
        <f t="shared" si="223"/>
        <v>0</v>
      </c>
      <c r="R653" s="1576">
        <f t="shared" si="223"/>
        <v>0</v>
      </c>
      <c r="S653" s="1576">
        <f t="shared" si="223"/>
        <v>0</v>
      </c>
      <c r="T653" s="1576">
        <f t="shared" si="223"/>
        <v>0</v>
      </c>
      <c r="U653" s="1576">
        <f t="shared" si="223"/>
        <v>0</v>
      </c>
      <c r="V653" s="1576">
        <f t="shared" si="223"/>
        <v>0</v>
      </c>
      <c r="W653" s="1576">
        <f t="shared" si="223"/>
        <v>0</v>
      </c>
      <c r="X653" s="1576">
        <f t="shared" si="223"/>
        <v>0</v>
      </c>
      <c r="Y653" s="1576">
        <f t="shared" si="223"/>
        <v>0</v>
      </c>
      <c r="Z653" s="1576">
        <f t="shared" si="223"/>
        <v>0</v>
      </c>
      <c r="AA653" s="1576">
        <f t="shared" si="223"/>
        <v>0</v>
      </c>
      <c r="AB653" s="1576">
        <f t="shared" si="223"/>
        <v>0</v>
      </c>
      <c r="AC653" s="1576">
        <f t="shared" si="223"/>
        <v>0</v>
      </c>
      <c r="AD653" s="1576">
        <f t="shared" si="223"/>
        <v>0</v>
      </c>
      <c r="AE653" s="1576">
        <f t="shared" si="223"/>
        <v>0</v>
      </c>
      <c r="AF653" s="1576">
        <f t="shared" si="223"/>
        <v>0</v>
      </c>
      <c r="AG653" s="1576">
        <f t="shared" si="223"/>
        <v>0</v>
      </c>
      <c r="AH653" s="1576">
        <f t="shared" si="223"/>
        <v>0</v>
      </c>
      <c r="AI653" s="1576">
        <f t="shared" si="223"/>
        <v>0</v>
      </c>
      <c r="AJ653" s="1576">
        <f t="shared" si="223"/>
        <v>0</v>
      </c>
      <c r="AK653" s="1576">
        <f t="shared" si="223"/>
        <v>0</v>
      </c>
      <c r="AL653" s="1576">
        <f t="shared" si="223"/>
        <v>0</v>
      </c>
      <c r="AM653" s="1576">
        <f t="shared" si="223"/>
        <v>0</v>
      </c>
      <c r="AN653" s="1576">
        <f t="shared" si="223"/>
        <v>0</v>
      </c>
      <c r="AO653" s="1576">
        <f t="shared" si="223"/>
        <v>0</v>
      </c>
      <c r="AP653" s="1576">
        <f t="shared" si="223"/>
        <v>0</v>
      </c>
      <c r="AQ653" s="1576">
        <f t="shared" si="223"/>
        <v>0</v>
      </c>
      <c r="AR653" s="1576">
        <f t="shared" si="223"/>
        <v>0</v>
      </c>
      <c r="AS653" s="1576">
        <f t="shared" si="223"/>
        <v>0</v>
      </c>
      <c r="AT653" s="1576">
        <f t="shared" si="223"/>
        <v>0</v>
      </c>
      <c r="AU653" s="1576">
        <f t="shared" si="223"/>
        <v>0</v>
      </c>
      <c r="AV653" s="1576">
        <f t="shared" si="223"/>
        <v>0</v>
      </c>
      <c r="AW653" s="1576">
        <f t="shared" si="223"/>
        <v>0</v>
      </c>
      <c r="AX653" s="1576">
        <f t="shared" si="223"/>
        <v>0</v>
      </c>
      <c r="AY653" s="1576">
        <f t="shared" si="223"/>
        <v>0</v>
      </c>
      <c r="AZ653" s="1576">
        <f t="shared" si="223"/>
        <v>0</v>
      </c>
      <c r="BA653" s="1576">
        <f t="shared" si="223"/>
        <v>0</v>
      </c>
      <c r="BB653" s="1576">
        <f t="shared" si="223"/>
        <v>0</v>
      </c>
      <c r="BC653" s="1576">
        <f t="shared" si="223"/>
        <v>0</v>
      </c>
      <c r="BD653" s="1576">
        <f t="shared" si="223"/>
        <v>0</v>
      </c>
      <c r="BE653" s="1577">
        <f t="shared" si="223"/>
        <v>0</v>
      </c>
      <c r="BF653" s="1548"/>
    </row>
    <row r="654" spans="1:58" x14ac:dyDescent="0.45">
      <c r="A654" s="695"/>
      <c r="B654" s="946"/>
      <c r="C654" s="947" t="s">
        <v>67</v>
      </c>
      <c r="D654" s="947"/>
      <c r="E654" s="947"/>
      <c r="F654" s="947"/>
      <c r="G654" s="1574"/>
      <c r="H654" s="1574">
        <f>SUM(H652:H653)</f>
        <v>0</v>
      </c>
      <c r="I654" s="1574">
        <f t="shared" ref="I654:BE654" si="224">SUM(I652:I653)</f>
        <v>0</v>
      </c>
      <c r="J654" s="1574">
        <f t="shared" si="224"/>
        <v>0</v>
      </c>
      <c r="K654" s="1574">
        <f t="shared" si="224"/>
        <v>0</v>
      </c>
      <c r="L654" s="1574">
        <f t="shared" si="224"/>
        <v>0</v>
      </c>
      <c r="M654" s="1574">
        <f t="shared" si="224"/>
        <v>0</v>
      </c>
      <c r="N654" s="1574">
        <f t="shared" si="224"/>
        <v>0</v>
      </c>
      <c r="O654" s="1574">
        <f t="shared" si="224"/>
        <v>0</v>
      </c>
      <c r="P654" s="1574">
        <f t="shared" si="224"/>
        <v>0</v>
      </c>
      <c r="Q654" s="1574">
        <f t="shared" si="224"/>
        <v>0</v>
      </c>
      <c r="R654" s="1574">
        <f t="shared" si="224"/>
        <v>0</v>
      </c>
      <c r="S654" s="1574">
        <f t="shared" si="224"/>
        <v>0</v>
      </c>
      <c r="T654" s="1574">
        <f t="shared" si="224"/>
        <v>0</v>
      </c>
      <c r="U654" s="1574">
        <f t="shared" si="224"/>
        <v>0</v>
      </c>
      <c r="V654" s="1574">
        <f t="shared" si="224"/>
        <v>0</v>
      </c>
      <c r="W654" s="1574">
        <f t="shared" si="224"/>
        <v>0</v>
      </c>
      <c r="X654" s="1574">
        <f t="shared" si="224"/>
        <v>0</v>
      </c>
      <c r="Y654" s="1574">
        <f t="shared" si="224"/>
        <v>0</v>
      </c>
      <c r="Z654" s="1574">
        <f t="shared" si="224"/>
        <v>0</v>
      </c>
      <c r="AA654" s="1574">
        <f t="shared" si="224"/>
        <v>0</v>
      </c>
      <c r="AB654" s="1574">
        <f t="shared" si="224"/>
        <v>0</v>
      </c>
      <c r="AC654" s="1574">
        <f t="shared" si="224"/>
        <v>0</v>
      </c>
      <c r="AD654" s="1574">
        <f t="shared" si="224"/>
        <v>0</v>
      </c>
      <c r="AE654" s="1574">
        <f t="shared" si="224"/>
        <v>0</v>
      </c>
      <c r="AF654" s="1574">
        <f t="shared" si="224"/>
        <v>0</v>
      </c>
      <c r="AG654" s="1574">
        <f t="shared" si="224"/>
        <v>0</v>
      </c>
      <c r="AH654" s="1574">
        <f t="shared" si="224"/>
        <v>0</v>
      </c>
      <c r="AI654" s="1574">
        <f t="shared" si="224"/>
        <v>0</v>
      </c>
      <c r="AJ654" s="1574">
        <f t="shared" si="224"/>
        <v>0</v>
      </c>
      <c r="AK654" s="1574">
        <f t="shared" si="224"/>
        <v>0</v>
      </c>
      <c r="AL654" s="1574">
        <f t="shared" si="224"/>
        <v>0</v>
      </c>
      <c r="AM654" s="1574">
        <f t="shared" si="224"/>
        <v>0</v>
      </c>
      <c r="AN654" s="1574">
        <f t="shared" si="224"/>
        <v>0</v>
      </c>
      <c r="AO654" s="1574">
        <f t="shared" si="224"/>
        <v>0</v>
      </c>
      <c r="AP654" s="1574">
        <f t="shared" si="224"/>
        <v>0</v>
      </c>
      <c r="AQ654" s="1574">
        <f t="shared" si="224"/>
        <v>0</v>
      </c>
      <c r="AR654" s="1574">
        <f t="shared" si="224"/>
        <v>0</v>
      </c>
      <c r="AS654" s="1574">
        <f t="shared" si="224"/>
        <v>0</v>
      </c>
      <c r="AT654" s="1574">
        <f t="shared" si="224"/>
        <v>0</v>
      </c>
      <c r="AU654" s="1574">
        <f t="shared" si="224"/>
        <v>0</v>
      </c>
      <c r="AV654" s="1574">
        <f t="shared" si="224"/>
        <v>0</v>
      </c>
      <c r="AW654" s="1574">
        <f t="shared" si="224"/>
        <v>0</v>
      </c>
      <c r="AX654" s="1574">
        <f t="shared" si="224"/>
        <v>0</v>
      </c>
      <c r="AY654" s="1574">
        <f t="shared" si="224"/>
        <v>0</v>
      </c>
      <c r="AZ654" s="1574">
        <f t="shared" si="224"/>
        <v>0</v>
      </c>
      <c r="BA654" s="1574">
        <f t="shared" si="224"/>
        <v>0</v>
      </c>
      <c r="BB654" s="1574">
        <f t="shared" si="224"/>
        <v>0</v>
      </c>
      <c r="BC654" s="1574">
        <f t="shared" si="224"/>
        <v>0</v>
      </c>
      <c r="BD654" s="1574">
        <f t="shared" si="224"/>
        <v>0</v>
      </c>
      <c r="BE654" s="1575">
        <f t="shared" si="224"/>
        <v>0</v>
      </c>
      <c r="BF654" s="1548"/>
    </row>
    <row r="655" spans="1:58" x14ac:dyDescent="0.45">
      <c r="A655" s="695"/>
      <c r="B655" s="946"/>
      <c r="C655" s="947"/>
      <c r="D655" s="947"/>
      <c r="E655" s="947"/>
      <c r="F655" s="947"/>
      <c r="G655" s="1574"/>
      <c r="H655" s="1574"/>
      <c r="I655" s="1574"/>
      <c r="J655" s="1574"/>
      <c r="K655" s="1574"/>
      <c r="L655" s="1574"/>
      <c r="M655" s="1574"/>
      <c r="N655" s="1574"/>
      <c r="O655" s="1574"/>
      <c r="P655" s="1574"/>
      <c r="Q655" s="1574"/>
      <c r="R655" s="1574"/>
      <c r="S655" s="1574"/>
      <c r="T655" s="1574"/>
      <c r="U655" s="1574"/>
      <c r="V655" s="1574"/>
      <c r="W655" s="1574"/>
      <c r="X655" s="1574"/>
      <c r="Y655" s="1574"/>
      <c r="Z655" s="1574"/>
      <c r="AA655" s="1574"/>
      <c r="AB655" s="1574"/>
      <c r="AC655" s="1574"/>
      <c r="AD655" s="1574"/>
      <c r="AE655" s="1574"/>
      <c r="AF655" s="1574"/>
      <c r="AG655" s="1574"/>
      <c r="AH655" s="1574"/>
      <c r="AI655" s="1574"/>
      <c r="AJ655" s="1574"/>
      <c r="AK655" s="1574"/>
      <c r="AL655" s="1574"/>
      <c r="AM655" s="1574"/>
      <c r="AN655" s="1574"/>
      <c r="AO655" s="1574"/>
      <c r="AP655" s="1574"/>
      <c r="AQ655" s="1574"/>
      <c r="AR655" s="1574"/>
      <c r="AS655" s="1574"/>
      <c r="AT655" s="1574"/>
      <c r="AU655" s="1574"/>
      <c r="AV655" s="1574"/>
      <c r="AW655" s="1574"/>
      <c r="AX655" s="1574"/>
      <c r="AY655" s="1574"/>
      <c r="AZ655" s="1574"/>
      <c r="BA655" s="1574"/>
      <c r="BB655" s="1574"/>
      <c r="BC655" s="1574"/>
      <c r="BD655" s="1574"/>
      <c r="BE655" s="1575"/>
      <c r="BF655" s="1548"/>
    </row>
    <row r="656" spans="1:58" x14ac:dyDescent="0.45">
      <c r="A656" s="695"/>
      <c r="B656" s="946"/>
      <c r="C656" s="1047" t="s">
        <v>58</v>
      </c>
      <c r="D656" s="947"/>
      <c r="E656" s="947"/>
      <c r="F656" s="947"/>
      <c r="G656" s="1574"/>
      <c r="H656" s="1574"/>
      <c r="I656" s="1574"/>
      <c r="J656" s="1574"/>
      <c r="K656" s="1574"/>
      <c r="L656" s="1574"/>
      <c r="M656" s="1574"/>
      <c r="N656" s="1574"/>
      <c r="O656" s="1574"/>
      <c r="P656" s="1574"/>
      <c r="Q656" s="1574"/>
      <c r="R656" s="1574"/>
      <c r="S656" s="1574"/>
      <c r="T656" s="1574"/>
      <c r="U656" s="1574"/>
      <c r="V656" s="1574"/>
      <c r="W656" s="1574"/>
      <c r="X656" s="1574"/>
      <c r="Y656" s="1574"/>
      <c r="Z656" s="1574"/>
      <c r="AA656" s="1574"/>
      <c r="AB656" s="1574"/>
      <c r="AC656" s="1574"/>
      <c r="AD656" s="1574"/>
      <c r="AE656" s="1574"/>
      <c r="AF656" s="1574"/>
      <c r="AG656" s="1574"/>
      <c r="AH656" s="1574"/>
      <c r="AI656" s="1574"/>
      <c r="AJ656" s="1574"/>
      <c r="AK656" s="1574"/>
      <c r="AL656" s="1574"/>
      <c r="AM656" s="1574"/>
      <c r="AN656" s="1574"/>
      <c r="AO656" s="1574"/>
      <c r="AP656" s="1574"/>
      <c r="AQ656" s="1574"/>
      <c r="AR656" s="1574"/>
      <c r="AS656" s="1574"/>
      <c r="AT656" s="1574"/>
      <c r="AU656" s="1574"/>
      <c r="AV656" s="1574"/>
      <c r="AW656" s="1574"/>
      <c r="AX656" s="1574"/>
      <c r="AY656" s="1574"/>
      <c r="AZ656" s="1574"/>
      <c r="BA656" s="1574"/>
      <c r="BB656" s="1574"/>
      <c r="BC656" s="1574"/>
      <c r="BD656" s="1574"/>
      <c r="BE656" s="1575"/>
      <c r="BF656" s="1548"/>
    </row>
    <row r="657" spans="1:58" x14ac:dyDescent="0.45">
      <c r="A657" s="695"/>
      <c r="B657" s="946"/>
      <c r="C657" s="947" t="s">
        <v>68</v>
      </c>
      <c r="D657" s="947"/>
      <c r="E657" s="947"/>
      <c r="F657" s="947"/>
      <c r="G657" s="1574">
        <v>0</v>
      </c>
      <c r="H657" s="1574">
        <f t="shared" ref="H657:AM657" si="225">G660</f>
        <v>0</v>
      </c>
      <c r="I657" s="1574">
        <f t="shared" si="225"/>
        <v>0</v>
      </c>
      <c r="J657" s="1574">
        <f t="shared" si="225"/>
        <v>0</v>
      </c>
      <c r="K657" s="1574">
        <f t="shared" si="225"/>
        <v>0</v>
      </c>
      <c r="L657" s="1574">
        <f t="shared" si="225"/>
        <v>0</v>
      </c>
      <c r="M657" s="1574">
        <f t="shared" si="225"/>
        <v>0</v>
      </c>
      <c r="N657" s="1574">
        <f t="shared" si="225"/>
        <v>0</v>
      </c>
      <c r="O657" s="1574">
        <f t="shared" si="225"/>
        <v>0</v>
      </c>
      <c r="P657" s="1574">
        <f t="shared" si="225"/>
        <v>0</v>
      </c>
      <c r="Q657" s="1574">
        <f t="shared" si="225"/>
        <v>0</v>
      </c>
      <c r="R657" s="1574">
        <f t="shared" si="225"/>
        <v>0</v>
      </c>
      <c r="S657" s="1574">
        <f t="shared" si="225"/>
        <v>0</v>
      </c>
      <c r="T657" s="1574">
        <f t="shared" si="225"/>
        <v>0</v>
      </c>
      <c r="U657" s="1574">
        <f t="shared" si="225"/>
        <v>0</v>
      </c>
      <c r="V657" s="1574">
        <f t="shared" si="225"/>
        <v>0</v>
      </c>
      <c r="W657" s="1574">
        <f t="shared" si="225"/>
        <v>0</v>
      </c>
      <c r="X657" s="1574">
        <f t="shared" si="225"/>
        <v>0</v>
      </c>
      <c r="Y657" s="1574">
        <f t="shared" si="225"/>
        <v>0</v>
      </c>
      <c r="Z657" s="1574">
        <f t="shared" si="225"/>
        <v>0</v>
      </c>
      <c r="AA657" s="1574">
        <f t="shared" si="225"/>
        <v>0</v>
      </c>
      <c r="AB657" s="1574">
        <f t="shared" si="225"/>
        <v>0</v>
      </c>
      <c r="AC657" s="1574">
        <f t="shared" si="225"/>
        <v>0</v>
      </c>
      <c r="AD657" s="1574">
        <f t="shared" si="225"/>
        <v>0</v>
      </c>
      <c r="AE657" s="1574">
        <f t="shared" si="225"/>
        <v>0</v>
      </c>
      <c r="AF657" s="1574">
        <f t="shared" si="225"/>
        <v>0</v>
      </c>
      <c r="AG657" s="1574">
        <f t="shared" si="225"/>
        <v>0</v>
      </c>
      <c r="AH657" s="1574">
        <f t="shared" si="225"/>
        <v>0</v>
      </c>
      <c r="AI657" s="1574">
        <f t="shared" si="225"/>
        <v>0</v>
      </c>
      <c r="AJ657" s="1574">
        <f t="shared" si="225"/>
        <v>0</v>
      </c>
      <c r="AK657" s="1574">
        <f t="shared" si="225"/>
        <v>0</v>
      </c>
      <c r="AL657" s="1574">
        <f t="shared" si="225"/>
        <v>0</v>
      </c>
      <c r="AM657" s="1574">
        <f t="shared" si="225"/>
        <v>0</v>
      </c>
      <c r="AN657" s="1574">
        <f t="shared" ref="AN657:BE657" si="226">AM660</f>
        <v>0</v>
      </c>
      <c r="AO657" s="1574">
        <f t="shared" si="226"/>
        <v>0</v>
      </c>
      <c r="AP657" s="1574">
        <f t="shared" si="226"/>
        <v>0</v>
      </c>
      <c r="AQ657" s="1574">
        <f t="shared" si="226"/>
        <v>0</v>
      </c>
      <c r="AR657" s="1574">
        <f t="shared" si="226"/>
        <v>0</v>
      </c>
      <c r="AS657" s="1574">
        <f t="shared" si="226"/>
        <v>0</v>
      </c>
      <c r="AT657" s="1574">
        <f t="shared" si="226"/>
        <v>0</v>
      </c>
      <c r="AU657" s="1574">
        <f t="shared" si="226"/>
        <v>0</v>
      </c>
      <c r="AV657" s="1574">
        <f t="shared" si="226"/>
        <v>0</v>
      </c>
      <c r="AW657" s="1574">
        <f t="shared" si="226"/>
        <v>0</v>
      </c>
      <c r="AX657" s="1574">
        <f t="shared" si="226"/>
        <v>0</v>
      </c>
      <c r="AY657" s="1574">
        <f t="shared" si="226"/>
        <v>0</v>
      </c>
      <c r="AZ657" s="1574">
        <f t="shared" si="226"/>
        <v>0</v>
      </c>
      <c r="BA657" s="1574">
        <f t="shared" si="226"/>
        <v>0</v>
      </c>
      <c r="BB657" s="1574">
        <f t="shared" si="226"/>
        <v>0</v>
      </c>
      <c r="BC657" s="1574">
        <f t="shared" si="226"/>
        <v>0</v>
      </c>
      <c r="BD657" s="1574">
        <f t="shared" si="226"/>
        <v>0</v>
      </c>
      <c r="BE657" s="1575">
        <f t="shared" si="226"/>
        <v>0</v>
      </c>
      <c r="BF657" s="1548"/>
    </row>
    <row r="658" spans="1:58" x14ac:dyDescent="0.45">
      <c r="A658" s="695"/>
      <c r="B658" s="946"/>
      <c r="C658" s="947" t="s">
        <v>69</v>
      </c>
      <c r="D658" s="947"/>
      <c r="E658" s="947"/>
      <c r="F658" s="947"/>
      <c r="G658" s="1574">
        <f>G647</f>
        <v>0</v>
      </c>
      <c r="H658" s="1574">
        <v>0</v>
      </c>
      <c r="I658" s="1574">
        <v>0</v>
      </c>
      <c r="J658" s="1574">
        <v>0</v>
      </c>
      <c r="K658" s="1574">
        <v>0</v>
      </c>
      <c r="L658" s="1574">
        <v>0</v>
      </c>
      <c r="M658" s="1574">
        <v>0</v>
      </c>
      <c r="N658" s="1574">
        <v>0</v>
      </c>
      <c r="O658" s="1574">
        <v>0</v>
      </c>
      <c r="P658" s="1574">
        <v>0</v>
      </c>
      <c r="Q658" s="1574">
        <v>0</v>
      </c>
      <c r="R658" s="1574">
        <v>0</v>
      </c>
      <c r="S658" s="1574">
        <v>0</v>
      </c>
      <c r="T658" s="1574">
        <v>0</v>
      </c>
      <c r="U658" s="1574">
        <v>0</v>
      </c>
      <c r="V658" s="1574">
        <v>0</v>
      </c>
      <c r="W658" s="1574">
        <v>0</v>
      </c>
      <c r="X658" s="1574">
        <v>0</v>
      </c>
      <c r="Y658" s="1574">
        <v>0</v>
      </c>
      <c r="Z658" s="1574">
        <v>0</v>
      </c>
      <c r="AA658" s="1574">
        <v>0</v>
      </c>
      <c r="AB658" s="1574">
        <v>0</v>
      </c>
      <c r="AC658" s="1574">
        <v>0</v>
      </c>
      <c r="AD658" s="1574">
        <v>0</v>
      </c>
      <c r="AE658" s="1574">
        <v>0</v>
      </c>
      <c r="AF658" s="1574">
        <v>0</v>
      </c>
      <c r="AG658" s="1574">
        <v>0</v>
      </c>
      <c r="AH658" s="1574">
        <v>0</v>
      </c>
      <c r="AI658" s="1574">
        <v>0</v>
      </c>
      <c r="AJ658" s="1574">
        <v>0</v>
      </c>
      <c r="AK658" s="1574">
        <v>0</v>
      </c>
      <c r="AL658" s="1574">
        <v>0</v>
      </c>
      <c r="AM658" s="1574">
        <v>0</v>
      </c>
      <c r="AN658" s="1574">
        <v>0</v>
      </c>
      <c r="AO658" s="1574">
        <v>0</v>
      </c>
      <c r="AP658" s="1574">
        <v>0</v>
      </c>
      <c r="AQ658" s="1574">
        <v>0</v>
      </c>
      <c r="AR658" s="1574">
        <v>0</v>
      </c>
      <c r="AS658" s="1574">
        <v>0</v>
      </c>
      <c r="AT658" s="1574">
        <v>0</v>
      </c>
      <c r="AU658" s="1574">
        <v>0</v>
      </c>
      <c r="AV658" s="1574">
        <v>0</v>
      </c>
      <c r="AW658" s="1574">
        <v>0</v>
      </c>
      <c r="AX658" s="1574">
        <v>0</v>
      </c>
      <c r="AY658" s="1574">
        <v>0</v>
      </c>
      <c r="AZ658" s="1574">
        <v>0</v>
      </c>
      <c r="BA658" s="1574">
        <v>0</v>
      </c>
      <c r="BB658" s="1574">
        <v>0</v>
      </c>
      <c r="BC658" s="1574">
        <v>0</v>
      </c>
      <c r="BD658" s="1574">
        <v>0</v>
      </c>
      <c r="BE658" s="1575">
        <v>0</v>
      </c>
      <c r="BF658" s="1548"/>
    </row>
    <row r="659" spans="1:58" x14ac:dyDescent="0.45">
      <c r="A659" s="695"/>
      <c r="B659" s="946"/>
      <c r="C659" s="954" t="s">
        <v>70</v>
      </c>
      <c r="D659" s="954"/>
      <c r="E659" s="954"/>
      <c r="F659" s="954"/>
      <c r="G659" s="1576">
        <v>0</v>
      </c>
      <c r="H659" s="1576">
        <f>-H653</f>
        <v>0</v>
      </c>
      <c r="I659" s="1576">
        <f t="shared" ref="I659:BE659" si="227">-I653</f>
        <v>0</v>
      </c>
      <c r="J659" s="1576">
        <f t="shared" si="227"/>
        <v>0</v>
      </c>
      <c r="K659" s="1576">
        <f t="shared" si="227"/>
        <v>0</v>
      </c>
      <c r="L659" s="1576">
        <f t="shared" si="227"/>
        <v>0</v>
      </c>
      <c r="M659" s="1576">
        <f t="shared" si="227"/>
        <v>0</v>
      </c>
      <c r="N659" s="1576">
        <f t="shared" si="227"/>
        <v>0</v>
      </c>
      <c r="O659" s="1576">
        <f t="shared" si="227"/>
        <v>0</v>
      </c>
      <c r="P659" s="1576">
        <f t="shared" si="227"/>
        <v>0</v>
      </c>
      <c r="Q659" s="1576">
        <f t="shared" si="227"/>
        <v>0</v>
      </c>
      <c r="R659" s="1576">
        <f t="shared" si="227"/>
        <v>0</v>
      </c>
      <c r="S659" s="1576">
        <f t="shared" si="227"/>
        <v>0</v>
      </c>
      <c r="T659" s="1576">
        <f t="shared" si="227"/>
        <v>0</v>
      </c>
      <c r="U659" s="1576">
        <f t="shared" si="227"/>
        <v>0</v>
      </c>
      <c r="V659" s="1576">
        <f t="shared" si="227"/>
        <v>0</v>
      </c>
      <c r="W659" s="1576">
        <f t="shared" si="227"/>
        <v>0</v>
      </c>
      <c r="X659" s="1576">
        <f t="shared" si="227"/>
        <v>0</v>
      </c>
      <c r="Y659" s="1576">
        <f t="shared" si="227"/>
        <v>0</v>
      </c>
      <c r="Z659" s="1576">
        <f t="shared" si="227"/>
        <v>0</v>
      </c>
      <c r="AA659" s="1576">
        <f t="shared" si="227"/>
        <v>0</v>
      </c>
      <c r="AB659" s="1576">
        <f t="shared" si="227"/>
        <v>0</v>
      </c>
      <c r="AC659" s="1576">
        <f t="shared" si="227"/>
        <v>0</v>
      </c>
      <c r="AD659" s="1576">
        <f t="shared" si="227"/>
        <v>0</v>
      </c>
      <c r="AE659" s="1576">
        <f t="shared" si="227"/>
        <v>0</v>
      </c>
      <c r="AF659" s="1576">
        <f t="shared" si="227"/>
        <v>0</v>
      </c>
      <c r="AG659" s="1576">
        <f t="shared" si="227"/>
        <v>0</v>
      </c>
      <c r="AH659" s="1576">
        <f t="shared" si="227"/>
        <v>0</v>
      </c>
      <c r="AI659" s="1576">
        <f t="shared" si="227"/>
        <v>0</v>
      </c>
      <c r="AJ659" s="1576">
        <f t="shared" si="227"/>
        <v>0</v>
      </c>
      <c r="AK659" s="1576">
        <f t="shared" si="227"/>
        <v>0</v>
      </c>
      <c r="AL659" s="1576">
        <f t="shared" si="227"/>
        <v>0</v>
      </c>
      <c r="AM659" s="1576">
        <f t="shared" si="227"/>
        <v>0</v>
      </c>
      <c r="AN659" s="1576">
        <f t="shared" si="227"/>
        <v>0</v>
      </c>
      <c r="AO659" s="1576">
        <f t="shared" si="227"/>
        <v>0</v>
      </c>
      <c r="AP659" s="1576">
        <f t="shared" si="227"/>
        <v>0</v>
      </c>
      <c r="AQ659" s="1576">
        <f t="shared" si="227"/>
        <v>0</v>
      </c>
      <c r="AR659" s="1576">
        <f t="shared" si="227"/>
        <v>0</v>
      </c>
      <c r="AS659" s="1576">
        <f t="shared" si="227"/>
        <v>0</v>
      </c>
      <c r="AT659" s="1576">
        <f t="shared" si="227"/>
        <v>0</v>
      </c>
      <c r="AU659" s="1576">
        <f t="shared" si="227"/>
        <v>0</v>
      </c>
      <c r="AV659" s="1576">
        <f t="shared" si="227"/>
        <v>0</v>
      </c>
      <c r="AW659" s="1576">
        <f t="shared" si="227"/>
        <v>0</v>
      </c>
      <c r="AX659" s="1576">
        <f t="shared" si="227"/>
        <v>0</v>
      </c>
      <c r="AY659" s="1576">
        <f t="shared" si="227"/>
        <v>0</v>
      </c>
      <c r="AZ659" s="1576">
        <f t="shared" si="227"/>
        <v>0</v>
      </c>
      <c r="BA659" s="1576">
        <f t="shared" si="227"/>
        <v>0</v>
      </c>
      <c r="BB659" s="1576">
        <f t="shared" si="227"/>
        <v>0</v>
      </c>
      <c r="BC659" s="1576">
        <f t="shared" si="227"/>
        <v>0</v>
      </c>
      <c r="BD659" s="1576">
        <f t="shared" si="227"/>
        <v>0</v>
      </c>
      <c r="BE659" s="1577">
        <f t="shared" si="227"/>
        <v>0</v>
      </c>
      <c r="BF659" s="1548"/>
    </row>
    <row r="660" spans="1:58" x14ac:dyDescent="0.45">
      <c r="A660" s="695"/>
      <c r="B660" s="946"/>
      <c r="C660" s="947" t="s">
        <v>59</v>
      </c>
      <c r="D660" s="947"/>
      <c r="E660" s="947"/>
      <c r="F660" s="947"/>
      <c r="G660" s="1574">
        <f>SUM(G657:G659)</f>
        <v>0</v>
      </c>
      <c r="H660" s="1574">
        <f>SUM(H657:H659)</f>
        <v>0</v>
      </c>
      <c r="I660" s="1574">
        <f t="shared" ref="I660:BE660" si="228">SUM(I657:I659)</f>
        <v>0</v>
      </c>
      <c r="J660" s="1574">
        <f t="shared" si="228"/>
        <v>0</v>
      </c>
      <c r="K660" s="1574">
        <f t="shared" si="228"/>
        <v>0</v>
      </c>
      <c r="L660" s="1574">
        <f t="shared" si="228"/>
        <v>0</v>
      </c>
      <c r="M660" s="1574">
        <f t="shared" si="228"/>
        <v>0</v>
      </c>
      <c r="N660" s="1574">
        <f t="shared" si="228"/>
        <v>0</v>
      </c>
      <c r="O660" s="1574">
        <f t="shared" si="228"/>
        <v>0</v>
      </c>
      <c r="P660" s="1574">
        <f t="shared" si="228"/>
        <v>0</v>
      </c>
      <c r="Q660" s="1574">
        <f t="shared" si="228"/>
        <v>0</v>
      </c>
      <c r="R660" s="1574">
        <f t="shared" si="228"/>
        <v>0</v>
      </c>
      <c r="S660" s="1574">
        <f t="shared" si="228"/>
        <v>0</v>
      </c>
      <c r="T660" s="1574">
        <f t="shared" si="228"/>
        <v>0</v>
      </c>
      <c r="U660" s="1574">
        <f t="shared" si="228"/>
        <v>0</v>
      </c>
      <c r="V660" s="1574">
        <f t="shared" si="228"/>
        <v>0</v>
      </c>
      <c r="W660" s="1574">
        <f t="shared" si="228"/>
        <v>0</v>
      </c>
      <c r="X660" s="1574">
        <f t="shared" si="228"/>
        <v>0</v>
      </c>
      <c r="Y660" s="1574">
        <f t="shared" si="228"/>
        <v>0</v>
      </c>
      <c r="Z660" s="1574">
        <f t="shared" si="228"/>
        <v>0</v>
      </c>
      <c r="AA660" s="1574">
        <f t="shared" si="228"/>
        <v>0</v>
      </c>
      <c r="AB660" s="1574">
        <f t="shared" si="228"/>
        <v>0</v>
      </c>
      <c r="AC660" s="1574">
        <f t="shared" si="228"/>
        <v>0</v>
      </c>
      <c r="AD660" s="1574">
        <f t="shared" si="228"/>
        <v>0</v>
      </c>
      <c r="AE660" s="1574">
        <f t="shared" si="228"/>
        <v>0</v>
      </c>
      <c r="AF660" s="1574">
        <f t="shared" si="228"/>
        <v>0</v>
      </c>
      <c r="AG660" s="1574">
        <f t="shared" si="228"/>
        <v>0</v>
      </c>
      <c r="AH660" s="1574">
        <f t="shared" si="228"/>
        <v>0</v>
      </c>
      <c r="AI660" s="1574">
        <f t="shared" si="228"/>
        <v>0</v>
      </c>
      <c r="AJ660" s="1574">
        <f t="shared" si="228"/>
        <v>0</v>
      </c>
      <c r="AK660" s="1574">
        <f t="shared" si="228"/>
        <v>0</v>
      </c>
      <c r="AL660" s="1574">
        <f t="shared" si="228"/>
        <v>0</v>
      </c>
      <c r="AM660" s="1574">
        <f t="shared" si="228"/>
        <v>0</v>
      </c>
      <c r="AN660" s="1574">
        <f t="shared" si="228"/>
        <v>0</v>
      </c>
      <c r="AO660" s="1574">
        <f t="shared" si="228"/>
        <v>0</v>
      </c>
      <c r="AP660" s="1574">
        <f t="shared" si="228"/>
        <v>0</v>
      </c>
      <c r="AQ660" s="1574">
        <f t="shared" si="228"/>
        <v>0</v>
      </c>
      <c r="AR660" s="1574">
        <f t="shared" si="228"/>
        <v>0</v>
      </c>
      <c r="AS660" s="1574">
        <f t="shared" si="228"/>
        <v>0</v>
      </c>
      <c r="AT660" s="1574">
        <f t="shared" si="228"/>
        <v>0</v>
      </c>
      <c r="AU660" s="1574">
        <f t="shared" si="228"/>
        <v>0</v>
      </c>
      <c r="AV660" s="1574">
        <f t="shared" si="228"/>
        <v>0</v>
      </c>
      <c r="AW660" s="1574">
        <f t="shared" si="228"/>
        <v>0</v>
      </c>
      <c r="AX660" s="1574">
        <f t="shared" si="228"/>
        <v>0</v>
      </c>
      <c r="AY660" s="1574">
        <f t="shared" si="228"/>
        <v>0</v>
      </c>
      <c r="AZ660" s="1574">
        <f t="shared" si="228"/>
        <v>0</v>
      </c>
      <c r="BA660" s="1574">
        <f t="shared" si="228"/>
        <v>0</v>
      </c>
      <c r="BB660" s="1574">
        <f t="shared" si="228"/>
        <v>0</v>
      </c>
      <c r="BC660" s="1574">
        <f t="shared" si="228"/>
        <v>0</v>
      </c>
      <c r="BD660" s="1574">
        <f t="shared" si="228"/>
        <v>0</v>
      </c>
      <c r="BE660" s="1575">
        <f t="shared" si="228"/>
        <v>0</v>
      </c>
      <c r="BF660" s="1548"/>
    </row>
    <row r="661" spans="1:58" x14ac:dyDescent="0.45">
      <c r="A661" s="695"/>
      <c r="B661" s="946"/>
      <c r="C661" s="947"/>
      <c r="D661" s="947"/>
      <c r="E661" s="947"/>
      <c r="F661" s="947"/>
      <c r="G661" s="1574"/>
      <c r="H661" s="1574"/>
      <c r="I661" s="1574"/>
      <c r="J661" s="1574"/>
      <c r="K661" s="1574"/>
      <c r="L661" s="1574"/>
      <c r="M661" s="1574"/>
      <c r="N661" s="1574"/>
      <c r="O661" s="1574"/>
      <c r="P661" s="1574"/>
      <c r="Q661" s="1574"/>
      <c r="R661" s="1574"/>
      <c r="S661" s="1574"/>
      <c r="T661" s="1574"/>
      <c r="U661" s="1574"/>
      <c r="V661" s="1574"/>
      <c r="W661" s="1574"/>
      <c r="X661" s="1574"/>
      <c r="Y661" s="1574"/>
      <c r="Z661" s="1574"/>
      <c r="AA661" s="1574"/>
      <c r="AB661" s="1574"/>
      <c r="AC661" s="1574"/>
      <c r="AD661" s="1574"/>
      <c r="AE661" s="1574"/>
      <c r="AF661" s="1574"/>
      <c r="AG661" s="1574"/>
      <c r="AH661" s="1574"/>
      <c r="AI661" s="1574"/>
      <c r="AJ661" s="1574"/>
      <c r="AK661" s="1574"/>
      <c r="AL661" s="1574"/>
      <c r="AM661" s="1574"/>
      <c r="AN661" s="1574"/>
      <c r="AO661" s="1574"/>
      <c r="AP661" s="1574"/>
      <c r="AQ661" s="1574"/>
      <c r="AR661" s="1574"/>
      <c r="AS661" s="1574"/>
      <c r="AT661" s="1574"/>
      <c r="AU661" s="1574"/>
      <c r="AV661" s="1574"/>
      <c r="AW661" s="1574"/>
      <c r="AX661" s="1574"/>
      <c r="AY661" s="1574"/>
      <c r="AZ661" s="1574"/>
      <c r="BA661" s="1574"/>
      <c r="BB661" s="1574"/>
      <c r="BC661" s="1574"/>
      <c r="BD661" s="1574"/>
      <c r="BE661" s="1575"/>
      <c r="BF661" s="1548"/>
    </row>
    <row r="662" spans="1:58" x14ac:dyDescent="0.45">
      <c r="A662" s="695"/>
      <c r="B662" s="946"/>
      <c r="C662" s="1047" t="s">
        <v>64</v>
      </c>
      <c r="D662" s="947"/>
      <c r="E662" s="947"/>
      <c r="F662" s="947"/>
      <c r="G662" s="1574"/>
      <c r="H662" s="1574"/>
      <c r="I662" s="1574"/>
      <c r="J662" s="1574"/>
      <c r="K662" s="1574"/>
      <c r="L662" s="1574"/>
      <c r="M662" s="1574"/>
      <c r="N662" s="1574"/>
      <c r="O662" s="1574"/>
      <c r="P662" s="1574"/>
      <c r="Q662" s="1574"/>
      <c r="R662" s="1574"/>
      <c r="S662" s="1574"/>
      <c r="T662" s="1574"/>
      <c r="U662" s="1574"/>
      <c r="V662" s="1574"/>
      <c r="W662" s="1574"/>
      <c r="X662" s="1574"/>
      <c r="Y662" s="1574"/>
      <c r="Z662" s="1574"/>
      <c r="AA662" s="1574"/>
      <c r="AB662" s="1574"/>
      <c r="AC662" s="1574"/>
      <c r="AD662" s="1574"/>
      <c r="AE662" s="1574"/>
      <c r="AF662" s="1574"/>
      <c r="AG662" s="1574"/>
      <c r="AH662" s="1574"/>
      <c r="AI662" s="1574"/>
      <c r="AJ662" s="1574"/>
      <c r="AK662" s="1574"/>
      <c r="AL662" s="1574"/>
      <c r="AM662" s="1574"/>
      <c r="AN662" s="1574"/>
      <c r="AO662" s="1574"/>
      <c r="AP662" s="1574"/>
      <c r="AQ662" s="1574"/>
      <c r="AR662" s="1574"/>
      <c r="AS662" s="1574"/>
      <c r="AT662" s="1574"/>
      <c r="AU662" s="1574"/>
      <c r="AV662" s="1574"/>
      <c r="AW662" s="1574"/>
      <c r="AX662" s="1574"/>
      <c r="AY662" s="1574"/>
      <c r="AZ662" s="1574"/>
      <c r="BA662" s="1574"/>
      <c r="BB662" s="1574"/>
      <c r="BC662" s="1574"/>
      <c r="BD662" s="1574"/>
      <c r="BE662" s="1575"/>
      <c r="BF662" s="1548"/>
    </row>
    <row r="663" spans="1:58" x14ac:dyDescent="0.45">
      <c r="A663" s="695"/>
      <c r="B663" s="946"/>
      <c r="C663" s="947" t="s">
        <v>205</v>
      </c>
      <c r="D663" s="947"/>
      <c r="E663" s="947"/>
      <c r="F663" s="947"/>
      <c r="G663" s="1574"/>
      <c r="H663" s="1574">
        <f>IF($G647&gt;0, $G647*'II. Inputs, Baseline Energy Mix'!$R$57/10000,0)</f>
        <v>0</v>
      </c>
      <c r="I663" s="1574">
        <v>0</v>
      </c>
      <c r="J663" s="1574">
        <v>0</v>
      </c>
      <c r="K663" s="1574">
        <v>0</v>
      </c>
      <c r="L663" s="1574">
        <v>0</v>
      </c>
      <c r="M663" s="1574">
        <v>0</v>
      </c>
      <c r="N663" s="1574">
        <v>0</v>
      </c>
      <c r="O663" s="1574">
        <v>0</v>
      </c>
      <c r="P663" s="1574">
        <v>0</v>
      </c>
      <c r="Q663" s="1574">
        <v>0</v>
      </c>
      <c r="R663" s="1574">
        <v>0</v>
      </c>
      <c r="S663" s="1574">
        <v>0</v>
      </c>
      <c r="T663" s="1574">
        <v>0</v>
      </c>
      <c r="U663" s="1574">
        <v>0</v>
      </c>
      <c r="V663" s="1574">
        <v>0</v>
      </c>
      <c r="W663" s="1574">
        <v>0</v>
      </c>
      <c r="X663" s="1574">
        <v>0</v>
      </c>
      <c r="Y663" s="1574">
        <v>0</v>
      </c>
      <c r="Z663" s="1574">
        <v>0</v>
      </c>
      <c r="AA663" s="1574">
        <v>0</v>
      </c>
      <c r="AB663" s="1574">
        <v>0</v>
      </c>
      <c r="AC663" s="1574">
        <v>0</v>
      </c>
      <c r="AD663" s="1574">
        <v>0</v>
      </c>
      <c r="AE663" s="1574">
        <v>0</v>
      </c>
      <c r="AF663" s="1574">
        <v>0</v>
      </c>
      <c r="AG663" s="1574">
        <v>0</v>
      </c>
      <c r="AH663" s="1574">
        <v>0</v>
      </c>
      <c r="AI663" s="1574">
        <v>0</v>
      </c>
      <c r="AJ663" s="1574">
        <v>0</v>
      </c>
      <c r="AK663" s="1574">
        <v>0</v>
      </c>
      <c r="AL663" s="1574">
        <v>0</v>
      </c>
      <c r="AM663" s="1574">
        <v>0</v>
      </c>
      <c r="AN663" s="1574">
        <v>0</v>
      </c>
      <c r="AO663" s="1574">
        <v>0</v>
      </c>
      <c r="AP663" s="1574">
        <v>0</v>
      </c>
      <c r="AQ663" s="1574">
        <v>0</v>
      </c>
      <c r="AR663" s="1574">
        <v>0</v>
      </c>
      <c r="AS663" s="1574">
        <v>0</v>
      </c>
      <c r="AT663" s="1574">
        <v>0</v>
      </c>
      <c r="AU663" s="1574">
        <v>0</v>
      </c>
      <c r="AV663" s="1574">
        <v>0</v>
      </c>
      <c r="AW663" s="1574">
        <v>0</v>
      </c>
      <c r="AX663" s="1574">
        <v>0</v>
      </c>
      <c r="AY663" s="1574">
        <v>0</v>
      </c>
      <c r="AZ663" s="1574">
        <v>0</v>
      </c>
      <c r="BA663" s="1574">
        <v>0</v>
      </c>
      <c r="BB663" s="1574">
        <v>0</v>
      </c>
      <c r="BC663" s="1574">
        <v>0</v>
      </c>
      <c r="BD663" s="1574">
        <v>0</v>
      </c>
      <c r="BE663" s="1575">
        <v>0</v>
      </c>
      <c r="BF663" s="1548"/>
    </row>
    <row r="664" spans="1:58" x14ac:dyDescent="0.45">
      <c r="A664" s="695"/>
      <c r="B664" s="946"/>
      <c r="C664" s="947"/>
      <c r="D664" s="947"/>
      <c r="E664" s="947"/>
      <c r="F664" s="947"/>
      <c r="G664" s="947"/>
      <c r="H664" s="947"/>
      <c r="I664" s="947"/>
      <c r="J664" s="947"/>
      <c r="K664" s="947"/>
      <c r="L664" s="947"/>
      <c r="M664" s="947"/>
      <c r="N664" s="947"/>
      <c r="O664" s="947"/>
      <c r="P664" s="947"/>
      <c r="Q664" s="947"/>
      <c r="R664" s="947"/>
      <c r="S664" s="947"/>
      <c r="T664" s="947"/>
      <c r="U664" s="947"/>
      <c r="V664" s="947"/>
      <c r="W664" s="947"/>
      <c r="X664" s="947"/>
      <c r="Y664" s="947"/>
      <c r="Z664" s="947"/>
      <c r="AA664" s="947"/>
      <c r="AB664" s="947"/>
      <c r="AC664" s="947"/>
      <c r="AD664" s="947"/>
      <c r="AE664" s="947"/>
      <c r="AF664" s="947"/>
      <c r="AG664" s="947"/>
      <c r="AH664" s="947"/>
      <c r="AI664" s="947"/>
      <c r="AJ664" s="947"/>
      <c r="AK664" s="947"/>
      <c r="AL664" s="947"/>
      <c r="AM664" s="947"/>
      <c r="AN664" s="947"/>
      <c r="AO664" s="947"/>
      <c r="AP664" s="947"/>
      <c r="AQ664" s="947"/>
      <c r="AR664" s="947"/>
      <c r="AS664" s="947"/>
      <c r="AT664" s="947"/>
      <c r="AU664" s="947"/>
      <c r="AV664" s="947"/>
      <c r="AW664" s="947"/>
      <c r="AX664" s="947"/>
      <c r="AY664" s="947"/>
      <c r="AZ664" s="947"/>
      <c r="BA664" s="947"/>
      <c r="BB664" s="947"/>
      <c r="BC664" s="947"/>
      <c r="BD664" s="947"/>
      <c r="BE664" s="948"/>
      <c r="BF664" s="695"/>
    </row>
    <row r="665" spans="1:58" x14ac:dyDescent="0.45">
      <c r="A665" s="695"/>
      <c r="B665" s="946"/>
      <c r="C665" s="947"/>
      <c r="D665" s="947"/>
      <c r="E665" s="947"/>
      <c r="F665" s="947"/>
      <c r="G665" s="947"/>
      <c r="H665" s="947"/>
      <c r="I665" s="947"/>
      <c r="J665" s="947"/>
      <c r="K665" s="947"/>
      <c r="L665" s="947"/>
      <c r="M665" s="947"/>
      <c r="N665" s="947"/>
      <c r="O665" s="947"/>
      <c r="P665" s="947"/>
      <c r="Q665" s="947"/>
      <c r="R665" s="947"/>
      <c r="S665" s="947"/>
      <c r="T665" s="947"/>
      <c r="U665" s="947"/>
      <c r="V665" s="947"/>
      <c r="W665" s="947"/>
      <c r="X665" s="947"/>
      <c r="Y665" s="947"/>
      <c r="Z665" s="947"/>
      <c r="AA665" s="947"/>
      <c r="AB665" s="947"/>
      <c r="AC665" s="947"/>
      <c r="AD665" s="947"/>
      <c r="AE665" s="947"/>
      <c r="AF665" s="947"/>
      <c r="AG665" s="947"/>
      <c r="AH665" s="947"/>
      <c r="AI665" s="947"/>
      <c r="AJ665" s="947"/>
      <c r="AK665" s="947"/>
      <c r="AL665" s="947"/>
      <c r="AM665" s="947"/>
      <c r="AN665" s="947"/>
      <c r="AO665" s="947"/>
      <c r="AP665" s="947"/>
      <c r="AQ665" s="947"/>
      <c r="AR665" s="947"/>
      <c r="AS665" s="947"/>
      <c r="AT665" s="947"/>
      <c r="AU665" s="947"/>
      <c r="AV665" s="947"/>
      <c r="AW665" s="947"/>
      <c r="AX665" s="947"/>
      <c r="AY665" s="947"/>
      <c r="AZ665" s="947"/>
      <c r="BA665" s="947"/>
      <c r="BB665" s="947"/>
      <c r="BC665" s="947"/>
      <c r="BD665" s="947"/>
      <c r="BE665" s="948"/>
      <c r="BF665" s="695"/>
    </row>
    <row r="666" spans="1:58" ht="13.15" x14ac:dyDescent="0.45">
      <c r="A666" s="695"/>
      <c r="B666" s="959" t="s">
        <v>79</v>
      </c>
      <c r="C666" s="947"/>
      <c r="D666" s="947"/>
      <c r="E666" s="947"/>
      <c r="F666" s="947"/>
      <c r="G666" s="947"/>
      <c r="H666" s="947"/>
      <c r="I666" s="947"/>
      <c r="J666" s="947"/>
      <c r="K666" s="947"/>
      <c r="L666" s="947"/>
      <c r="M666" s="947"/>
      <c r="N666" s="947"/>
      <c r="O666" s="947"/>
      <c r="P666" s="947"/>
      <c r="Q666" s="947"/>
      <c r="R666" s="947"/>
      <c r="S666" s="947"/>
      <c r="T666" s="947"/>
      <c r="U666" s="947"/>
      <c r="V666" s="947"/>
      <c r="W666" s="947"/>
      <c r="X666" s="947"/>
      <c r="Y666" s="947"/>
      <c r="Z666" s="947"/>
      <c r="AA666" s="947"/>
      <c r="AB666" s="947"/>
      <c r="AC666" s="947"/>
      <c r="AD666" s="947"/>
      <c r="AE666" s="947"/>
      <c r="AF666" s="947"/>
      <c r="AG666" s="947"/>
      <c r="AH666" s="947"/>
      <c r="AI666" s="947"/>
      <c r="AJ666" s="947"/>
      <c r="AK666" s="947"/>
      <c r="AL666" s="947"/>
      <c r="AM666" s="947"/>
      <c r="AN666" s="947"/>
      <c r="AO666" s="947"/>
      <c r="AP666" s="947"/>
      <c r="AQ666" s="947"/>
      <c r="AR666" s="947"/>
      <c r="AS666" s="947"/>
      <c r="AT666" s="947"/>
      <c r="AU666" s="947"/>
      <c r="AV666" s="947"/>
      <c r="AW666" s="947"/>
      <c r="AX666" s="947"/>
      <c r="AY666" s="947"/>
      <c r="AZ666" s="947"/>
      <c r="BA666" s="947"/>
      <c r="BB666" s="947"/>
      <c r="BC666" s="947"/>
      <c r="BD666" s="947"/>
      <c r="BE666" s="948"/>
      <c r="BF666" s="695"/>
    </row>
    <row r="667" spans="1:58" x14ac:dyDescent="0.45">
      <c r="A667" s="695"/>
      <c r="B667" s="946"/>
      <c r="C667" s="1044" t="s">
        <v>77</v>
      </c>
      <c r="D667" s="947"/>
      <c r="E667" s="947"/>
      <c r="F667" s="947"/>
      <c r="G667" s="1574">
        <f>IF('II. Inputs, Baseline Energy Mix'!$R$19&gt;0, ('II. Inputs, Baseline Energy Mix'!$R$20*'II. Inputs, Baseline Energy Mix'!$R$21*'II. Inputs, Baseline Energy Mix'!$R$35*'II. Inputs, Baseline Energy Mix'!$R$88),0)</f>
        <v>0</v>
      </c>
      <c r="H667" s="947"/>
      <c r="I667" s="947"/>
      <c r="J667" s="947"/>
      <c r="K667" s="947"/>
      <c r="L667" s="947"/>
      <c r="M667" s="947"/>
      <c r="N667" s="947"/>
      <c r="O667" s="947"/>
      <c r="P667" s="947"/>
      <c r="Q667" s="947"/>
      <c r="R667" s="947"/>
      <c r="S667" s="947"/>
      <c r="T667" s="947"/>
      <c r="U667" s="947"/>
      <c r="V667" s="947"/>
      <c r="W667" s="947"/>
      <c r="X667" s="947"/>
      <c r="Y667" s="947"/>
      <c r="Z667" s="947"/>
      <c r="AA667" s="947"/>
      <c r="AB667" s="947"/>
      <c r="AC667" s="947"/>
      <c r="AD667" s="947"/>
      <c r="AE667" s="947"/>
      <c r="AF667" s="947"/>
      <c r="AG667" s="947"/>
      <c r="AH667" s="947"/>
      <c r="AI667" s="947"/>
      <c r="AJ667" s="947"/>
      <c r="AK667" s="947"/>
      <c r="AL667" s="947"/>
      <c r="AM667" s="947"/>
      <c r="AN667" s="947"/>
      <c r="AO667" s="947"/>
      <c r="AP667" s="947"/>
      <c r="AQ667" s="947"/>
      <c r="AR667" s="947"/>
      <c r="AS667" s="947"/>
      <c r="AT667" s="947"/>
      <c r="AU667" s="947"/>
      <c r="AV667" s="947"/>
      <c r="AW667" s="947"/>
      <c r="AX667" s="947"/>
      <c r="AY667" s="947"/>
      <c r="AZ667" s="947"/>
      <c r="BA667" s="947"/>
      <c r="BB667" s="947"/>
      <c r="BC667" s="947"/>
      <c r="BD667" s="947"/>
      <c r="BE667" s="948"/>
      <c r="BF667" s="695"/>
    </row>
    <row r="668" spans="1:58" x14ac:dyDescent="0.45">
      <c r="A668" s="695"/>
      <c r="B668" s="946"/>
      <c r="C668" s="1044" t="str">
        <f>'II. Inputs, Baseline Energy Mix'!$E$89</f>
        <v xml:space="preserve">Term of Political Risk Insurance </v>
      </c>
      <c r="D668" s="947"/>
      <c r="E668" s="947"/>
      <c r="F668" s="947"/>
      <c r="G668" s="949">
        <f>'II. Inputs, Baseline Energy Mix'!$R$89</f>
        <v>0</v>
      </c>
      <c r="H668" s="947"/>
      <c r="I668" s="947"/>
      <c r="J668" s="947"/>
      <c r="K668" s="947"/>
      <c r="L668" s="947"/>
      <c r="M668" s="947"/>
      <c r="N668" s="947"/>
      <c r="O668" s="947"/>
      <c r="P668" s="947"/>
      <c r="Q668" s="947"/>
      <c r="R668" s="947"/>
      <c r="S668" s="947"/>
      <c r="T668" s="947"/>
      <c r="U668" s="947"/>
      <c r="V668" s="947"/>
      <c r="W668" s="947"/>
      <c r="X668" s="947"/>
      <c r="Y668" s="947"/>
      <c r="Z668" s="947"/>
      <c r="AA668" s="947"/>
      <c r="AB668" s="947"/>
      <c r="AC668" s="947"/>
      <c r="AD668" s="947"/>
      <c r="AE668" s="947"/>
      <c r="AF668" s="947"/>
      <c r="AG668" s="947"/>
      <c r="AH668" s="947"/>
      <c r="AI668" s="947"/>
      <c r="AJ668" s="947"/>
      <c r="AK668" s="947"/>
      <c r="AL668" s="947"/>
      <c r="AM668" s="947"/>
      <c r="AN668" s="947"/>
      <c r="AO668" s="947"/>
      <c r="AP668" s="947"/>
      <c r="AQ668" s="947"/>
      <c r="AR668" s="947"/>
      <c r="AS668" s="947"/>
      <c r="AT668" s="947"/>
      <c r="AU668" s="947"/>
      <c r="AV668" s="947"/>
      <c r="AW668" s="947"/>
      <c r="AX668" s="947"/>
      <c r="AY668" s="947"/>
      <c r="AZ668" s="947"/>
      <c r="BA668" s="947"/>
      <c r="BB668" s="947"/>
      <c r="BC668" s="947"/>
      <c r="BD668" s="947"/>
      <c r="BE668" s="948"/>
      <c r="BF668" s="695"/>
    </row>
    <row r="669" spans="1:58" x14ac:dyDescent="0.45">
      <c r="A669" s="695"/>
      <c r="B669" s="946"/>
      <c r="C669" s="1044" t="str">
        <f>'II. Inputs, Baseline Energy Mix'!$E$90</f>
        <v xml:space="preserve">Front-end Fee </v>
      </c>
      <c r="D669" s="947"/>
      <c r="E669" s="947"/>
      <c r="F669" s="947"/>
      <c r="G669" s="1049">
        <f>'II. Inputs, Baseline Energy Mix'!$R$90</f>
        <v>0</v>
      </c>
      <c r="H669" s="947"/>
      <c r="I669" s="947"/>
      <c r="J669" s="947"/>
      <c r="K669" s="947"/>
      <c r="L669" s="947"/>
      <c r="M669" s="947"/>
      <c r="N669" s="947"/>
      <c r="O669" s="947"/>
      <c r="P669" s="947"/>
      <c r="Q669" s="947"/>
      <c r="R669" s="947"/>
      <c r="S669" s="947"/>
      <c r="T669" s="947"/>
      <c r="U669" s="947"/>
      <c r="V669" s="947"/>
      <c r="W669" s="947"/>
      <c r="X669" s="947"/>
      <c r="Y669" s="947"/>
      <c r="Z669" s="947"/>
      <c r="AA669" s="947"/>
      <c r="AB669" s="947"/>
      <c r="AC669" s="947"/>
      <c r="AD669" s="947"/>
      <c r="AE669" s="947"/>
      <c r="AF669" s="947"/>
      <c r="AG669" s="947"/>
      <c r="AH669" s="947"/>
      <c r="AI669" s="947"/>
      <c r="AJ669" s="947"/>
      <c r="AK669" s="947"/>
      <c r="AL669" s="947"/>
      <c r="AM669" s="947"/>
      <c r="AN669" s="947"/>
      <c r="AO669" s="947"/>
      <c r="AP669" s="947"/>
      <c r="AQ669" s="947"/>
      <c r="AR669" s="947"/>
      <c r="AS669" s="947"/>
      <c r="AT669" s="947"/>
      <c r="AU669" s="947"/>
      <c r="AV669" s="947"/>
      <c r="AW669" s="947"/>
      <c r="AX669" s="947"/>
      <c r="AY669" s="947"/>
      <c r="AZ669" s="947"/>
      <c r="BA669" s="947"/>
      <c r="BB669" s="947"/>
      <c r="BC669" s="947"/>
      <c r="BD669" s="947"/>
      <c r="BE669" s="948"/>
      <c r="BF669" s="695"/>
    </row>
    <row r="670" spans="1:58" x14ac:dyDescent="0.45">
      <c r="A670" s="695"/>
      <c r="B670" s="946"/>
      <c r="C670" s="1044" t="str">
        <f>'II. Inputs, Baseline Energy Mix'!$E$91</f>
        <v xml:space="preserve">Annual Political Risk Insurance Premium </v>
      </c>
      <c r="D670" s="947"/>
      <c r="E670" s="947"/>
      <c r="F670" s="947"/>
      <c r="G670" s="1049">
        <f>'II. Inputs, Baseline Energy Mix'!$R$91</f>
        <v>0</v>
      </c>
      <c r="H670" s="947"/>
      <c r="I670" s="947"/>
      <c r="J670" s="947"/>
      <c r="K670" s="947"/>
      <c r="L670" s="947"/>
      <c r="M670" s="947"/>
      <c r="N670" s="947"/>
      <c r="O670" s="947"/>
      <c r="P670" s="947"/>
      <c r="Q670" s="947"/>
      <c r="R670" s="947"/>
      <c r="S670" s="947"/>
      <c r="T670" s="947"/>
      <c r="U670" s="947"/>
      <c r="V670" s="947"/>
      <c r="W670" s="947"/>
      <c r="X670" s="947"/>
      <c r="Y670" s="947"/>
      <c r="Z670" s="947"/>
      <c r="AA670" s="947"/>
      <c r="AB670" s="947"/>
      <c r="AC670" s="947"/>
      <c r="AD670" s="947"/>
      <c r="AE670" s="947"/>
      <c r="AF670" s="947"/>
      <c r="AG670" s="947"/>
      <c r="AH670" s="947"/>
      <c r="AI670" s="947"/>
      <c r="AJ670" s="947"/>
      <c r="AK670" s="947"/>
      <c r="AL670" s="947"/>
      <c r="AM670" s="947"/>
      <c r="AN670" s="947"/>
      <c r="AO670" s="947"/>
      <c r="AP670" s="947"/>
      <c r="AQ670" s="947"/>
      <c r="AR670" s="947"/>
      <c r="AS670" s="947"/>
      <c r="AT670" s="947"/>
      <c r="AU670" s="947"/>
      <c r="AV670" s="947"/>
      <c r="AW670" s="947"/>
      <c r="AX670" s="947"/>
      <c r="AY670" s="947"/>
      <c r="AZ670" s="947"/>
      <c r="BA670" s="947"/>
      <c r="BB670" s="947"/>
      <c r="BC670" s="947"/>
      <c r="BD670" s="947"/>
      <c r="BE670" s="948"/>
      <c r="BF670" s="695"/>
    </row>
    <row r="671" spans="1:58" x14ac:dyDescent="0.45">
      <c r="A671" s="695"/>
      <c r="B671" s="946"/>
      <c r="C671" s="947"/>
      <c r="D671" s="947"/>
      <c r="E671" s="947"/>
      <c r="F671" s="947"/>
      <c r="G671" s="947"/>
      <c r="H671" s="947"/>
      <c r="I671" s="947"/>
      <c r="J671" s="947"/>
      <c r="K671" s="947"/>
      <c r="L671" s="947"/>
      <c r="M671" s="947"/>
      <c r="N671" s="947"/>
      <c r="O671" s="947"/>
      <c r="P671" s="947"/>
      <c r="Q671" s="947"/>
      <c r="R671" s="947"/>
      <c r="S671" s="947"/>
      <c r="T671" s="947"/>
      <c r="U671" s="947"/>
      <c r="V671" s="947"/>
      <c r="W671" s="947"/>
      <c r="X671" s="947"/>
      <c r="Y671" s="947"/>
      <c r="Z671" s="947"/>
      <c r="AA671" s="947"/>
      <c r="AB671" s="947"/>
      <c r="AC671" s="947"/>
      <c r="AD671" s="947"/>
      <c r="AE671" s="947"/>
      <c r="AF671" s="947"/>
      <c r="AG671" s="947"/>
      <c r="AH671" s="947"/>
      <c r="AI671" s="947"/>
      <c r="AJ671" s="947"/>
      <c r="AK671" s="947"/>
      <c r="AL671" s="947"/>
      <c r="AM671" s="947"/>
      <c r="AN671" s="947"/>
      <c r="AO671" s="947"/>
      <c r="AP671" s="947"/>
      <c r="AQ671" s="947"/>
      <c r="AR671" s="947"/>
      <c r="AS671" s="947"/>
      <c r="AT671" s="947"/>
      <c r="AU671" s="947"/>
      <c r="AV671" s="947"/>
      <c r="AW671" s="947"/>
      <c r="AX671" s="947"/>
      <c r="AY671" s="947"/>
      <c r="AZ671" s="947"/>
      <c r="BA671" s="947"/>
      <c r="BB671" s="947"/>
      <c r="BC671" s="947"/>
      <c r="BD671" s="947"/>
      <c r="BE671" s="948"/>
      <c r="BF671" s="695"/>
    </row>
    <row r="672" spans="1:58" x14ac:dyDescent="0.45">
      <c r="A672" s="695"/>
      <c r="B672" s="946"/>
      <c r="C672" s="1047" t="s">
        <v>64</v>
      </c>
      <c r="D672" s="947"/>
      <c r="E672" s="947"/>
      <c r="F672" s="947"/>
      <c r="G672" s="947"/>
      <c r="H672" s="947"/>
      <c r="I672" s="947"/>
      <c r="J672" s="947"/>
      <c r="K672" s="947"/>
      <c r="L672" s="947"/>
      <c r="M672" s="947"/>
      <c r="N672" s="947"/>
      <c r="O672" s="947"/>
      <c r="P672" s="947"/>
      <c r="Q672" s="947"/>
      <c r="R672" s="947"/>
      <c r="S672" s="947"/>
      <c r="T672" s="947"/>
      <c r="U672" s="947"/>
      <c r="V672" s="947"/>
      <c r="W672" s="947"/>
      <c r="X672" s="947"/>
      <c r="Y672" s="947"/>
      <c r="Z672" s="947"/>
      <c r="AA672" s="947"/>
      <c r="AB672" s="947"/>
      <c r="AC672" s="947"/>
      <c r="AD672" s="947"/>
      <c r="AE672" s="947"/>
      <c r="AF672" s="947"/>
      <c r="AG672" s="947"/>
      <c r="AH672" s="947"/>
      <c r="AI672" s="947"/>
      <c r="AJ672" s="947"/>
      <c r="AK672" s="947"/>
      <c r="AL672" s="947"/>
      <c r="AM672" s="947"/>
      <c r="AN672" s="947"/>
      <c r="AO672" s="947"/>
      <c r="AP672" s="947"/>
      <c r="AQ672" s="947"/>
      <c r="AR672" s="947"/>
      <c r="AS672" s="947"/>
      <c r="AT672" s="947"/>
      <c r="AU672" s="947"/>
      <c r="AV672" s="947"/>
      <c r="AW672" s="947"/>
      <c r="AX672" s="947"/>
      <c r="AY672" s="947"/>
      <c r="AZ672" s="947"/>
      <c r="BA672" s="947"/>
      <c r="BB672" s="947"/>
      <c r="BC672" s="947"/>
      <c r="BD672" s="947"/>
      <c r="BE672" s="948"/>
      <c r="BF672" s="695"/>
    </row>
    <row r="673" spans="1:58" x14ac:dyDescent="0.45">
      <c r="A673" s="695"/>
      <c r="B673" s="946"/>
      <c r="C673" s="947" t="str">
        <f>'II. Inputs, Baseline Energy Mix'!$E$90</f>
        <v xml:space="preserve">Front-end Fee </v>
      </c>
      <c r="D673" s="947"/>
      <c r="E673" s="947"/>
      <c r="F673" s="947"/>
      <c r="G673" s="947"/>
      <c r="H673" s="1574">
        <f>IF(G667&gt;0, G667*G669/10000, 0)</f>
        <v>0</v>
      </c>
      <c r="I673" s="1574">
        <v>0</v>
      </c>
      <c r="J673" s="1574">
        <v>0</v>
      </c>
      <c r="K673" s="1574">
        <v>0</v>
      </c>
      <c r="L673" s="1574">
        <v>0</v>
      </c>
      <c r="M673" s="1574">
        <v>0</v>
      </c>
      <c r="N673" s="1574">
        <v>0</v>
      </c>
      <c r="O673" s="1574">
        <v>0</v>
      </c>
      <c r="P673" s="1574">
        <v>0</v>
      </c>
      <c r="Q673" s="1574">
        <v>0</v>
      </c>
      <c r="R673" s="1574">
        <v>0</v>
      </c>
      <c r="S673" s="1574">
        <v>0</v>
      </c>
      <c r="T673" s="1574">
        <v>0</v>
      </c>
      <c r="U673" s="1574">
        <v>0</v>
      </c>
      <c r="V673" s="1574">
        <v>0</v>
      </c>
      <c r="W673" s="1574">
        <v>0</v>
      </c>
      <c r="X673" s="1574">
        <v>0</v>
      </c>
      <c r="Y673" s="1574">
        <v>0</v>
      </c>
      <c r="Z673" s="1574">
        <v>0</v>
      </c>
      <c r="AA673" s="1574">
        <v>0</v>
      </c>
      <c r="AB673" s="1574">
        <v>0</v>
      </c>
      <c r="AC673" s="1574">
        <v>0</v>
      </c>
      <c r="AD673" s="1574">
        <v>0</v>
      </c>
      <c r="AE673" s="1574">
        <v>0</v>
      </c>
      <c r="AF673" s="1574">
        <v>0</v>
      </c>
      <c r="AG673" s="1574">
        <v>0</v>
      </c>
      <c r="AH673" s="1574">
        <v>0</v>
      </c>
      <c r="AI673" s="1574">
        <v>0</v>
      </c>
      <c r="AJ673" s="1574">
        <v>0</v>
      </c>
      <c r="AK673" s="1574">
        <v>0</v>
      </c>
      <c r="AL673" s="1574">
        <v>0</v>
      </c>
      <c r="AM673" s="1574">
        <v>0</v>
      </c>
      <c r="AN673" s="1574">
        <v>0</v>
      </c>
      <c r="AO673" s="1574">
        <v>0</v>
      </c>
      <c r="AP673" s="1574">
        <v>0</v>
      </c>
      <c r="AQ673" s="1574">
        <v>0</v>
      </c>
      <c r="AR673" s="1574">
        <v>0</v>
      </c>
      <c r="AS673" s="1574">
        <v>0</v>
      </c>
      <c r="AT673" s="1574">
        <v>0</v>
      </c>
      <c r="AU673" s="1574">
        <v>0</v>
      </c>
      <c r="AV673" s="1574">
        <v>0</v>
      </c>
      <c r="AW673" s="1574">
        <v>0</v>
      </c>
      <c r="AX673" s="1574">
        <v>0</v>
      </c>
      <c r="AY673" s="1574">
        <v>0</v>
      </c>
      <c r="AZ673" s="1574">
        <v>0</v>
      </c>
      <c r="BA673" s="1574">
        <v>0</v>
      </c>
      <c r="BB673" s="1574">
        <v>0</v>
      </c>
      <c r="BC673" s="1574">
        <v>0</v>
      </c>
      <c r="BD673" s="1574">
        <v>0</v>
      </c>
      <c r="BE673" s="1575">
        <v>0</v>
      </c>
      <c r="BF673" s="695"/>
    </row>
    <row r="674" spans="1:58" x14ac:dyDescent="0.45">
      <c r="A674" s="695"/>
      <c r="B674" s="946"/>
      <c r="C674" s="954" t="str">
        <f>'II. Inputs, Baseline Energy Mix'!$E$91</f>
        <v xml:space="preserve">Annual Political Risk Insurance Premium </v>
      </c>
      <c r="D674" s="954"/>
      <c r="E674" s="954"/>
      <c r="F674" s="954"/>
      <c r="G674" s="954"/>
      <c r="H674" s="1576">
        <f>IF(H$292&gt;$G668,0,($G667*$G670/10000))</f>
        <v>0</v>
      </c>
      <c r="I674" s="1576">
        <f>IF(I$292&gt;$G668,0,($G667*$G670/10000))</f>
        <v>0</v>
      </c>
      <c r="J674" s="1576">
        <f t="shared" ref="J674:BE674" si="229">IF(J$292&gt;$G668,0,($G667*$G670/10000))</f>
        <v>0</v>
      </c>
      <c r="K674" s="1576">
        <f t="shared" si="229"/>
        <v>0</v>
      </c>
      <c r="L674" s="1576">
        <f t="shared" si="229"/>
        <v>0</v>
      </c>
      <c r="M674" s="1576">
        <f t="shared" si="229"/>
        <v>0</v>
      </c>
      <c r="N674" s="1576">
        <f t="shared" si="229"/>
        <v>0</v>
      </c>
      <c r="O674" s="1576">
        <f t="shared" si="229"/>
        <v>0</v>
      </c>
      <c r="P674" s="1576">
        <f t="shared" si="229"/>
        <v>0</v>
      </c>
      <c r="Q674" s="1576">
        <f t="shared" si="229"/>
        <v>0</v>
      </c>
      <c r="R674" s="1576">
        <f t="shared" si="229"/>
        <v>0</v>
      </c>
      <c r="S674" s="1576">
        <f t="shared" si="229"/>
        <v>0</v>
      </c>
      <c r="T674" s="1576">
        <f t="shared" si="229"/>
        <v>0</v>
      </c>
      <c r="U674" s="1576">
        <f t="shared" si="229"/>
        <v>0</v>
      </c>
      <c r="V674" s="1576">
        <f t="shared" si="229"/>
        <v>0</v>
      </c>
      <c r="W674" s="1576">
        <f t="shared" si="229"/>
        <v>0</v>
      </c>
      <c r="X674" s="1576">
        <f t="shared" si="229"/>
        <v>0</v>
      </c>
      <c r="Y674" s="1576">
        <f t="shared" si="229"/>
        <v>0</v>
      </c>
      <c r="Z674" s="1576">
        <f t="shared" si="229"/>
        <v>0</v>
      </c>
      <c r="AA674" s="1576">
        <f t="shared" si="229"/>
        <v>0</v>
      </c>
      <c r="AB674" s="1576">
        <f t="shared" si="229"/>
        <v>0</v>
      </c>
      <c r="AC674" s="1576">
        <f t="shared" si="229"/>
        <v>0</v>
      </c>
      <c r="AD674" s="1576">
        <f t="shared" si="229"/>
        <v>0</v>
      </c>
      <c r="AE674" s="1576">
        <f t="shared" si="229"/>
        <v>0</v>
      </c>
      <c r="AF674" s="1576">
        <f t="shared" si="229"/>
        <v>0</v>
      </c>
      <c r="AG674" s="1576">
        <f t="shared" si="229"/>
        <v>0</v>
      </c>
      <c r="AH674" s="1576">
        <f t="shared" si="229"/>
        <v>0</v>
      </c>
      <c r="AI674" s="1576">
        <f t="shared" si="229"/>
        <v>0</v>
      </c>
      <c r="AJ674" s="1576">
        <f t="shared" si="229"/>
        <v>0</v>
      </c>
      <c r="AK674" s="1576">
        <f t="shared" si="229"/>
        <v>0</v>
      </c>
      <c r="AL674" s="1576">
        <f t="shared" si="229"/>
        <v>0</v>
      </c>
      <c r="AM674" s="1576">
        <f t="shared" si="229"/>
        <v>0</v>
      </c>
      <c r="AN674" s="1576">
        <f t="shared" si="229"/>
        <v>0</v>
      </c>
      <c r="AO674" s="1576">
        <f t="shared" si="229"/>
        <v>0</v>
      </c>
      <c r="AP674" s="1576">
        <f t="shared" si="229"/>
        <v>0</v>
      </c>
      <c r="AQ674" s="1576">
        <f t="shared" si="229"/>
        <v>0</v>
      </c>
      <c r="AR674" s="1576">
        <f t="shared" si="229"/>
        <v>0</v>
      </c>
      <c r="AS674" s="1576">
        <f t="shared" si="229"/>
        <v>0</v>
      </c>
      <c r="AT674" s="1576">
        <f t="shared" si="229"/>
        <v>0</v>
      </c>
      <c r="AU674" s="1576">
        <f t="shared" si="229"/>
        <v>0</v>
      </c>
      <c r="AV674" s="1576">
        <f t="shared" si="229"/>
        <v>0</v>
      </c>
      <c r="AW674" s="1576">
        <f t="shared" si="229"/>
        <v>0</v>
      </c>
      <c r="AX674" s="1576">
        <f t="shared" si="229"/>
        <v>0</v>
      </c>
      <c r="AY674" s="1576">
        <f t="shared" si="229"/>
        <v>0</v>
      </c>
      <c r="AZ674" s="1576">
        <f t="shared" si="229"/>
        <v>0</v>
      </c>
      <c r="BA674" s="1576">
        <f t="shared" si="229"/>
        <v>0</v>
      </c>
      <c r="BB674" s="1576">
        <f t="shared" si="229"/>
        <v>0</v>
      </c>
      <c r="BC674" s="1576">
        <f t="shared" si="229"/>
        <v>0</v>
      </c>
      <c r="BD674" s="1576">
        <f t="shared" si="229"/>
        <v>0</v>
      </c>
      <c r="BE674" s="1577">
        <f t="shared" si="229"/>
        <v>0</v>
      </c>
      <c r="BF674" s="695"/>
    </row>
    <row r="675" spans="1:58" x14ac:dyDescent="0.45">
      <c r="A675" s="695"/>
      <c r="B675" s="946"/>
      <c r="C675" s="947" t="s">
        <v>78</v>
      </c>
      <c r="D675" s="947"/>
      <c r="E675" s="947"/>
      <c r="F675" s="947"/>
      <c r="G675" s="947"/>
      <c r="H675" s="1574">
        <f>H673+H674</f>
        <v>0</v>
      </c>
      <c r="I675" s="1574">
        <f t="shared" ref="I675:BE675" si="230">I673+I674</f>
        <v>0</v>
      </c>
      <c r="J675" s="1574">
        <f t="shared" si="230"/>
        <v>0</v>
      </c>
      <c r="K675" s="1574">
        <f t="shared" si="230"/>
        <v>0</v>
      </c>
      <c r="L675" s="1574">
        <f t="shared" si="230"/>
        <v>0</v>
      </c>
      <c r="M675" s="1574">
        <f t="shared" si="230"/>
        <v>0</v>
      </c>
      <c r="N675" s="1574">
        <f t="shared" si="230"/>
        <v>0</v>
      </c>
      <c r="O675" s="1574">
        <f t="shared" si="230"/>
        <v>0</v>
      </c>
      <c r="P675" s="1574">
        <f t="shared" si="230"/>
        <v>0</v>
      </c>
      <c r="Q675" s="1574">
        <f t="shared" si="230"/>
        <v>0</v>
      </c>
      <c r="R675" s="1574">
        <f t="shared" si="230"/>
        <v>0</v>
      </c>
      <c r="S675" s="1574">
        <f t="shared" si="230"/>
        <v>0</v>
      </c>
      <c r="T675" s="1574">
        <f t="shared" si="230"/>
        <v>0</v>
      </c>
      <c r="U675" s="1574">
        <f t="shared" si="230"/>
        <v>0</v>
      </c>
      <c r="V675" s="1574">
        <f t="shared" si="230"/>
        <v>0</v>
      </c>
      <c r="W675" s="1574">
        <f t="shared" si="230"/>
        <v>0</v>
      </c>
      <c r="X675" s="1574">
        <f t="shared" si="230"/>
        <v>0</v>
      </c>
      <c r="Y675" s="1574">
        <f t="shared" si="230"/>
        <v>0</v>
      </c>
      <c r="Z675" s="1574">
        <f t="shared" si="230"/>
        <v>0</v>
      </c>
      <c r="AA675" s="1574">
        <f t="shared" si="230"/>
        <v>0</v>
      </c>
      <c r="AB675" s="1574">
        <f t="shared" si="230"/>
        <v>0</v>
      </c>
      <c r="AC675" s="1574">
        <f t="shared" si="230"/>
        <v>0</v>
      </c>
      <c r="AD675" s="1574">
        <f t="shared" si="230"/>
        <v>0</v>
      </c>
      <c r="AE675" s="1574">
        <f t="shared" si="230"/>
        <v>0</v>
      </c>
      <c r="AF675" s="1574">
        <f t="shared" si="230"/>
        <v>0</v>
      </c>
      <c r="AG675" s="1574">
        <f t="shared" si="230"/>
        <v>0</v>
      </c>
      <c r="AH675" s="1574">
        <f t="shared" si="230"/>
        <v>0</v>
      </c>
      <c r="AI675" s="1574">
        <f t="shared" si="230"/>
        <v>0</v>
      </c>
      <c r="AJ675" s="1574">
        <f t="shared" si="230"/>
        <v>0</v>
      </c>
      <c r="AK675" s="1574">
        <f t="shared" si="230"/>
        <v>0</v>
      </c>
      <c r="AL675" s="1574">
        <f t="shared" si="230"/>
        <v>0</v>
      </c>
      <c r="AM675" s="1574">
        <f t="shared" si="230"/>
        <v>0</v>
      </c>
      <c r="AN675" s="1574">
        <f t="shared" si="230"/>
        <v>0</v>
      </c>
      <c r="AO675" s="1574">
        <f t="shared" si="230"/>
        <v>0</v>
      </c>
      <c r="AP675" s="1574">
        <f t="shared" si="230"/>
        <v>0</v>
      </c>
      <c r="AQ675" s="1574">
        <f t="shared" si="230"/>
        <v>0</v>
      </c>
      <c r="AR675" s="1574">
        <f t="shared" si="230"/>
        <v>0</v>
      </c>
      <c r="AS675" s="1574">
        <f t="shared" si="230"/>
        <v>0</v>
      </c>
      <c r="AT675" s="1574">
        <f t="shared" si="230"/>
        <v>0</v>
      </c>
      <c r="AU675" s="1574">
        <f t="shared" si="230"/>
        <v>0</v>
      </c>
      <c r="AV675" s="1574">
        <f t="shared" si="230"/>
        <v>0</v>
      </c>
      <c r="AW675" s="1574">
        <f t="shared" si="230"/>
        <v>0</v>
      </c>
      <c r="AX675" s="1574">
        <f t="shared" si="230"/>
        <v>0</v>
      </c>
      <c r="AY675" s="1574">
        <f t="shared" si="230"/>
        <v>0</v>
      </c>
      <c r="AZ675" s="1574">
        <f t="shared" si="230"/>
        <v>0</v>
      </c>
      <c r="BA675" s="1574">
        <f t="shared" si="230"/>
        <v>0</v>
      </c>
      <c r="BB675" s="1574">
        <f t="shared" si="230"/>
        <v>0</v>
      </c>
      <c r="BC675" s="1574">
        <f t="shared" si="230"/>
        <v>0</v>
      </c>
      <c r="BD675" s="1574">
        <f t="shared" si="230"/>
        <v>0</v>
      </c>
      <c r="BE675" s="1575">
        <f t="shared" si="230"/>
        <v>0</v>
      </c>
      <c r="BF675" s="695"/>
    </row>
    <row r="676" spans="1:58" ht="13.15" thickBot="1" x14ac:dyDescent="0.5">
      <c r="A676" s="695"/>
      <c r="B676" s="1050"/>
      <c r="C676" s="969"/>
      <c r="D676" s="969"/>
      <c r="E676" s="969"/>
      <c r="F676" s="969"/>
      <c r="G676" s="969"/>
      <c r="H676" s="1579"/>
      <c r="I676" s="1579"/>
      <c r="J676" s="1579"/>
      <c r="K676" s="1579"/>
      <c r="L676" s="1579"/>
      <c r="M676" s="1579"/>
      <c r="N676" s="1579"/>
      <c r="O676" s="1579"/>
      <c r="P676" s="1579"/>
      <c r="Q676" s="1579"/>
      <c r="R676" s="1579"/>
      <c r="S676" s="1579"/>
      <c r="T676" s="1579"/>
      <c r="U676" s="1579"/>
      <c r="V676" s="1579"/>
      <c r="W676" s="1579"/>
      <c r="X676" s="1579"/>
      <c r="Y676" s="1579"/>
      <c r="Z676" s="1579"/>
      <c r="AA676" s="1579"/>
      <c r="AB676" s="1579"/>
      <c r="AC676" s="1579"/>
      <c r="AD676" s="1579"/>
      <c r="AE676" s="1579"/>
      <c r="AF676" s="1579"/>
      <c r="AG676" s="1579"/>
      <c r="AH676" s="1579"/>
      <c r="AI676" s="1579"/>
      <c r="AJ676" s="1579"/>
      <c r="AK676" s="1579"/>
      <c r="AL676" s="1579"/>
      <c r="AM676" s="1579"/>
      <c r="AN676" s="1579"/>
      <c r="AO676" s="1579"/>
      <c r="AP676" s="1579"/>
      <c r="AQ676" s="1579"/>
      <c r="AR676" s="1579"/>
      <c r="AS676" s="1579"/>
      <c r="AT676" s="1579"/>
      <c r="AU676" s="1579"/>
      <c r="AV676" s="1579"/>
      <c r="AW676" s="1579"/>
      <c r="AX676" s="1579"/>
      <c r="AY676" s="1579"/>
      <c r="AZ676" s="1579"/>
      <c r="BA676" s="1579"/>
      <c r="BB676" s="1579"/>
      <c r="BC676" s="1579"/>
      <c r="BD676" s="1579"/>
      <c r="BE676" s="1600"/>
      <c r="BF676" s="695"/>
    </row>
    <row r="677" spans="1:58" x14ac:dyDescent="0.45">
      <c r="A677" s="695"/>
      <c r="B677" s="695"/>
      <c r="C677" s="695"/>
      <c r="D677" s="695"/>
      <c r="E677" s="695"/>
      <c r="F677" s="695"/>
      <c r="G677" s="695"/>
      <c r="H677" s="1548"/>
      <c r="I677" s="1548"/>
      <c r="J677" s="1548"/>
      <c r="K677" s="1548"/>
      <c r="L677" s="1548"/>
      <c r="M677" s="1548"/>
      <c r="N677" s="1548"/>
      <c r="O677" s="1548"/>
      <c r="P677" s="1548"/>
      <c r="Q677" s="1548"/>
      <c r="R677" s="1548"/>
      <c r="S677" s="1548"/>
      <c r="T677" s="1548"/>
      <c r="U677" s="1548"/>
      <c r="V677" s="1548"/>
      <c r="W677" s="1548"/>
      <c r="X677" s="1548"/>
      <c r="Y677" s="1548"/>
      <c r="Z677" s="1548"/>
      <c r="AA677" s="1548"/>
      <c r="AB677" s="1548"/>
      <c r="AC677" s="1548"/>
      <c r="AD677" s="1548"/>
      <c r="AE677" s="1548"/>
      <c r="AF677" s="1548"/>
      <c r="AG677" s="1548"/>
      <c r="AH677" s="1548"/>
      <c r="AI677" s="1548"/>
      <c r="AJ677" s="1548"/>
      <c r="AK677" s="1548"/>
      <c r="AL677" s="1548"/>
      <c r="AM677" s="1548"/>
      <c r="AN677" s="1548"/>
      <c r="AO677" s="1548"/>
      <c r="AP677" s="1548"/>
      <c r="AQ677" s="1548"/>
      <c r="AR677" s="1548"/>
      <c r="AS677" s="1548"/>
      <c r="AT677" s="1548"/>
      <c r="AU677" s="1548"/>
      <c r="AV677" s="1548"/>
      <c r="AW677" s="1548"/>
      <c r="AX677" s="1548"/>
      <c r="AY677" s="1548"/>
      <c r="AZ677" s="1548"/>
      <c r="BA677" s="1548"/>
      <c r="BB677" s="1548"/>
      <c r="BC677" s="1548"/>
      <c r="BD677" s="1548"/>
      <c r="BE677" s="1548"/>
      <c r="BF677" s="695"/>
    </row>
    <row r="678" spans="1:58" ht="15.75" customHeight="1" thickBot="1" x14ac:dyDescent="0.5">
      <c r="A678" s="695"/>
      <c r="B678" s="695"/>
      <c r="C678" s="695"/>
      <c r="D678" s="695"/>
      <c r="E678" s="695"/>
      <c r="F678" s="695"/>
      <c r="G678" s="695"/>
      <c r="H678" s="1548"/>
      <c r="I678" s="1548"/>
      <c r="J678" s="1548"/>
      <c r="K678" s="1548"/>
      <c r="L678" s="1548"/>
      <c r="M678" s="1548"/>
      <c r="N678" s="1548"/>
      <c r="O678" s="1548"/>
      <c r="P678" s="1548"/>
      <c r="Q678" s="1548"/>
      <c r="R678" s="1548"/>
      <c r="S678" s="1548"/>
      <c r="T678" s="1548"/>
      <c r="U678" s="1548"/>
      <c r="V678" s="1548"/>
      <c r="W678" s="1548"/>
      <c r="X678" s="1548"/>
      <c r="Y678" s="1548"/>
      <c r="Z678" s="1548"/>
      <c r="AA678" s="1548"/>
      <c r="AB678" s="1548"/>
      <c r="AC678" s="1548"/>
      <c r="AD678" s="1548"/>
      <c r="AE678" s="1548"/>
      <c r="AF678" s="1548"/>
      <c r="AG678" s="1548"/>
      <c r="AH678" s="1548"/>
      <c r="AI678" s="1548"/>
      <c r="AJ678" s="1548"/>
      <c r="AK678" s="1548"/>
      <c r="AL678" s="1548"/>
      <c r="AM678" s="1548"/>
      <c r="AN678" s="1548"/>
      <c r="AO678" s="1548"/>
      <c r="AP678" s="1548"/>
      <c r="AQ678" s="1548"/>
      <c r="AR678" s="1548"/>
      <c r="AS678" s="1548"/>
      <c r="AT678" s="1548"/>
      <c r="AU678" s="1548"/>
      <c r="AV678" s="1548"/>
      <c r="AW678" s="1548"/>
      <c r="AX678" s="1548"/>
      <c r="AY678" s="1548"/>
      <c r="AZ678" s="1548"/>
      <c r="BA678" s="1548"/>
      <c r="BB678" s="1548"/>
      <c r="BC678" s="1548"/>
      <c r="BD678" s="1548"/>
      <c r="BE678" s="1548"/>
      <c r="BF678" s="695"/>
    </row>
    <row r="679" spans="1:58" s="479" customFormat="1" ht="13.15" x14ac:dyDescent="0.45">
      <c r="A679" s="704"/>
      <c r="B679" s="971" t="str">
        <f>B244</f>
        <v>Technology #6</v>
      </c>
      <c r="C679" s="972"/>
      <c r="D679" s="972"/>
      <c r="E679" s="972"/>
      <c r="F679" s="972"/>
      <c r="G679" s="972"/>
      <c r="H679" s="972"/>
      <c r="I679" s="972"/>
      <c r="J679" s="972"/>
      <c r="K679" s="972"/>
      <c r="L679" s="972"/>
      <c r="M679" s="972"/>
      <c r="N679" s="972"/>
      <c r="O679" s="972"/>
      <c r="P679" s="972"/>
      <c r="Q679" s="972"/>
      <c r="R679" s="972"/>
      <c r="S679" s="972"/>
      <c r="T679" s="972"/>
      <c r="U679" s="972"/>
      <c r="V679" s="972"/>
      <c r="W679" s="972"/>
      <c r="X679" s="972"/>
      <c r="Y679" s="972"/>
      <c r="Z679" s="972"/>
      <c r="AA679" s="972"/>
      <c r="AB679" s="972"/>
      <c r="AC679" s="972"/>
      <c r="AD679" s="972"/>
      <c r="AE679" s="972"/>
      <c r="AF679" s="972"/>
      <c r="AG679" s="972"/>
      <c r="AH679" s="972"/>
      <c r="AI679" s="972"/>
      <c r="AJ679" s="972"/>
      <c r="AK679" s="972"/>
      <c r="AL679" s="972"/>
      <c r="AM679" s="972"/>
      <c r="AN679" s="972"/>
      <c r="AO679" s="972"/>
      <c r="AP679" s="972"/>
      <c r="AQ679" s="972"/>
      <c r="AR679" s="972"/>
      <c r="AS679" s="972"/>
      <c r="AT679" s="972"/>
      <c r="AU679" s="972"/>
      <c r="AV679" s="972"/>
      <c r="AW679" s="972"/>
      <c r="AX679" s="972"/>
      <c r="AY679" s="972"/>
      <c r="AZ679" s="972"/>
      <c r="BA679" s="972"/>
      <c r="BB679" s="972"/>
      <c r="BC679" s="972"/>
      <c r="BD679" s="972"/>
      <c r="BE679" s="973"/>
      <c r="BF679" s="704"/>
    </row>
    <row r="680" spans="1:58" x14ac:dyDescent="0.45">
      <c r="A680" s="695"/>
      <c r="B680" s="974"/>
      <c r="C680" s="975"/>
      <c r="D680" s="975"/>
      <c r="E680" s="975"/>
      <c r="F680" s="975"/>
      <c r="G680" s="975"/>
      <c r="H680" s="975"/>
      <c r="I680" s="975"/>
      <c r="J680" s="975"/>
      <c r="K680" s="975"/>
      <c r="L680" s="975"/>
      <c r="M680" s="975"/>
      <c r="N680" s="975"/>
      <c r="O680" s="975"/>
      <c r="P680" s="975"/>
      <c r="Q680" s="975"/>
      <c r="R680" s="975"/>
      <c r="S680" s="975"/>
      <c r="T680" s="975"/>
      <c r="U680" s="975"/>
      <c r="V680" s="975"/>
      <c r="W680" s="975"/>
      <c r="X680" s="975"/>
      <c r="Y680" s="975"/>
      <c r="Z680" s="975"/>
      <c r="AA680" s="975"/>
      <c r="AB680" s="975"/>
      <c r="AC680" s="975"/>
      <c r="AD680" s="975"/>
      <c r="AE680" s="975"/>
      <c r="AF680" s="975"/>
      <c r="AG680" s="975"/>
      <c r="AH680" s="975"/>
      <c r="AI680" s="975"/>
      <c r="AJ680" s="975"/>
      <c r="AK680" s="975"/>
      <c r="AL680" s="975"/>
      <c r="AM680" s="975"/>
      <c r="AN680" s="975"/>
      <c r="AO680" s="975"/>
      <c r="AP680" s="975"/>
      <c r="AQ680" s="975"/>
      <c r="AR680" s="975"/>
      <c r="AS680" s="975"/>
      <c r="AT680" s="975"/>
      <c r="AU680" s="975"/>
      <c r="AV680" s="975"/>
      <c r="AW680" s="975"/>
      <c r="AX680" s="975"/>
      <c r="AY680" s="975"/>
      <c r="AZ680" s="975"/>
      <c r="BA680" s="975"/>
      <c r="BB680" s="975"/>
      <c r="BC680" s="975"/>
      <c r="BD680" s="975"/>
      <c r="BE680" s="976"/>
      <c r="BF680" s="695"/>
    </row>
    <row r="681" spans="1:58" ht="13.15" x14ac:dyDescent="0.45">
      <c r="A681" s="695"/>
      <c r="B681" s="988" t="s">
        <v>220</v>
      </c>
      <c r="C681" s="975"/>
      <c r="D681" s="975"/>
      <c r="E681" s="975"/>
      <c r="F681" s="975"/>
      <c r="G681" s="975"/>
      <c r="H681" s="975"/>
      <c r="I681" s="975"/>
      <c r="J681" s="975"/>
      <c r="K681" s="975"/>
      <c r="L681" s="975"/>
      <c r="M681" s="975"/>
      <c r="N681" s="975"/>
      <c r="O681" s="975"/>
      <c r="P681" s="975"/>
      <c r="Q681" s="975"/>
      <c r="R681" s="975"/>
      <c r="S681" s="975"/>
      <c r="T681" s="975"/>
      <c r="U681" s="975"/>
      <c r="V681" s="975"/>
      <c r="W681" s="975"/>
      <c r="X681" s="975"/>
      <c r="Y681" s="975"/>
      <c r="Z681" s="975"/>
      <c r="AA681" s="975"/>
      <c r="AB681" s="975"/>
      <c r="AC681" s="975"/>
      <c r="AD681" s="975"/>
      <c r="AE681" s="975"/>
      <c r="AF681" s="975"/>
      <c r="AG681" s="975"/>
      <c r="AH681" s="975"/>
      <c r="AI681" s="975"/>
      <c r="AJ681" s="975"/>
      <c r="AK681" s="975"/>
      <c r="AL681" s="975"/>
      <c r="AM681" s="975"/>
      <c r="AN681" s="975"/>
      <c r="AO681" s="975"/>
      <c r="AP681" s="975"/>
      <c r="AQ681" s="975"/>
      <c r="AR681" s="975"/>
      <c r="AS681" s="975"/>
      <c r="AT681" s="975"/>
      <c r="AU681" s="975"/>
      <c r="AV681" s="975"/>
      <c r="AW681" s="975"/>
      <c r="AX681" s="975"/>
      <c r="AY681" s="975"/>
      <c r="AZ681" s="975"/>
      <c r="BA681" s="975"/>
      <c r="BB681" s="975"/>
      <c r="BC681" s="975"/>
      <c r="BD681" s="975"/>
      <c r="BE681" s="976"/>
      <c r="BF681" s="695"/>
    </row>
    <row r="682" spans="1:58" x14ac:dyDescent="0.45">
      <c r="A682" s="695"/>
      <c r="B682" s="974"/>
      <c r="C682" s="1051" t="s">
        <v>61</v>
      </c>
      <c r="D682" s="978" t="s">
        <v>748</v>
      </c>
      <c r="E682" s="975"/>
      <c r="F682" s="975"/>
      <c r="G682" s="1582">
        <f>IF('II. Inputs, Baseline Energy Mix'!$S$19&gt;0,('II. Inputs, Baseline Energy Mix'!$S$20*'II. Inputs, Baseline Energy Mix'!$S$21*'II. Inputs, Baseline Energy Mix'!$S$36*'II. Inputs, Baseline Energy Mix'!$S$38),0)</f>
        <v>0</v>
      </c>
      <c r="H682" s="975"/>
      <c r="I682" s="975"/>
      <c r="J682" s="975"/>
      <c r="K682" s="975"/>
      <c r="L682" s="975"/>
      <c r="M682" s="975"/>
      <c r="N682" s="975"/>
      <c r="O682" s="975"/>
      <c r="P682" s="975"/>
      <c r="Q682" s="975"/>
      <c r="R682" s="975"/>
      <c r="S682" s="975"/>
      <c r="T682" s="975"/>
      <c r="U682" s="975"/>
      <c r="V682" s="975"/>
      <c r="W682" s="975"/>
      <c r="X682" s="975"/>
      <c r="Y682" s="975"/>
      <c r="Z682" s="975"/>
      <c r="AA682" s="975"/>
      <c r="AB682" s="975"/>
      <c r="AC682" s="975"/>
      <c r="AD682" s="975"/>
      <c r="AE682" s="975"/>
      <c r="AF682" s="975"/>
      <c r="AG682" s="975"/>
      <c r="AH682" s="975"/>
      <c r="AI682" s="975"/>
      <c r="AJ682" s="975"/>
      <c r="AK682" s="975"/>
      <c r="AL682" s="975"/>
      <c r="AM682" s="975"/>
      <c r="AN682" s="975"/>
      <c r="AO682" s="975"/>
      <c r="AP682" s="975"/>
      <c r="AQ682" s="975"/>
      <c r="AR682" s="975"/>
      <c r="AS682" s="975"/>
      <c r="AT682" s="975"/>
      <c r="AU682" s="975"/>
      <c r="AV682" s="975"/>
      <c r="AW682" s="975"/>
      <c r="AX682" s="975"/>
      <c r="AY682" s="975"/>
      <c r="AZ682" s="975"/>
      <c r="BA682" s="975"/>
      <c r="BB682" s="975"/>
      <c r="BC682" s="975"/>
      <c r="BD682" s="975"/>
      <c r="BE682" s="976"/>
      <c r="BF682" s="695"/>
    </row>
    <row r="683" spans="1:58" x14ac:dyDescent="0.45">
      <c r="A683" s="695"/>
      <c r="B683" s="974"/>
      <c r="C683" s="1051" t="s">
        <v>62</v>
      </c>
      <c r="D683" s="978" t="s">
        <v>18</v>
      </c>
      <c r="E683" s="975"/>
      <c r="F683" s="975"/>
      <c r="G683" s="977">
        <f>SUM('II. Inputs, Baseline Energy Mix'!$S$77)</f>
        <v>0</v>
      </c>
      <c r="H683" s="975"/>
      <c r="I683" s="975"/>
      <c r="J683" s="975"/>
      <c r="K683" s="975"/>
      <c r="L683" s="975"/>
      <c r="M683" s="975"/>
      <c r="N683" s="975"/>
      <c r="O683" s="975"/>
      <c r="P683" s="975"/>
      <c r="Q683" s="975"/>
      <c r="R683" s="975"/>
      <c r="S683" s="975"/>
      <c r="T683" s="975"/>
      <c r="U683" s="975"/>
      <c r="V683" s="975"/>
      <c r="W683" s="975"/>
      <c r="X683" s="975"/>
      <c r="Y683" s="975"/>
      <c r="Z683" s="975"/>
      <c r="AA683" s="975"/>
      <c r="AB683" s="975"/>
      <c r="AC683" s="975"/>
      <c r="AD683" s="975"/>
      <c r="AE683" s="975"/>
      <c r="AF683" s="975"/>
      <c r="AG683" s="975"/>
      <c r="AH683" s="975"/>
      <c r="AI683" s="975"/>
      <c r="AJ683" s="975"/>
      <c r="AK683" s="975"/>
      <c r="AL683" s="975"/>
      <c r="AM683" s="975"/>
      <c r="AN683" s="975"/>
      <c r="AO683" s="975"/>
      <c r="AP683" s="975"/>
      <c r="AQ683" s="975"/>
      <c r="AR683" s="975"/>
      <c r="AS683" s="975"/>
      <c r="AT683" s="975"/>
      <c r="AU683" s="975"/>
      <c r="AV683" s="975"/>
      <c r="AW683" s="975"/>
      <c r="AX683" s="975"/>
      <c r="AY683" s="975"/>
      <c r="AZ683" s="975"/>
      <c r="BA683" s="975"/>
      <c r="BB683" s="975"/>
      <c r="BC683" s="975"/>
      <c r="BD683" s="975"/>
      <c r="BE683" s="976"/>
      <c r="BF683" s="695"/>
    </row>
    <row r="684" spans="1:58" x14ac:dyDescent="0.45">
      <c r="A684" s="695"/>
      <c r="B684" s="974"/>
      <c r="C684" s="1051" t="s">
        <v>63</v>
      </c>
      <c r="D684" s="978" t="s">
        <v>14</v>
      </c>
      <c r="E684" s="975"/>
      <c r="F684" s="975"/>
      <c r="G684" s="1052">
        <f>SUM('II. Inputs, Baseline Energy Mix'!$S$76)</f>
        <v>0</v>
      </c>
      <c r="H684" s="975"/>
      <c r="I684" s="975"/>
      <c r="J684" s="975"/>
      <c r="K684" s="975"/>
      <c r="L684" s="975"/>
      <c r="M684" s="975"/>
      <c r="N684" s="975"/>
      <c r="O684" s="975"/>
      <c r="P684" s="975"/>
      <c r="Q684" s="975"/>
      <c r="R684" s="975"/>
      <c r="S684" s="975"/>
      <c r="T684" s="975"/>
      <c r="U684" s="975"/>
      <c r="V684" s="975"/>
      <c r="W684" s="975"/>
      <c r="X684" s="975"/>
      <c r="Y684" s="975"/>
      <c r="Z684" s="975"/>
      <c r="AA684" s="975"/>
      <c r="AB684" s="975"/>
      <c r="AC684" s="975"/>
      <c r="AD684" s="975"/>
      <c r="AE684" s="975"/>
      <c r="AF684" s="975"/>
      <c r="AG684" s="975"/>
      <c r="AH684" s="975"/>
      <c r="AI684" s="975"/>
      <c r="AJ684" s="975"/>
      <c r="AK684" s="975"/>
      <c r="AL684" s="975"/>
      <c r="AM684" s="975"/>
      <c r="AN684" s="975"/>
      <c r="AO684" s="975"/>
      <c r="AP684" s="975"/>
      <c r="AQ684" s="975"/>
      <c r="AR684" s="975"/>
      <c r="AS684" s="975"/>
      <c r="AT684" s="975"/>
      <c r="AU684" s="975"/>
      <c r="AV684" s="975"/>
      <c r="AW684" s="975"/>
      <c r="AX684" s="975"/>
      <c r="AY684" s="975"/>
      <c r="AZ684" s="975"/>
      <c r="BA684" s="975"/>
      <c r="BB684" s="975"/>
      <c r="BC684" s="975"/>
      <c r="BD684" s="975"/>
      <c r="BE684" s="976"/>
      <c r="BF684" s="695"/>
    </row>
    <row r="685" spans="1:58" x14ac:dyDescent="0.45">
      <c r="A685" s="695"/>
      <c r="B685" s="974"/>
      <c r="C685" s="975"/>
      <c r="D685" s="975"/>
      <c r="E685" s="975"/>
      <c r="F685" s="975"/>
      <c r="G685" s="975"/>
      <c r="H685" s="975"/>
      <c r="I685" s="975"/>
      <c r="J685" s="975"/>
      <c r="K685" s="975"/>
      <c r="L685" s="975"/>
      <c r="M685" s="975"/>
      <c r="N685" s="975"/>
      <c r="O685" s="975"/>
      <c r="P685" s="975"/>
      <c r="Q685" s="975"/>
      <c r="R685" s="975"/>
      <c r="S685" s="975"/>
      <c r="T685" s="975"/>
      <c r="U685" s="975"/>
      <c r="V685" s="975"/>
      <c r="W685" s="975"/>
      <c r="X685" s="975"/>
      <c r="Y685" s="975"/>
      <c r="Z685" s="975"/>
      <c r="AA685" s="975"/>
      <c r="AB685" s="975"/>
      <c r="AC685" s="975"/>
      <c r="AD685" s="975"/>
      <c r="AE685" s="975"/>
      <c r="AF685" s="975"/>
      <c r="AG685" s="975"/>
      <c r="AH685" s="975"/>
      <c r="AI685" s="975"/>
      <c r="AJ685" s="975"/>
      <c r="AK685" s="975"/>
      <c r="AL685" s="975"/>
      <c r="AM685" s="975"/>
      <c r="AN685" s="975"/>
      <c r="AO685" s="975"/>
      <c r="AP685" s="975"/>
      <c r="AQ685" s="975"/>
      <c r="AR685" s="975"/>
      <c r="AS685" s="975"/>
      <c r="AT685" s="975"/>
      <c r="AU685" s="975"/>
      <c r="AV685" s="975"/>
      <c r="AW685" s="975"/>
      <c r="AX685" s="975"/>
      <c r="AY685" s="975"/>
      <c r="AZ685" s="975"/>
      <c r="BA685" s="975"/>
      <c r="BB685" s="975"/>
      <c r="BC685" s="975"/>
      <c r="BD685" s="975"/>
      <c r="BE685" s="976"/>
      <c r="BF685" s="695"/>
    </row>
    <row r="686" spans="1:58" x14ac:dyDescent="0.45">
      <c r="A686" s="695"/>
      <c r="B686" s="974"/>
      <c r="C686" s="1053" t="s">
        <v>60</v>
      </c>
      <c r="D686" s="975"/>
      <c r="E686" s="975"/>
      <c r="F686" s="975"/>
      <c r="G686" s="975"/>
      <c r="H686" s="975"/>
      <c r="I686" s="975"/>
      <c r="J686" s="975"/>
      <c r="K686" s="975"/>
      <c r="L686" s="975"/>
      <c r="M686" s="975"/>
      <c r="N686" s="975"/>
      <c r="O686" s="975"/>
      <c r="P686" s="975"/>
      <c r="Q686" s="975"/>
      <c r="R686" s="975"/>
      <c r="S686" s="975"/>
      <c r="T686" s="975"/>
      <c r="U686" s="975"/>
      <c r="V686" s="975"/>
      <c r="W686" s="975"/>
      <c r="X686" s="975"/>
      <c r="Y686" s="975"/>
      <c r="Z686" s="975"/>
      <c r="AA686" s="975"/>
      <c r="AB686" s="975"/>
      <c r="AC686" s="975"/>
      <c r="AD686" s="975"/>
      <c r="AE686" s="975"/>
      <c r="AF686" s="975"/>
      <c r="AG686" s="975"/>
      <c r="AH686" s="975"/>
      <c r="AI686" s="975"/>
      <c r="AJ686" s="975"/>
      <c r="AK686" s="975"/>
      <c r="AL686" s="975"/>
      <c r="AM686" s="975"/>
      <c r="AN686" s="975"/>
      <c r="AO686" s="975"/>
      <c r="AP686" s="975"/>
      <c r="AQ686" s="975"/>
      <c r="AR686" s="975"/>
      <c r="AS686" s="975"/>
      <c r="AT686" s="975"/>
      <c r="AU686" s="975"/>
      <c r="AV686" s="975"/>
      <c r="AW686" s="975"/>
      <c r="AX686" s="975"/>
      <c r="AY686" s="975"/>
      <c r="AZ686" s="975"/>
      <c r="BA686" s="975"/>
      <c r="BB686" s="975"/>
      <c r="BC686" s="975"/>
      <c r="BD686" s="975"/>
      <c r="BE686" s="976"/>
      <c r="BF686" s="695"/>
    </row>
    <row r="687" spans="1:58" x14ac:dyDescent="0.45">
      <c r="A687" s="695"/>
      <c r="B687" s="974"/>
      <c r="C687" s="975" t="s">
        <v>66</v>
      </c>
      <c r="D687" s="975"/>
      <c r="E687" s="975"/>
      <c r="F687" s="975"/>
      <c r="G687" s="1582"/>
      <c r="H687" s="1582">
        <f>IF(H$292&gt;$G683,0,IPMT($G684,H$292,$G683,-$G682))</f>
        <v>0</v>
      </c>
      <c r="I687" s="1582">
        <f>IF(I$292&gt;$G683,0,IPMT($G684,I$292,$G683,-$G682))</f>
        <v>0</v>
      </c>
      <c r="J687" s="1582">
        <f>IF(J$292&gt;$G683,0,IPMT($G684,J$292,$G683,-$G682))</f>
        <v>0</v>
      </c>
      <c r="K687" s="1582">
        <f>IF(K$292&gt;$G683,0,IPMT($G684,K$292,$G683,-$G682))</f>
        <v>0</v>
      </c>
      <c r="L687" s="1582">
        <f t="shared" ref="L687:BE687" si="231">IF(L$292&gt;$G683,0,IPMT($G684,L$292,$G683,-$G682))</f>
        <v>0</v>
      </c>
      <c r="M687" s="1582">
        <f t="shared" si="231"/>
        <v>0</v>
      </c>
      <c r="N687" s="1582">
        <f t="shared" si="231"/>
        <v>0</v>
      </c>
      <c r="O687" s="1582">
        <f t="shared" si="231"/>
        <v>0</v>
      </c>
      <c r="P687" s="1582">
        <f t="shared" si="231"/>
        <v>0</v>
      </c>
      <c r="Q687" s="1582">
        <f t="shared" si="231"/>
        <v>0</v>
      </c>
      <c r="R687" s="1582">
        <f t="shared" si="231"/>
        <v>0</v>
      </c>
      <c r="S687" s="1582">
        <f t="shared" si="231"/>
        <v>0</v>
      </c>
      <c r="T687" s="1582">
        <f t="shared" si="231"/>
        <v>0</v>
      </c>
      <c r="U687" s="1582">
        <f t="shared" si="231"/>
        <v>0</v>
      </c>
      <c r="V687" s="1582">
        <f t="shared" si="231"/>
        <v>0</v>
      </c>
      <c r="W687" s="1582">
        <f t="shared" si="231"/>
        <v>0</v>
      </c>
      <c r="X687" s="1582">
        <f t="shared" si="231"/>
        <v>0</v>
      </c>
      <c r="Y687" s="1582">
        <f t="shared" si="231"/>
        <v>0</v>
      </c>
      <c r="Z687" s="1582">
        <f t="shared" si="231"/>
        <v>0</v>
      </c>
      <c r="AA687" s="1582">
        <f t="shared" si="231"/>
        <v>0</v>
      </c>
      <c r="AB687" s="1582">
        <f t="shared" si="231"/>
        <v>0</v>
      </c>
      <c r="AC687" s="1582">
        <f t="shared" si="231"/>
        <v>0</v>
      </c>
      <c r="AD687" s="1582">
        <f t="shared" si="231"/>
        <v>0</v>
      </c>
      <c r="AE687" s="1582">
        <f t="shared" si="231"/>
        <v>0</v>
      </c>
      <c r="AF687" s="1582">
        <f t="shared" si="231"/>
        <v>0</v>
      </c>
      <c r="AG687" s="1582">
        <f t="shared" si="231"/>
        <v>0</v>
      </c>
      <c r="AH687" s="1582">
        <f t="shared" si="231"/>
        <v>0</v>
      </c>
      <c r="AI687" s="1582">
        <f t="shared" si="231"/>
        <v>0</v>
      </c>
      <c r="AJ687" s="1582">
        <f t="shared" si="231"/>
        <v>0</v>
      </c>
      <c r="AK687" s="1582">
        <f t="shared" si="231"/>
        <v>0</v>
      </c>
      <c r="AL687" s="1582">
        <f t="shared" si="231"/>
        <v>0</v>
      </c>
      <c r="AM687" s="1582">
        <f t="shared" si="231"/>
        <v>0</v>
      </c>
      <c r="AN687" s="1582">
        <f t="shared" si="231"/>
        <v>0</v>
      </c>
      <c r="AO687" s="1582">
        <f t="shared" si="231"/>
        <v>0</v>
      </c>
      <c r="AP687" s="1582">
        <f t="shared" si="231"/>
        <v>0</v>
      </c>
      <c r="AQ687" s="1582">
        <f t="shared" si="231"/>
        <v>0</v>
      </c>
      <c r="AR687" s="1582">
        <f t="shared" si="231"/>
        <v>0</v>
      </c>
      <c r="AS687" s="1582">
        <f t="shared" si="231"/>
        <v>0</v>
      </c>
      <c r="AT687" s="1582">
        <f t="shared" si="231"/>
        <v>0</v>
      </c>
      <c r="AU687" s="1582">
        <f t="shared" si="231"/>
        <v>0</v>
      </c>
      <c r="AV687" s="1582">
        <f t="shared" si="231"/>
        <v>0</v>
      </c>
      <c r="AW687" s="1582">
        <f t="shared" si="231"/>
        <v>0</v>
      </c>
      <c r="AX687" s="1582">
        <f t="shared" si="231"/>
        <v>0</v>
      </c>
      <c r="AY687" s="1582">
        <f t="shared" si="231"/>
        <v>0</v>
      </c>
      <c r="AZ687" s="1582">
        <f t="shared" si="231"/>
        <v>0</v>
      </c>
      <c r="BA687" s="1582">
        <f t="shared" si="231"/>
        <v>0</v>
      </c>
      <c r="BB687" s="1582">
        <f t="shared" si="231"/>
        <v>0</v>
      </c>
      <c r="BC687" s="1582">
        <f t="shared" si="231"/>
        <v>0</v>
      </c>
      <c r="BD687" s="1582">
        <f t="shared" si="231"/>
        <v>0</v>
      </c>
      <c r="BE687" s="1583">
        <f t="shared" si="231"/>
        <v>0</v>
      </c>
      <c r="BF687" s="695"/>
    </row>
    <row r="688" spans="1:58" x14ac:dyDescent="0.45">
      <c r="A688" s="695"/>
      <c r="B688" s="974"/>
      <c r="C688" s="982" t="s">
        <v>65</v>
      </c>
      <c r="D688" s="982"/>
      <c r="E688" s="982"/>
      <c r="F688" s="982"/>
      <c r="G688" s="1584"/>
      <c r="H688" s="1584">
        <f>IF(H$292&gt;$G683,0,PPMT($G684,H$292,$G683,-$G682))</f>
        <v>0</v>
      </c>
      <c r="I688" s="1584">
        <f>IF(I$292&gt;$G683,0,PPMT($G684,I$292,$G683,-$G682))</f>
        <v>0</v>
      </c>
      <c r="J688" s="1584">
        <f>IF(J$292&gt;$G683,0,PPMT($G684,J$292,$G683,-$G682))</f>
        <v>0</v>
      </c>
      <c r="K688" s="1584">
        <f>IF(K$292&gt;$G683,0,PPMT($G684,K$292,$G683,-$G682))</f>
        <v>0</v>
      </c>
      <c r="L688" s="1584">
        <f t="shared" ref="L688:BE688" si="232">IF(L$292&gt;$G683,0,PPMT($G684,L$292,$G683,-$G682))</f>
        <v>0</v>
      </c>
      <c r="M688" s="1584">
        <f t="shared" si="232"/>
        <v>0</v>
      </c>
      <c r="N688" s="1584">
        <f t="shared" si="232"/>
        <v>0</v>
      </c>
      <c r="O688" s="1584">
        <f t="shared" si="232"/>
        <v>0</v>
      </c>
      <c r="P688" s="1584">
        <f t="shared" si="232"/>
        <v>0</v>
      </c>
      <c r="Q688" s="1584">
        <f t="shared" si="232"/>
        <v>0</v>
      </c>
      <c r="R688" s="1584">
        <f t="shared" si="232"/>
        <v>0</v>
      </c>
      <c r="S688" s="1584">
        <f t="shared" si="232"/>
        <v>0</v>
      </c>
      <c r="T688" s="1584">
        <f t="shared" si="232"/>
        <v>0</v>
      </c>
      <c r="U688" s="1584">
        <f t="shared" si="232"/>
        <v>0</v>
      </c>
      <c r="V688" s="1584">
        <f t="shared" si="232"/>
        <v>0</v>
      </c>
      <c r="W688" s="1584">
        <f t="shared" si="232"/>
        <v>0</v>
      </c>
      <c r="X688" s="1584">
        <f t="shared" si="232"/>
        <v>0</v>
      </c>
      <c r="Y688" s="1584">
        <f t="shared" si="232"/>
        <v>0</v>
      </c>
      <c r="Z688" s="1584">
        <f t="shared" si="232"/>
        <v>0</v>
      </c>
      <c r="AA688" s="1584">
        <f t="shared" si="232"/>
        <v>0</v>
      </c>
      <c r="AB688" s="1584">
        <f t="shared" si="232"/>
        <v>0</v>
      </c>
      <c r="AC688" s="1584">
        <f t="shared" si="232"/>
        <v>0</v>
      </c>
      <c r="AD688" s="1584">
        <f t="shared" si="232"/>
        <v>0</v>
      </c>
      <c r="AE688" s="1584">
        <f t="shared" si="232"/>
        <v>0</v>
      </c>
      <c r="AF688" s="1584">
        <f t="shared" si="232"/>
        <v>0</v>
      </c>
      <c r="AG688" s="1584">
        <f t="shared" si="232"/>
        <v>0</v>
      </c>
      <c r="AH688" s="1584">
        <f t="shared" si="232"/>
        <v>0</v>
      </c>
      <c r="AI688" s="1584">
        <f t="shared" si="232"/>
        <v>0</v>
      </c>
      <c r="AJ688" s="1584">
        <f t="shared" si="232"/>
        <v>0</v>
      </c>
      <c r="AK688" s="1584">
        <f t="shared" si="232"/>
        <v>0</v>
      </c>
      <c r="AL688" s="1584">
        <f t="shared" si="232"/>
        <v>0</v>
      </c>
      <c r="AM688" s="1584">
        <f t="shared" si="232"/>
        <v>0</v>
      </c>
      <c r="AN688" s="1584">
        <f t="shared" si="232"/>
        <v>0</v>
      </c>
      <c r="AO688" s="1584">
        <f t="shared" si="232"/>
        <v>0</v>
      </c>
      <c r="AP688" s="1584">
        <f t="shared" si="232"/>
        <v>0</v>
      </c>
      <c r="AQ688" s="1584">
        <f t="shared" si="232"/>
        <v>0</v>
      </c>
      <c r="AR688" s="1584">
        <f t="shared" si="232"/>
        <v>0</v>
      </c>
      <c r="AS688" s="1584">
        <f t="shared" si="232"/>
        <v>0</v>
      </c>
      <c r="AT688" s="1584">
        <f t="shared" si="232"/>
        <v>0</v>
      </c>
      <c r="AU688" s="1584">
        <f t="shared" si="232"/>
        <v>0</v>
      </c>
      <c r="AV688" s="1584">
        <f t="shared" si="232"/>
        <v>0</v>
      </c>
      <c r="AW688" s="1584">
        <f t="shared" si="232"/>
        <v>0</v>
      </c>
      <c r="AX688" s="1584">
        <f t="shared" si="232"/>
        <v>0</v>
      </c>
      <c r="AY688" s="1584">
        <f t="shared" si="232"/>
        <v>0</v>
      </c>
      <c r="AZ688" s="1584">
        <f t="shared" si="232"/>
        <v>0</v>
      </c>
      <c r="BA688" s="1584">
        <f t="shared" si="232"/>
        <v>0</v>
      </c>
      <c r="BB688" s="1584">
        <f t="shared" si="232"/>
        <v>0</v>
      </c>
      <c r="BC688" s="1584">
        <f t="shared" si="232"/>
        <v>0</v>
      </c>
      <c r="BD688" s="1584">
        <f t="shared" si="232"/>
        <v>0</v>
      </c>
      <c r="BE688" s="1585">
        <f t="shared" si="232"/>
        <v>0</v>
      </c>
      <c r="BF688" s="695"/>
    </row>
    <row r="689" spans="1:58" x14ac:dyDescent="0.45">
      <c r="A689" s="695"/>
      <c r="B689" s="974"/>
      <c r="C689" s="975" t="s">
        <v>67</v>
      </c>
      <c r="D689" s="975"/>
      <c r="E689" s="975"/>
      <c r="F689" s="975"/>
      <c r="G689" s="1582"/>
      <c r="H689" s="1582">
        <f>SUM(H687:H688)</f>
        <v>0</v>
      </c>
      <c r="I689" s="1582">
        <f t="shared" ref="I689:BE689" si="233">SUM(I687:I688)</f>
        <v>0</v>
      </c>
      <c r="J689" s="1582">
        <f t="shared" si="233"/>
        <v>0</v>
      </c>
      <c r="K689" s="1582">
        <f t="shared" si="233"/>
        <v>0</v>
      </c>
      <c r="L689" s="1582">
        <f t="shared" si="233"/>
        <v>0</v>
      </c>
      <c r="M689" s="1582">
        <f t="shared" si="233"/>
        <v>0</v>
      </c>
      <c r="N689" s="1582">
        <f t="shared" si="233"/>
        <v>0</v>
      </c>
      <c r="O689" s="1582">
        <f t="shared" si="233"/>
        <v>0</v>
      </c>
      <c r="P689" s="1582">
        <f t="shared" si="233"/>
        <v>0</v>
      </c>
      <c r="Q689" s="1582">
        <f t="shared" si="233"/>
        <v>0</v>
      </c>
      <c r="R689" s="1582">
        <f t="shared" si="233"/>
        <v>0</v>
      </c>
      <c r="S689" s="1582">
        <f t="shared" si="233"/>
        <v>0</v>
      </c>
      <c r="T689" s="1582">
        <f t="shared" si="233"/>
        <v>0</v>
      </c>
      <c r="U689" s="1582">
        <f t="shared" si="233"/>
        <v>0</v>
      </c>
      <c r="V689" s="1582">
        <f t="shared" si="233"/>
        <v>0</v>
      </c>
      <c r="W689" s="1582">
        <f t="shared" si="233"/>
        <v>0</v>
      </c>
      <c r="X689" s="1582">
        <f t="shared" si="233"/>
        <v>0</v>
      </c>
      <c r="Y689" s="1582">
        <f t="shared" si="233"/>
        <v>0</v>
      </c>
      <c r="Z689" s="1582">
        <f t="shared" si="233"/>
        <v>0</v>
      </c>
      <c r="AA689" s="1582">
        <f t="shared" si="233"/>
        <v>0</v>
      </c>
      <c r="AB689" s="1582">
        <f t="shared" si="233"/>
        <v>0</v>
      </c>
      <c r="AC689" s="1582">
        <f t="shared" si="233"/>
        <v>0</v>
      </c>
      <c r="AD689" s="1582">
        <f t="shared" si="233"/>
        <v>0</v>
      </c>
      <c r="AE689" s="1582">
        <f t="shared" si="233"/>
        <v>0</v>
      </c>
      <c r="AF689" s="1582">
        <f t="shared" si="233"/>
        <v>0</v>
      </c>
      <c r="AG689" s="1582">
        <f t="shared" si="233"/>
        <v>0</v>
      </c>
      <c r="AH689" s="1582">
        <f t="shared" si="233"/>
        <v>0</v>
      </c>
      <c r="AI689" s="1582">
        <f t="shared" si="233"/>
        <v>0</v>
      </c>
      <c r="AJ689" s="1582">
        <f t="shared" si="233"/>
        <v>0</v>
      </c>
      <c r="AK689" s="1582">
        <f t="shared" si="233"/>
        <v>0</v>
      </c>
      <c r="AL689" s="1582">
        <f t="shared" si="233"/>
        <v>0</v>
      </c>
      <c r="AM689" s="1582">
        <f t="shared" si="233"/>
        <v>0</v>
      </c>
      <c r="AN689" s="1582">
        <f t="shared" si="233"/>
        <v>0</v>
      </c>
      <c r="AO689" s="1582">
        <f t="shared" si="233"/>
        <v>0</v>
      </c>
      <c r="AP689" s="1582">
        <f t="shared" si="233"/>
        <v>0</v>
      </c>
      <c r="AQ689" s="1582">
        <f t="shared" si="233"/>
        <v>0</v>
      </c>
      <c r="AR689" s="1582">
        <f t="shared" si="233"/>
        <v>0</v>
      </c>
      <c r="AS689" s="1582">
        <f t="shared" si="233"/>
        <v>0</v>
      </c>
      <c r="AT689" s="1582">
        <f t="shared" si="233"/>
        <v>0</v>
      </c>
      <c r="AU689" s="1582">
        <f t="shared" si="233"/>
        <v>0</v>
      </c>
      <c r="AV689" s="1582">
        <f t="shared" si="233"/>
        <v>0</v>
      </c>
      <c r="AW689" s="1582">
        <f t="shared" si="233"/>
        <v>0</v>
      </c>
      <c r="AX689" s="1582">
        <f t="shared" si="233"/>
        <v>0</v>
      </c>
      <c r="AY689" s="1582">
        <f t="shared" si="233"/>
        <v>0</v>
      </c>
      <c r="AZ689" s="1582">
        <f t="shared" si="233"/>
        <v>0</v>
      </c>
      <c r="BA689" s="1582">
        <f t="shared" si="233"/>
        <v>0</v>
      </c>
      <c r="BB689" s="1582">
        <f t="shared" si="233"/>
        <v>0</v>
      </c>
      <c r="BC689" s="1582">
        <f t="shared" si="233"/>
        <v>0</v>
      </c>
      <c r="BD689" s="1582">
        <f t="shared" si="233"/>
        <v>0</v>
      </c>
      <c r="BE689" s="1583">
        <f t="shared" si="233"/>
        <v>0</v>
      </c>
      <c r="BF689" s="695"/>
    </row>
    <row r="690" spans="1:58" x14ac:dyDescent="0.45">
      <c r="A690" s="695"/>
      <c r="B690" s="974"/>
      <c r="C690" s="975"/>
      <c r="D690" s="975"/>
      <c r="E690" s="975"/>
      <c r="F690" s="975"/>
      <c r="G690" s="1582"/>
      <c r="H690" s="1582"/>
      <c r="I690" s="1582"/>
      <c r="J690" s="1582"/>
      <c r="K690" s="1582"/>
      <c r="L690" s="1582"/>
      <c r="M690" s="1582"/>
      <c r="N690" s="1582"/>
      <c r="O690" s="1582"/>
      <c r="P690" s="1582"/>
      <c r="Q690" s="1582"/>
      <c r="R690" s="1582"/>
      <c r="S690" s="1582"/>
      <c r="T690" s="1582"/>
      <c r="U690" s="1582"/>
      <c r="V690" s="1582"/>
      <c r="W690" s="1582"/>
      <c r="X690" s="1582"/>
      <c r="Y690" s="1582"/>
      <c r="Z690" s="1582"/>
      <c r="AA690" s="1582"/>
      <c r="AB690" s="1582"/>
      <c r="AC690" s="1582"/>
      <c r="AD690" s="1582"/>
      <c r="AE690" s="1582"/>
      <c r="AF690" s="1582"/>
      <c r="AG690" s="1582"/>
      <c r="AH690" s="1582"/>
      <c r="AI690" s="1582"/>
      <c r="AJ690" s="1582"/>
      <c r="AK690" s="1582"/>
      <c r="AL690" s="1582"/>
      <c r="AM690" s="1582"/>
      <c r="AN690" s="1582"/>
      <c r="AO690" s="1582"/>
      <c r="AP690" s="1582"/>
      <c r="AQ690" s="1582"/>
      <c r="AR690" s="1582"/>
      <c r="AS690" s="1582"/>
      <c r="AT690" s="1582"/>
      <c r="AU690" s="1582"/>
      <c r="AV690" s="1582"/>
      <c r="AW690" s="1582"/>
      <c r="AX690" s="1582"/>
      <c r="AY690" s="1582"/>
      <c r="AZ690" s="1582"/>
      <c r="BA690" s="1582"/>
      <c r="BB690" s="1582"/>
      <c r="BC690" s="1582"/>
      <c r="BD690" s="1582"/>
      <c r="BE690" s="1583"/>
      <c r="BF690" s="695"/>
    </row>
    <row r="691" spans="1:58" x14ac:dyDescent="0.45">
      <c r="A691" s="695"/>
      <c r="B691" s="974"/>
      <c r="C691" s="1054" t="s">
        <v>58</v>
      </c>
      <c r="D691" s="975"/>
      <c r="E691" s="975"/>
      <c r="F691" s="975"/>
      <c r="G691" s="1582"/>
      <c r="H691" s="1582"/>
      <c r="I691" s="1582"/>
      <c r="J691" s="1582"/>
      <c r="K691" s="1582"/>
      <c r="L691" s="1582"/>
      <c r="M691" s="1582"/>
      <c r="N691" s="1582"/>
      <c r="O691" s="1582"/>
      <c r="P691" s="1582"/>
      <c r="Q691" s="1582"/>
      <c r="R691" s="1582"/>
      <c r="S691" s="1582"/>
      <c r="T691" s="1582"/>
      <c r="U691" s="1582"/>
      <c r="V691" s="1582"/>
      <c r="W691" s="1582"/>
      <c r="X691" s="1582"/>
      <c r="Y691" s="1582"/>
      <c r="Z691" s="1582"/>
      <c r="AA691" s="1582"/>
      <c r="AB691" s="1582"/>
      <c r="AC691" s="1582"/>
      <c r="AD691" s="1582"/>
      <c r="AE691" s="1582"/>
      <c r="AF691" s="1582"/>
      <c r="AG691" s="1582"/>
      <c r="AH691" s="1582"/>
      <c r="AI691" s="1582"/>
      <c r="AJ691" s="1582"/>
      <c r="AK691" s="1582"/>
      <c r="AL691" s="1582"/>
      <c r="AM691" s="1582"/>
      <c r="AN691" s="1582"/>
      <c r="AO691" s="1582"/>
      <c r="AP691" s="1582"/>
      <c r="AQ691" s="1582"/>
      <c r="AR691" s="1582"/>
      <c r="AS691" s="1582"/>
      <c r="AT691" s="1582"/>
      <c r="AU691" s="1582"/>
      <c r="AV691" s="1582"/>
      <c r="AW691" s="1582"/>
      <c r="AX691" s="1582"/>
      <c r="AY691" s="1582"/>
      <c r="AZ691" s="1582"/>
      <c r="BA691" s="1582"/>
      <c r="BB691" s="1582"/>
      <c r="BC691" s="1582"/>
      <c r="BD691" s="1582"/>
      <c r="BE691" s="1583"/>
      <c r="BF691" s="695"/>
    </row>
    <row r="692" spans="1:58" x14ac:dyDescent="0.45">
      <c r="A692" s="695"/>
      <c r="B692" s="974"/>
      <c r="C692" s="975" t="s">
        <v>68</v>
      </c>
      <c r="D692" s="975"/>
      <c r="E692" s="975"/>
      <c r="F692" s="975"/>
      <c r="G692" s="1582">
        <v>0</v>
      </c>
      <c r="H692" s="1582">
        <f t="shared" ref="H692:AM692" si="234">G695</f>
        <v>0</v>
      </c>
      <c r="I692" s="1582">
        <f t="shared" si="234"/>
        <v>0</v>
      </c>
      <c r="J692" s="1582">
        <f t="shared" si="234"/>
        <v>0</v>
      </c>
      <c r="K692" s="1582">
        <f t="shared" si="234"/>
        <v>0</v>
      </c>
      <c r="L692" s="1582">
        <f t="shared" si="234"/>
        <v>0</v>
      </c>
      <c r="M692" s="1582">
        <f t="shared" si="234"/>
        <v>0</v>
      </c>
      <c r="N692" s="1582">
        <f t="shared" si="234"/>
        <v>0</v>
      </c>
      <c r="O692" s="1582">
        <f t="shared" si="234"/>
        <v>0</v>
      </c>
      <c r="P692" s="1582">
        <f t="shared" si="234"/>
        <v>0</v>
      </c>
      <c r="Q692" s="1582">
        <f t="shared" si="234"/>
        <v>0</v>
      </c>
      <c r="R692" s="1582">
        <f t="shared" si="234"/>
        <v>0</v>
      </c>
      <c r="S692" s="1582">
        <f t="shared" si="234"/>
        <v>0</v>
      </c>
      <c r="T692" s="1582">
        <f t="shared" si="234"/>
        <v>0</v>
      </c>
      <c r="U692" s="1582">
        <f t="shared" si="234"/>
        <v>0</v>
      </c>
      <c r="V692" s="1582">
        <f t="shared" si="234"/>
        <v>0</v>
      </c>
      <c r="W692" s="1582">
        <f t="shared" si="234"/>
        <v>0</v>
      </c>
      <c r="X692" s="1582">
        <f t="shared" si="234"/>
        <v>0</v>
      </c>
      <c r="Y692" s="1582">
        <f t="shared" si="234"/>
        <v>0</v>
      </c>
      <c r="Z692" s="1582">
        <f t="shared" si="234"/>
        <v>0</v>
      </c>
      <c r="AA692" s="1582">
        <f t="shared" si="234"/>
        <v>0</v>
      </c>
      <c r="AB692" s="1582">
        <f t="shared" si="234"/>
        <v>0</v>
      </c>
      <c r="AC692" s="1582">
        <f t="shared" si="234"/>
        <v>0</v>
      </c>
      <c r="AD692" s="1582">
        <f t="shared" si="234"/>
        <v>0</v>
      </c>
      <c r="AE692" s="1582">
        <f t="shared" si="234"/>
        <v>0</v>
      </c>
      <c r="AF692" s="1582">
        <f t="shared" si="234"/>
        <v>0</v>
      </c>
      <c r="AG692" s="1582">
        <f t="shared" si="234"/>
        <v>0</v>
      </c>
      <c r="AH692" s="1582">
        <f t="shared" si="234"/>
        <v>0</v>
      </c>
      <c r="AI692" s="1582">
        <f t="shared" si="234"/>
        <v>0</v>
      </c>
      <c r="AJ692" s="1582">
        <f t="shared" si="234"/>
        <v>0</v>
      </c>
      <c r="AK692" s="1582">
        <f t="shared" si="234"/>
        <v>0</v>
      </c>
      <c r="AL692" s="1582">
        <f t="shared" si="234"/>
        <v>0</v>
      </c>
      <c r="AM692" s="1582">
        <f t="shared" si="234"/>
        <v>0</v>
      </c>
      <c r="AN692" s="1582">
        <f t="shared" ref="AN692:BE692" si="235">AM695</f>
        <v>0</v>
      </c>
      <c r="AO692" s="1582">
        <f t="shared" si="235"/>
        <v>0</v>
      </c>
      <c r="AP692" s="1582">
        <f t="shared" si="235"/>
        <v>0</v>
      </c>
      <c r="AQ692" s="1582">
        <f t="shared" si="235"/>
        <v>0</v>
      </c>
      <c r="AR692" s="1582">
        <f t="shared" si="235"/>
        <v>0</v>
      </c>
      <c r="AS692" s="1582">
        <f t="shared" si="235"/>
        <v>0</v>
      </c>
      <c r="AT692" s="1582">
        <f t="shared" si="235"/>
        <v>0</v>
      </c>
      <c r="AU692" s="1582">
        <f t="shared" si="235"/>
        <v>0</v>
      </c>
      <c r="AV692" s="1582">
        <f t="shared" si="235"/>
        <v>0</v>
      </c>
      <c r="AW692" s="1582">
        <f t="shared" si="235"/>
        <v>0</v>
      </c>
      <c r="AX692" s="1582">
        <f t="shared" si="235"/>
        <v>0</v>
      </c>
      <c r="AY692" s="1582">
        <f t="shared" si="235"/>
        <v>0</v>
      </c>
      <c r="AZ692" s="1582">
        <f t="shared" si="235"/>
        <v>0</v>
      </c>
      <c r="BA692" s="1582">
        <f t="shared" si="235"/>
        <v>0</v>
      </c>
      <c r="BB692" s="1582">
        <f t="shared" si="235"/>
        <v>0</v>
      </c>
      <c r="BC692" s="1582">
        <f t="shared" si="235"/>
        <v>0</v>
      </c>
      <c r="BD692" s="1582">
        <f t="shared" si="235"/>
        <v>0</v>
      </c>
      <c r="BE692" s="1583">
        <f t="shared" si="235"/>
        <v>0</v>
      </c>
      <c r="BF692" s="695"/>
    </row>
    <row r="693" spans="1:58" x14ac:dyDescent="0.45">
      <c r="A693" s="695"/>
      <c r="B693" s="974"/>
      <c r="C693" s="975" t="s">
        <v>69</v>
      </c>
      <c r="D693" s="975"/>
      <c r="E693" s="975"/>
      <c r="F693" s="975"/>
      <c r="G693" s="1582">
        <f>G682</f>
        <v>0</v>
      </c>
      <c r="H693" s="1582">
        <v>0</v>
      </c>
      <c r="I693" s="1582">
        <v>0</v>
      </c>
      <c r="J693" s="1582">
        <v>0</v>
      </c>
      <c r="K693" s="1582">
        <v>0</v>
      </c>
      <c r="L693" s="1582">
        <v>0</v>
      </c>
      <c r="M693" s="1582">
        <v>0</v>
      </c>
      <c r="N693" s="1582">
        <v>0</v>
      </c>
      <c r="O693" s="1582">
        <v>0</v>
      </c>
      <c r="P693" s="1582">
        <v>0</v>
      </c>
      <c r="Q693" s="1582">
        <v>0</v>
      </c>
      <c r="R693" s="1582">
        <v>0</v>
      </c>
      <c r="S693" s="1582">
        <v>0</v>
      </c>
      <c r="T693" s="1582">
        <v>0</v>
      </c>
      <c r="U693" s="1582">
        <v>0</v>
      </c>
      <c r="V693" s="1582">
        <v>0</v>
      </c>
      <c r="W693" s="1582">
        <v>0</v>
      </c>
      <c r="X693" s="1582">
        <v>0</v>
      </c>
      <c r="Y693" s="1582">
        <v>0</v>
      </c>
      <c r="Z693" s="1582">
        <v>0</v>
      </c>
      <c r="AA693" s="1582">
        <v>0</v>
      </c>
      <c r="AB693" s="1582">
        <v>0</v>
      </c>
      <c r="AC693" s="1582">
        <v>0</v>
      </c>
      <c r="AD693" s="1582">
        <v>0</v>
      </c>
      <c r="AE693" s="1582">
        <v>0</v>
      </c>
      <c r="AF693" s="1582">
        <v>0</v>
      </c>
      <c r="AG693" s="1582">
        <v>0</v>
      </c>
      <c r="AH693" s="1582">
        <v>0</v>
      </c>
      <c r="AI693" s="1582">
        <v>0</v>
      </c>
      <c r="AJ693" s="1582">
        <v>0</v>
      </c>
      <c r="AK693" s="1582">
        <v>0</v>
      </c>
      <c r="AL693" s="1582">
        <v>0</v>
      </c>
      <c r="AM693" s="1582">
        <v>0</v>
      </c>
      <c r="AN693" s="1582">
        <v>0</v>
      </c>
      <c r="AO693" s="1582">
        <v>0</v>
      </c>
      <c r="AP693" s="1582">
        <v>0</v>
      </c>
      <c r="AQ693" s="1582">
        <v>0</v>
      </c>
      <c r="AR693" s="1582">
        <v>0</v>
      </c>
      <c r="AS693" s="1582">
        <v>0</v>
      </c>
      <c r="AT693" s="1582">
        <v>0</v>
      </c>
      <c r="AU693" s="1582">
        <v>0</v>
      </c>
      <c r="AV693" s="1582">
        <v>0</v>
      </c>
      <c r="AW693" s="1582">
        <v>0</v>
      </c>
      <c r="AX693" s="1582">
        <v>0</v>
      </c>
      <c r="AY693" s="1582">
        <v>0</v>
      </c>
      <c r="AZ693" s="1582">
        <v>0</v>
      </c>
      <c r="BA693" s="1582">
        <v>0</v>
      </c>
      <c r="BB693" s="1582">
        <v>0</v>
      </c>
      <c r="BC693" s="1582">
        <v>0</v>
      </c>
      <c r="BD693" s="1582">
        <v>0</v>
      </c>
      <c r="BE693" s="1583">
        <v>0</v>
      </c>
      <c r="BF693" s="695"/>
    </row>
    <row r="694" spans="1:58" x14ac:dyDescent="0.45">
      <c r="A694" s="695"/>
      <c r="B694" s="974"/>
      <c r="C694" s="982" t="s">
        <v>70</v>
      </c>
      <c r="D694" s="982"/>
      <c r="E694" s="982"/>
      <c r="F694" s="982"/>
      <c r="G694" s="1584">
        <v>0</v>
      </c>
      <c r="H694" s="1584">
        <f t="shared" ref="H694:BE694" si="236">-H688</f>
        <v>0</v>
      </c>
      <c r="I694" s="1584">
        <f t="shared" si="236"/>
        <v>0</v>
      </c>
      <c r="J694" s="1584">
        <f t="shared" si="236"/>
        <v>0</v>
      </c>
      <c r="K694" s="1584">
        <f t="shared" si="236"/>
        <v>0</v>
      </c>
      <c r="L694" s="1584">
        <f t="shared" si="236"/>
        <v>0</v>
      </c>
      <c r="M694" s="1584">
        <f t="shared" si="236"/>
        <v>0</v>
      </c>
      <c r="N694" s="1584">
        <f t="shared" si="236"/>
        <v>0</v>
      </c>
      <c r="O694" s="1584">
        <f t="shared" si="236"/>
        <v>0</v>
      </c>
      <c r="P694" s="1584">
        <f t="shared" si="236"/>
        <v>0</v>
      </c>
      <c r="Q694" s="1584">
        <f t="shared" si="236"/>
        <v>0</v>
      </c>
      <c r="R694" s="1584">
        <f t="shared" si="236"/>
        <v>0</v>
      </c>
      <c r="S694" s="1584">
        <f t="shared" si="236"/>
        <v>0</v>
      </c>
      <c r="T694" s="1584">
        <f t="shared" si="236"/>
        <v>0</v>
      </c>
      <c r="U694" s="1584">
        <f t="shared" si="236"/>
        <v>0</v>
      </c>
      <c r="V694" s="1584">
        <f t="shared" si="236"/>
        <v>0</v>
      </c>
      <c r="W694" s="1584">
        <f t="shared" si="236"/>
        <v>0</v>
      </c>
      <c r="X694" s="1584">
        <f t="shared" si="236"/>
        <v>0</v>
      </c>
      <c r="Y694" s="1584">
        <f t="shared" si="236"/>
        <v>0</v>
      </c>
      <c r="Z694" s="1584">
        <f t="shared" si="236"/>
        <v>0</v>
      </c>
      <c r="AA694" s="1584">
        <f t="shared" si="236"/>
        <v>0</v>
      </c>
      <c r="AB694" s="1584">
        <f t="shared" si="236"/>
        <v>0</v>
      </c>
      <c r="AC694" s="1584">
        <f t="shared" si="236"/>
        <v>0</v>
      </c>
      <c r="AD694" s="1584">
        <f t="shared" si="236"/>
        <v>0</v>
      </c>
      <c r="AE694" s="1584">
        <f t="shared" si="236"/>
        <v>0</v>
      </c>
      <c r="AF694" s="1584">
        <f t="shared" si="236"/>
        <v>0</v>
      </c>
      <c r="AG694" s="1584">
        <f t="shared" si="236"/>
        <v>0</v>
      </c>
      <c r="AH694" s="1584">
        <f t="shared" si="236"/>
        <v>0</v>
      </c>
      <c r="AI694" s="1584">
        <f t="shared" si="236"/>
        <v>0</v>
      </c>
      <c r="AJ694" s="1584">
        <f t="shared" si="236"/>
        <v>0</v>
      </c>
      <c r="AK694" s="1584">
        <f t="shared" si="236"/>
        <v>0</v>
      </c>
      <c r="AL694" s="1584">
        <f t="shared" si="236"/>
        <v>0</v>
      </c>
      <c r="AM694" s="1584">
        <f t="shared" si="236"/>
        <v>0</v>
      </c>
      <c r="AN694" s="1584">
        <f t="shared" si="236"/>
        <v>0</v>
      </c>
      <c r="AO694" s="1584">
        <f t="shared" si="236"/>
        <v>0</v>
      </c>
      <c r="AP694" s="1584">
        <f t="shared" si="236"/>
        <v>0</v>
      </c>
      <c r="AQ694" s="1584">
        <f t="shared" si="236"/>
        <v>0</v>
      </c>
      <c r="AR694" s="1584">
        <f t="shared" si="236"/>
        <v>0</v>
      </c>
      <c r="AS694" s="1584">
        <f t="shared" si="236"/>
        <v>0</v>
      </c>
      <c r="AT694" s="1584">
        <f t="shared" si="236"/>
        <v>0</v>
      </c>
      <c r="AU694" s="1584">
        <f t="shared" si="236"/>
        <v>0</v>
      </c>
      <c r="AV694" s="1584">
        <f t="shared" si="236"/>
        <v>0</v>
      </c>
      <c r="AW694" s="1584">
        <f t="shared" si="236"/>
        <v>0</v>
      </c>
      <c r="AX694" s="1584">
        <f t="shared" si="236"/>
        <v>0</v>
      </c>
      <c r="AY694" s="1584">
        <f t="shared" si="236"/>
        <v>0</v>
      </c>
      <c r="AZ694" s="1584">
        <f t="shared" si="236"/>
        <v>0</v>
      </c>
      <c r="BA694" s="1584">
        <f t="shared" si="236"/>
        <v>0</v>
      </c>
      <c r="BB694" s="1584">
        <f t="shared" si="236"/>
        <v>0</v>
      </c>
      <c r="BC694" s="1584">
        <f t="shared" si="236"/>
        <v>0</v>
      </c>
      <c r="BD694" s="1584">
        <f t="shared" si="236"/>
        <v>0</v>
      </c>
      <c r="BE694" s="1585">
        <f t="shared" si="236"/>
        <v>0</v>
      </c>
      <c r="BF694" s="695"/>
    </row>
    <row r="695" spans="1:58" x14ac:dyDescent="0.45">
      <c r="A695" s="695"/>
      <c r="B695" s="974"/>
      <c r="C695" s="975" t="s">
        <v>59</v>
      </c>
      <c r="D695" s="975"/>
      <c r="E695" s="975"/>
      <c r="F695" s="975"/>
      <c r="G695" s="1582">
        <f t="shared" ref="G695:BE695" si="237">SUM(G692:G694)</f>
        <v>0</v>
      </c>
      <c r="H695" s="1582">
        <f t="shared" si="237"/>
        <v>0</v>
      </c>
      <c r="I695" s="1582">
        <f t="shared" si="237"/>
        <v>0</v>
      </c>
      <c r="J695" s="1582">
        <f t="shared" si="237"/>
        <v>0</v>
      </c>
      <c r="K695" s="1582">
        <f t="shared" si="237"/>
        <v>0</v>
      </c>
      <c r="L695" s="1582">
        <f t="shared" si="237"/>
        <v>0</v>
      </c>
      <c r="M695" s="1582">
        <f t="shared" si="237"/>
        <v>0</v>
      </c>
      <c r="N695" s="1582">
        <f t="shared" si="237"/>
        <v>0</v>
      </c>
      <c r="O695" s="1582">
        <f t="shared" si="237"/>
        <v>0</v>
      </c>
      <c r="P695" s="1582">
        <f t="shared" si="237"/>
        <v>0</v>
      </c>
      <c r="Q695" s="1582">
        <f t="shared" si="237"/>
        <v>0</v>
      </c>
      <c r="R695" s="1582">
        <f t="shared" si="237"/>
        <v>0</v>
      </c>
      <c r="S695" s="1582">
        <f t="shared" si="237"/>
        <v>0</v>
      </c>
      <c r="T695" s="1582">
        <f t="shared" si="237"/>
        <v>0</v>
      </c>
      <c r="U695" s="1582">
        <f t="shared" si="237"/>
        <v>0</v>
      </c>
      <c r="V695" s="1582">
        <f t="shared" si="237"/>
        <v>0</v>
      </c>
      <c r="W695" s="1582">
        <f t="shared" si="237"/>
        <v>0</v>
      </c>
      <c r="X695" s="1582">
        <f t="shared" si="237"/>
        <v>0</v>
      </c>
      <c r="Y695" s="1582">
        <f t="shared" si="237"/>
        <v>0</v>
      </c>
      <c r="Z695" s="1582">
        <f t="shared" si="237"/>
        <v>0</v>
      </c>
      <c r="AA695" s="1582">
        <f t="shared" si="237"/>
        <v>0</v>
      </c>
      <c r="AB695" s="1582">
        <f t="shared" si="237"/>
        <v>0</v>
      </c>
      <c r="AC695" s="1582">
        <f t="shared" si="237"/>
        <v>0</v>
      </c>
      <c r="AD695" s="1582">
        <f t="shared" si="237"/>
        <v>0</v>
      </c>
      <c r="AE695" s="1582">
        <f t="shared" si="237"/>
        <v>0</v>
      </c>
      <c r="AF695" s="1582">
        <f t="shared" si="237"/>
        <v>0</v>
      </c>
      <c r="AG695" s="1582">
        <f t="shared" si="237"/>
        <v>0</v>
      </c>
      <c r="AH695" s="1582">
        <f t="shared" si="237"/>
        <v>0</v>
      </c>
      <c r="AI695" s="1582">
        <f t="shared" si="237"/>
        <v>0</v>
      </c>
      <c r="AJ695" s="1582">
        <f t="shared" si="237"/>
        <v>0</v>
      </c>
      <c r="AK695" s="1582">
        <f t="shared" si="237"/>
        <v>0</v>
      </c>
      <c r="AL695" s="1582">
        <f t="shared" si="237"/>
        <v>0</v>
      </c>
      <c r="AM695" s="1582">
        <f t="shared" si="237"/>
        <v>0</v>
      </c>
      <c r="AN695" s="1582">
        <f t="shared" si="237"/>
        <v>0</v>
      </c>
      <c r="AO695" s="1582">
        <f t="shared" si="237"/>
        <v>0</v>
      </c>
      <c r="AP695" s="1582">
        <f t="shared" si="237"/>
        <v>0</v>
      </c>
      <c r="AQ695" s="1582">
        <f t="shared" si="237"/>
        <v>0</v>
      </c>
      <c r="AR695" s="1582">
        <f t="shared" si="237"/>
        <v>0</v>
      </c>
      <c r="AS695" s="1582">
        <f t="shared" si="237"/>
        <v>0</v>
      </c>
      <c r="AT695" s="1582">
        <f t="shared" si="237"/>
        <v>0</v>
      </c>
      <c r="AU695" s="1582">
        <f t="shared" si="237"/>
        <v>0</v>
      </c>
      <c r="AV695" s="1582">
        <f t="shared" si="237"/>
        <v>0</v>
      </c>
      <c r="AW695" s="1582">
        <f t="shared" si="237"/>
        <v>0</v>
      </c>
      <c r="AX695" s="1582">
        <f t="shared" si="237"/>
        <v>0</v>
      </c>
      <c r="AY695" s="1582">
        <f t="shared" si="237"/>
        <v>0</v>
      </c>
      <c r="AZ695" s="1582">
        <f t="shared" si="237"/>
        <v>0</v>
      </c>
      <c r="BA695" s="1582">
        <f t="shared" si="237"/>
        <v>0</v>
      </c>
      <c r="BB695" s="1582">
        <f t="shared" si="237"/>
        <v>0</v>
      </c>
      <c r="BC695" s="1582">
        <f t="shared" si="237"/>
        <v>0</v>
      </c>
      <c r="BD695" s="1582">
        <f t="shared" si="237"/>
        <v>0</v>
      </c>
      <c r="BE695" s="1583">
        <f t="shared" si="237"/>
        <v>0</v>
      </c>
      <c r="BF695" s="695"/>
    </row>
    <row r="696" spans="1:58" x14ac:dyDescent="0.45">
      <c r="A696" s="695"/>
      <c r="B696" s="974"/>
      <c r="C696" s="975"/>
      <c r="D696" s="975"/>
      <c r="E696" s="975"/>
      <c r="F696" s="975"/>
      <c r="G696" s="1582"/>
      <c r="H696" s="1582"/>
      <c r="I696" s="1582"/>
      <c r="J696" s="1582"/>
      <c r="K696" s="1582"/>
      <c r="L696" s="1582"/>
      <c r="M696" s="1582"/>
      <c r="N696" s="1582"/>
      <c r="O696" s="1582"/>
      <c r="P696" s="1582"/>
      <c r="Q696" s="1582"/>
      <c r="R696" s="1582"/>
      <c r="S696" s="1582"/>
      <c r="T696" s="1582"/>
      <c r="U696" s="1582"/>
      <c r="V696" s="1582"/>
      <c r="W696" s="1582"/>
      <c r="X696" s="1582"/>
      <c r="Y696" s="1582"/>
      <c r="Z696" s="1582"/>
      <c r="AA696" s="1582"/>
      <c r="AB696" s="1582"/>
      <c r="AC696" s="1582"/>
      <c r="AD696" s="1582"/>
      <c r="AE696" s="1582"/>
      <c r="AF696" s="1582"/>
      <c r="AG696" s="1582"/>
      <c r="AH696" s="1582"/>
      <c r="AI696" s="1582"/>
      <c r="AJ696" s="1582"/>
      <c r="AK696" s="1582"/>
      <c r="AL696" s="1582"/>
      <c r="AM696" s="1582"/>
      <c r="AN696" s="1582"/>
      <c r="AO696" s="1582"/>
      <c r="AP696" s="1582"/>
      <c r="AQ696" s="1582"/>
      <c r="AR696" s="1582"/>
      <c r="AS696" s="1582"/>
      <c r="AT696" s="1582"/>
      <c r="AU696" s="1582"/>
      <c r="AV696" s="1582"/>
      <c r="AW696" s="1582"/>
      <c r="AX696" s="1582"/>
      <c r="AY696" s="1582"/>
      <c r="AZ696" s="1582"/>
      <c r="BA696" s="1582"/>
      <c r="BB696" s="1582"/>
      <c r="BC696" s="1582"/>
      <c r="BD696" s="1582"/>
      <c r="BE696" s="1583"/>
      <c r="BF696" s="695"/>
    </row>
    <row r="697" spans="1:58" x14ac:dyDescent="0.45">
      <c r="A697" s="695"/>
      <c r="B697" s="974"/>
      <c r="C697" s="1054" t="s">
        <v>64</v>
      </c>
      <c r="D697" s="975"/>
      <c r="E697" s="975"/>
      <c r="F697" s="975"/>
      <c r="G697" s="1582"/>
      <c r="H697" s="1582"/>
      <c r="I697" s="1582"/>
      <c r="J697" s="1582"/>
      <c r="K697" s="1582"/>
      <c r="L697" s="1582"/>
      <c r="M697" s="1582"/>
      <c r="N697" s="1582"/>
      <c r="O697" s="1582"/>
      <c r="P697" s="1582"/>
      <c r="Q697" s="1582"/>
      <c r="R697" s="1582"/>
      <c r="S697" s="1582"/>
      <c r="T697" s="1582"/>
      <c r="U697" s="1582"/>
      <c r="V697" s="1582"/>
      <c r="W697" s="1582"/>
      <c r="X697" s="1582"/>
      <c r="Y697" s="1582"/>
      <c r="Z697" s="1582"/>
      <c r="AA697" s="1582"/>
      <c r="AB697" s="1582"/>
      <c r="AC697" s="1582"/>
      <c r="AD697" s="1582"/>
      <c r="AE697" s="1582"/>
      <c r="AF697" s="1582"/>
      <c r="AG697" s="1582"/>
      <c r="AH697" s="1582"/>
      <c r="AI697" s="1582"/>
      <c r="AJ697" s="1582"/>
      <c r="AK697" s="1582"/>
      <c r="AL697" s="1582"/>
      <c r="AM697" s="1582"/>
      <c r="AN697" s="1582"/>
      <c r="AO697" s="1582"/>
      <c r="AP697" s="1582"/>
      <c r="AQ697" s="1582"/>
      <c r="AR697" s="1582"/>
      <c r="AS697" s="1582"/>
      <c r="AT697" s="1582"/>
      <c r="AU697" s="1582"/>
      <c r="AV697" s="1582"/>
      <c r="AW697" s="1582"/>
      <c r="AX697" s="1582"/>
      <c r="AY697" s="1582"/>
      <c r="AZ697" s="1582"/>
      <c r="BA697" s="1582"/>
      <c r="BB697" s="1582"/>
      <c r="BC697" s="1582"/>
      <c r="BD697" s="1582"/>
      <c r="BE697" s="1583"/>
      <c r="BF697" s="695"/>
    </row>
    <row r="698" spans="1:58" x14ac:dyDescent="0.45">
      <c r="A698" s="695"/>
      <c r="B698" s="974"/>
      <c r="C698" s="975" t="str">
        <f>'II. Inputs, Baseline Energy Mix'!$E$78</f>
        <v>Front-end Fee</v>
      </c>
      <c r="D698" s="975"/>
      <c r="E698" s="975"/>
      <c r="F698" s="975"/>
      <c r="G698" s="1582"/>
      <c r="H698" s="1582">
        <f>IF($G682&gt;0, G682*'II. Inputs, Baseline Energy Mix'!$S$78/10000,0)</f>
        <v>0</v>
      </c>
      <c r="I698" s="1582">
        <v>0</v>
      </c>
      <c r="J698" s="1582">
        <v>0</v>
      </c>
      <c r="K698" s="1582">
        <v>0</v>
      </c>
      <c r="L698" s="1582">
        <v>0</v>
      </c>
      <c r="M698" s="1582">
        <v>0</v>
      </c>
      <c r="N698" s="1582">
        <v>0</v>
      </c>
      <c r="O698" s="1582">
        <v>0</v>
      </c>
      <c r="P698" s="1582">
        <v>0</v>
      </c>
      <c r="Q698" s="1582">
        <v>0</v>
      </c>
      <c r="R698" s="1582">
        <v>0</v>
      </c>
      <c r="S698" s="1582">
        <v>0</v>
      </c>
      <c r="T698" s="1582">
        <v>0</v>
      </c>
      <c r="U698" s="1582">
        <v>0</v>
      </c>
      <c r="V698" s="1582">
        <v>0</v>
      </c>
      <c r="W698" s="1582">
        <v>0</v>
      </c>
      <c r="X698" s="1582">
        <v>0</v>
      </c>
      <c r="Y698" s="1582">
        <v>0</v>
      </c>
      <c r="Z698" s="1582">
        <v>0</v>
      </c>
      <c r="AA698" s="1582">
        <v>0</v>
      </c>
      <c r="AB698" s="1582">
        <v>0</v>
      </c>
      <c r="AC698" s="1582">
        <v>0</v>
      </c>
      <c r="AD698" s="1582">
        <v>0</v>
      </c>
      <c r="AE698" s="1582">
        <v>0</v>
      </c>
      <c r="AF698" s="1582">
        <v>0</v>
      </c>
      <c r="AG698" s="1582">
        <v>0</v>
      </c>
      <c r="AH698" s="1582">
        <v>0</v>
      </c>
      <c r="AI698" s="1582">
        <v>0</v>
      </c>
      <c r="AJ698" s="1582">
        <v>0</v>
      </c>
      <c r="AK698" s="1582">
        <v>0</v>
      </c>
      <c r="AL698" s="1582">
        <v>0</v>
      </c>
      <c r="AM698" s="1582">
        <v>0</v>
      </c>
      <c r="AN698" s="1582">
        <v>0</v>
      </c>
      <c r="AO698" s="1582">
        <v>0</v>
      </c>
      <c r="AP698" s="1582">
        <v>0</v>
      </c>
      <c r="AQ698" s="1582">
        <v>0</v>
      </c>
      <c r="AR698" s="1582">
        <v>0</v>
      </c>
      <c r="AS698" s="1582">
        <v>0</v>
      </c>
      <c r="AT698" s="1582">
        <v>0</v>
      </c>
      <c r="AU698" s="1582">
        <v>0</v>
      </c>
      <c r="AV698" s="1582">
        <v>0</v>
      </c>
      <c r="AW698" s="1582">
        <v>0</v>
      </c>
      <c r="AX698" s="1582">
        <v>0</v>
      </c>
      <c r="AY698" s="1582">
        <v>0</v>
      </c>
      <c r="AZ698" s="1582">
        <v>0</v>
      </c>
      <c r="BA698" s="1582">
        <v>0</v>
      </c>
      <c r="BB698" s="1582">
        <v>0</v>
      </c>
      <c r="BC698" s="1582">
        <v>0</v>
      </c>
      <c r="BD698" s="1582">
        <v>0</v>
      </c>
      <c r="BE698" s="1583">
        <v>0</v>
      </c>
      <c r="BF698" s="695"/>
    </row>
    <row r="699" spans="1:58" x14ac:dyDescent="0.45">
      <c r="A699" s="695"/>
      <c r="B699" s="974"/>
      <c r="C699" s="975"/>
      <c r="D699" s="975"/>
      <c r="E699" s="975"/>
      <c r="F699" s="975"/>
      <c r="G699" s="975"/>
      <c r="H699" s="975"/>
      <c r="I699" s="975"/>
      <c r="J699" s="975"/>
      <c r="K699" s="975"/>
      <c r="L699" s="975"/>
      <c r="M699" s="975"/>
      <c r="N699" s="975"/>
      <c r="O699" s="975"/>
      <c r="P699" s="975"/>
      <c r="Q699" s="975"/>
      <c r="R699" s="975"/>
      <c r="S699" s="975"/>
      <c r="T699" s="975"/>
      <c r="U699" s="975"/>
      <c r="V699" s="975"/>
      <c r="W699" s="975"/>
      <c r="X699" s="975"/>
      <c r="Y699" s="975"/>
      <c r="Z699" s="975"/>
      <c r="AA699" s="975"/>
      <c r="AB699" s="975"/>
      <c r="AC699" s="975"/>
      <c r="AD699" s="975"/>
      <c r="AE699" s="975"/>
      <c r="AF699" s="975"/>
      <c r="AG699" s="975"/>
      <c r="AH699" s="975"/>
      <c r="AI699" s="975"/>
      <c r="AJ699" s="975"/>
      <c r="AK699" s="975"/>
      <c r="AL699" s="975"/>
      <c r="AM699" s="975"/>
      <c r="AN699" s="975"/>
      <c r="AO699" s="975"/>
      <c r="AP699" s="975"/>
      <c r="AQ699" s="975"/>
      <c r="AR699" s="975"/>
      <c r="AS699" s="975"/>
      <c r="AT699" s="975"/>
      <c r="AU699" s="975"/>
      <c r="AV699" s="975"/>
      <c r="AW699" s="975"/>
      <c r="AX699" s="975"/>
      <c r="AY699" s="975"/>
      <c r="AZ699" s="975"/>
      <c r="BA699" s="975"/>
      <c r="BB699" s="975"/>
      <c r="BC699" s="975"/>
      <c r="BD699" s="975"/>
      <c r="BE699" s="976"/>
      <c r="BF699" s="695"/>
    </row>
    <row r="700" spans="1:58" ht="13.15" x14ac:dyDescent="0.45">
      <c r="A700" s="695"/>
      <c r="B700" s="988" t="s">
        <v>151</v>
      </c>
      <c r="C700" s="975"/>
      <c r="D700" s="975"/>
      <c r="E700" s="975"/>
      <c r="F700" s="975"/>
      <c r="G700" s="975"/>
      <c r="H700" s="975"/>
      <c r="I700" s="975"/>
      <c r="J700" s="975"/>
      <c r="K700" s="975"/>
      <c r="L700" s="975"/>
      <c r="M700" s="975"/>
      <c r="N700" s="975"/>
      <c r="O700" s="975"/>
      <c r="P700" s="975"/>
      <c r="Q700" s="975"/>
      <c r="R700" s="975"/>
      <c r="S700" s="975"/>
      <c r="T700" s="975"/>
      <c r="U700" s="975"/>
      <c r="V700" s="975"/>
      <c r="W700" s="975"/>
      <c r="X700" s="975"/>
      <c r="Y700" s="975"/>
      <c r="Z700" s="975"/>
      <c r="AA700" s="975"/>
      <c r="AB700" s="975"/>
      <c r="AC700" s="975"/>
      <c r="AD700" s="975"/>
      <c r="AE700" s="975"/>
      <c r="AF700" s="975"/>
      <c r="AG700" s="975"/>
      <c r="AH700" s="975"/>
      <c r="AI700" s="975"/>
      <c r="AJ700" s="975"/>
      <c r="AK700" s="975"/>
      <c r="AL700" s="975"/>
      <c r="AM700" s="975"/>
      <c r="AN700" s="975"/>
      <c r="AO700" s="975"/>
      <c r="AP700" s="975"/>
      <c r="AQ700" s="975"/>
      <c r="AR700" s="975"/>
      <c r="AS700" s="975"/>
      <c r="AT700" s="975"/>
      <c r="AU700" s="975"/>
      <c r="AV700" s="975"/>
      <c r="AW700" s="975"/>
      <c r="AX700" s="975"/>
      <c r="AY700" s="975"/>
      <c r="AZ700" s="975"/>
      <c r="BA700" s="975"/>
      <c r="BB700" s="975"/>
      <c r="BC700" s="975"/>
      <c r="BD700" s="975"/>
      <c r="BE700" s="976"/>
      <c r="BF700" s="695"/>
    </row>
    <row r="701" spans="1:58" x14ac:dyDescent="0.45">
      <c r="A701" s="695"/>
      <c r="B701" s="974"/>
      <c r="C701" s="1051" t="s">
        <v>61</v>
      </c>
      <c r="D701" s="978" t="s">
        <v>748</v>
      </c>
      <c r="E701" s="975"/>
      <c r="F701" s="975"/>
      <c r="G701" s="1582">
        <f>IF('II. Inputs, Baseline Energy Mix'!$S$19&gt;0,('II. Inputs, Baseline Energy Mix'!$S$20*'II. Inputs, Baseline Energy Mix'!$S$21*'II. Inputs, Baseline Energy Mix'!$S$36*'II. Inputs, Baseline Energy Mix'!$S$39),0)</f>
        <v>0</v>
      </c>
      <c r="H701" s="975"/>
      <c r="I701" s="975"/>
      <c r="J701" s="975"/>
      <c r="K701" s="975"/>
      <c r="L701" s="975"/>
      <c r="M701" s="975"/>
      <c r="N701" s="975"/>
      <c r="O701" s="975"/>
      <c r="P701" s="975"/>
      <c r="Q701" s="975"/>
      <c r="R701" s="975"/>
      <c r="S701" s="975"/>
      <c r="T701" s="975"/>
      <c r="U701" s="975"/>
      <c r="V701" s="975"/>
      <c r="W701" s="975"/>
      <c r="X701" s="975"/>
      <c r="Y701" s="975"/>
      <c r="Z701" s="975"/>
      <c r="AA701" s="975"/>
      <c r="AB701" s="975"/>
      <c r="AC701" s="975"/>
      <c r="AD701" s="975"/>
      <c r="AE701" s="975"/>
      <c r="AF701" s="975"/>
      <c r="AG701" s="975"/>
      <c r="AH701" s="975"/>
      <c r="AI701" s="975"/>
      <c r="AJ701" s="975"/>
      <c r="AK701" s="975"/>
      <c r="AL701" s="975"/>
      <c r="AM701" s="975"/>
      <c r="AN701" s="975"/>
      <c r="AO701" s="975"/>
      <c r="AP701" s="975"/>
      <c r="AQ701" s="975"/>
      <c r="AR701" s="975"/>
      <c r="AS701" s="975"/>
      <c r="AT701" s="975"/>
      <c r="AU701" s="975"/>
      <c r="AV701" s="975"/>
      <c r="AW701" s="975"/>
      <c r="AX701" s="975"/>
      <c r="AY701" s="975"/>
      <c r="AZ701" s="975"/>
      <c r="BA701" s="975"/>
      <c r="BB701" s="975"/>
      <c r="BC701" s="975"/>
      <c r="BD701" s="975"/>
      <c r="BE701" s="976"/>
      <c r="BF701" s="695"/>
    </row>
    <row r="702" spans="1:58" x14ac:dyDescent="0.45">
      <c r="A702" s="695"/>
      <c r="B702" s="974"/>
      <c r="C702" s="1051" t="s">
        <v>62</v>
      </c>
      <c r="D702" s="978" t="s">
        <v>18</v>
      </c>
      <c r="E702" s="975"/>
      <c r="F702" s="975"/>
      <c r="G702" s="977">
        <f>SUM('II. Inputs, Baseline Energy Mix'!$S$81)</f>
        <v>0</v>
      </c>
      <c r="H702" s="975"/>
      <c r="I702" s="975"/>
      <c r="J702" s="975"/>
      <c r="K702" s="975"/>
      <c r="L702" s="975"/>
      <c r="M702" s="975"/>
      <c r="N702" s="975"/>
      <c r="O702" s="975"/>
      <c r="P702" s="975"/>
      <c r="Q702" s="975"/>
      <c r="R702" s="975"/>
      <c r="S702" s="975"/>
      <c r="T702" s="975"/>
      <c r="U702" s="975"/>
      <c r="V702" s="975"/>
      <c r="W702" s="975"/>
      <c r="X702" s="975"/>
      <c r="Y702" s="975"/>
      <c r="Z702" s="975"/>
      <c r="AA702" s="975"/>
      <c r="AB702" s="975"/>
      <c r="AC702" s="975"/>
      <c r="AD702" s="975"/>
      <c r="AE702" s="975"/>
      <c r="AF702" s="975"/>
      <c r="AG702" s="975"/>
      <c r="AH702" s="975"/>
      <c r="AI702" s="975"/>
      <c r="AJ702" s="975"/>
      <c r="AK702" s="975"/>
      <c r="AL702" s="975"/>
      <c r="AM702" s="975"/>
      <c r="AN702" s="975"/>
      <c r="AO702" s="975"/>
      <c r="AP702" s="975"/>
      <c r="AQ702" s="975"/>
      <c r="AR702" s="975"/>
      <c r="AS702" s="975"/>
      <c r="AT702" s="975"/>
      <c r="AU702" s="975"/>
      <c r="AV702" s="975"/>
      <c r="AW702" s="975"/>
      <c r="AX702" s="975"/>
      <c r="AY702" s="975"/>
      <c r="AZ702" s="975"/>
      <c r="BA702" s="975"/>
      <c r="BB702" s="975"/>
      <c r="BC702" s="975"/>
      <c r="BD702" s="975"/>
      <c r="BE702" s="976"/>
      <c r="BF702" s="695"/>
    </row>
    <row r="703" spans="1:58" x14ac:dyDescent="0.45">
      <c r="A703" s="695"/>
      <c r="B703" s="974"/>
      <c r="C703" s="1051" t="s">
        <v>63</v>
      </c>
      <c r="D703" s="978" t="s">
        <v>14</v>
      </c>
      <c r="E703" s="975"/>
      <c r="F703" s="975"/>
      <c r="G703" s="1052">
        <f>SUM('II. Inputs, Baseline Energy Mix'!$S$80)</f>
        <v>0</v>
      </c>
      <c r="H703" s="975"/>
      <c r="I703" s="975"/>
      <c r="J703" s="975"/>
      <c r="K703" s="975"/>
      <c r="L703" s="975"/>
      <c r="M703" s="975"/>
      <c r="N703" s="975"/>
      <c r="O703" s="975"/>
      <c r="P703" s="975"/>
      <c r="Q703" s="975"/>
      <c r="R703" s="975"/>
      <c r="S703" s="975"/>
      <c r="T703" s="975"/>
      <c r="U703" s="975"/>
      <c r="V703" s="975"/>
      <c r="W703" s="975"/>
      <c r="X703" s="975"/>
      <c r="Y703" s="975"/>
      <c r="Z703" s="975"/>
      <c r="AA703" s="975"/>
      <c r="AB703" s="975"/>
      <c r="AC703" s="975"/>
      <c r="AD703" s="975"/>
      <c r="AE703" s="975"/>
      <c r="AF703" s="975"/>
      <c r="AG703" s="975"/>
      <c r="AH703" s="975"/>
      <c r="AI703" s="975"/>
      <c r="AJ703" s="975"/>
      <c r="AK703" s="975"/>
      <c r="AL703" s="975"/>
      <c r="AM703" s="975"/>
      <c r="AN703" s="975"/>
      <c r="AO703" s="975"/>
      <c r="AP703" s="975"/>
      <c r="AQ703" s="975"/>
      <c r="AR703" s="975"/>
      <c r="AS703" s="975"/>
      <c r="AT703" s="975"/>
      <c r="AU703" s="975"/>
      <c r="AV703" s="975"/>
      <c r="AW703" s="975"/>
      <c r="AX703" s="975"/>
      <c r="AY703" s="975"/>
      <c r="AZ703" s="975"/>
      <c r="BA703" s="975"/>
      <c r="BB703" s="975"/>
      <c r="BC703" s="975"/>
      <c r="BD703" s="975"/>
      <c r="BE703" s="976"/>
      <c r="BF703" s="695"/>
    </row>
    <row r="704" spans="1:58" x14ac:dyDescent="0.45">
      <c r="A704" s="695"/>
      <c r="B704" s="974"/>
      <c r="C704" s="1051" t="str">
        <f>'II. Inputs, Baseline Energy Mix'!$E$83</f>
        <v>Guarantee Coverage, as a % of Commercial Loan Value</v>
      </c>
      <c r="D704" s="978" t="s">
        <v>14</v>
      </c>
      <c r="E704" s="975"/>
      <c r="F704" s="975"/>
      <c r="G704" s="1055">
        <f>SUM('II. Inputs, Baseline Energy Mix'!$S$83)</f>
        <v>0</v>
      </c>
      <c r="H704" s="975"/>
      <c r="I704" s="975"/>
      <c r="J704" s="975"/>
      <c r="K704" s="975"/>
      <c r="L704" s="975"/>
      <c r="M704" s="975"/>
      <c r="N704" s="975"/>
      <c r="O704" s="975"/>
      <c r="P704" s="975"/>
      <c r="Q704" s="975"/>
      <c r="R704" s="975"/>
      <c r="S704" s="975"/>
      <c r="T704" s="975"/>
      <c r="U704" s="975"/>
      <c r="V704" s="975"/>
      <c r="W704" s="975"/>
      <c r="X704" s="975"/>
      <c r="Y704" s="975"/>
      <c r="Z704" s="975"/>
      <c r="AA704" s="975"/>
      <c r="AB704" s="975"/>
      <c r="AC704" s="975"/>
      <c r="AD704" s="975"/>
      <c r="AE704" s="975"/>
      <c r="AF704" s="975"/>
      <c r="AG704" s="975"/>
      <c r="AH704" s="975"/>
      <c r="AI704" s="975"/>
      <c r="AJ704" s="975"/>
      <c r="AK704" s="975"/>
      <c r="AL704" s="975"/>
      <c r="AM704" s="975"/>
      <c r="AN704" s="975"/>
      <c r="AO704" s="975"/>
      <c r="AP704" s="975"/>
      <c r="AQ704" s="975"/>
      <c r="AR704" s="975"/>
      <c r="AS704" s="975"/>
      <c r="AT704" s="975"/>
      <c r="AU704" s="975"/>
      <c r="AV704" s="975"/>
      <c r="AW704" s="975"/>
      <c r="AX704" s="975"/>
      <c r="AY704" s="975"/>
      <c r="AZ704" s="975"/>
      <c r="BA704" s="975"/>
      <c r="BB704" s="975"/>
      <c r="BC704" s="975"/>
      <c r="BD704" s="975"/>
      <c r="BE704" s="976"/>
      <c r="BF704" s="695"/>
    </row>
    <row r="705" spans="1:58" x14ac:dyDescent="0.45">
      <c r="A705" s="695"/>
      <c r="B705" s="974"/>
      <c r="C705" s="1051" t="str">
        <f>'II. Inputs, Baseline Energy Mix'!$E$84</f>
        <v xml:space="preserve">Term of Public Guarantee Coverage </v>
      </c>
      <c r="D705" s="978" t="s">
        <v>18</v>
      </c>
      <c r="E705" s="975"/>
      <c r="F705" s="975"/>
      <c r="G705" s="977">
        <f>'II. Inputs, Baseline Energy Mix'!$S$84</f>
        <v>0</v>
      </c>
      <c r="H705" s="975"/>
      <c r="I705" s="975"/>
      <c r="J705" s="975"/>
      <c r="K705" s="975"/>
      <c r="L705" s="975"/>
      <c r="M705" s="975"/>
      <c r="N705" s="975"/>
      <c r="O705" s="975"/>
      <c r="P705" s="975"/>
      <c r="Q705" s="975"/>
      <c r="R705" s="975"/>
      <c r="S705" s="975"/>
      <c r="T705" s="975"/>
      <c r="U705" s="975"/>
      <c r="V705" s="975"/>
      <c r="W705" s="975"/>
      <c r="X705" s="975"/>
      <c r="Y705" s="975"/>
      <c r="Z705" s="975"/>
      <c r="AA705" s="975"/>
      <c r="AB705" s="975"/>
      <c r="AC705" s="975"/>
      <c r="AD705" s="975"/>
      <c r="AE705" s="975"/>
      <c r="AF705" s="975"/>
      <c r="AG705" s="975"/>
      <c r="AH705" s="975"/>
      <c r="AI705" s="975"/>
      <c r="AJ705" s="975"/>
      <c r="AK705" s="975"/>
      <c r="AL705" s="975"/>
      <c r="AM705" s="975"/>
      <c r="AN705" s="975"/>
      <c r="AO705" s="975"/>
      <c r="AP705" s="975"/>
      <c r="AQ705" s="975"/>
      <c r="AR705" s="975"/>
      <c r="AS705" s="975"/>
      <c r="AT705" s="975"/>
      <c r="AU705" s="975"/>
      <c r="AV705" s="975"/>
      <c r="AW705" s="975"/>
      <c r="AX705" s="975"/>
      <c r="AY705" s="975"/>
      <c r="AZ705" s="975"/>
      <c r="BA705" s="975"/>
      <c r="BB705" s="975"/>
      <c r="BC705" s="975"/>
      <c r="BD705" s="975"/>
      <c r="BE705" s="976"/>
      <c r="BF705" s="695"/>
    </row>
    <row r="706" spans="1:58" x14ac:dyDescent="0.45">
      <c r="A706" s="695"/>
      <c r="B706" s="974"/>
      <c r="C706" s="975"/>
      <c r="D706" s="975"/>
      <c r="E706" s="975"/>
      <c r="F706" s="975"/>
      <c r="G706" s="975"/>
      <c r="H706" s="975"/>
      <c r="I706" s="975"/>
      <c r="J706" s="975"/>
      <c r="K706" s="975"/>
      <c r="L706" s="975"/>
      <c r="M706" s="975"/>
      <c r="N706" s="975"/>
      <c r="O706" s="975"/>
      <c r="P706" s="975"/>
      <c r="Q706" s="975"/>
      <c r="R706" s="975"/>
      <c r="S706" s="975"/>
      <c r="T706" s="975"/>
      <c r="U706" s="975"/>
      <c r="V706" s="975"/>
      <c r="W706" s="975"/>
      <c r="X706" s="975"/>
      <c r="Y706" s="975"/>
      <c r="Z706" s="975"/>
      <c r="AA706" s="975"/>
      <c r="AB706" s="975"/>
      <c r="AC706" s="975"/>
      <c r="AD706" s="975"/>
      <c r="AE706" s="975"/>
      <c r="AF706" s="975"/>
      <c r="AG706" s="975"/>
      <c r="AH706" s="975"/>
      <c r="AI706" s="975"/>
      <c r="AJ706" s="975"/>
      <c r="AK706" s="975"/>
      <c r="AL706" s="975"/>
      <c r="AM706" s="975"/>
      <c r="AN706" s="975"/>
      <c r="AO706" s="975"/>
      <c r="AP706" s="975"/>
      <c r="AQ706" s="975"/>
      <c r="AR706" s="975"/>
      <c r="AS706" s="975"/>
      <c r="AT706" s="975"/>
      <c r="AU706" s="975"/>
      <c r="AV706" s="975"/>
      <c r="AW706" s="975"/>
      <c r="AX706" s="975"/>
      <c r="AY706" s="975"/>
      <c r="AZ706" s="975"/>
      <c r="BA706" s="975"/>
      <c r="BB706" s="975"/>
      <c r="BC706" s="975"/>
      <c r="BD706" s="975"/>
      <c r="BE706" s="976"/>
      <c r="BF706" s="695"/>
    </row>
    <row r="707" spans="1:58" x14ac:dyDescent="0.45">
      <c r="A707" s="695"/>
      <c r="B707" s="974"/>
      <c r="C707" s="1053" t="s">
        <v>60</v>
      </c>
      <c r="D707" s="975"/>
      <c r="E707" s="975"/>
      <c r="F707" s="975"/>
      <c r="G707" s="985"/>
      <c r="H707" s="985"/>
      <c r="I707" s="985"/>
      <c r="J707" s="985"/>
      <c r="K707" s="985"/>
      <c r="L707" s="985"/>
      <c r="M707" s="985"/>
      <c r="N707" s="985"/>
      <c r="O707" s="985"/>
      <c r="P707" s="985"/>
      <c r="Q707" s="985"/>
      <c r="R707" s="985"/>
      <c r="S707" s="985"/>
      <c r="T707" s="985"/>
      <c r="U707" s="985"/>
      <c r="V707" s="985"/>
      <c r="W707" s="985"/>
      <c r="X707" s="985"/>
      <c r="Y707" s="985"/>
      <c r="Z707" s="985"/>
      <c r="AA707" s="985"/>
      <c r="AB707" s="985"/>
      <c r="AC707" s="985"/>
      <c r="AD707" s="985"/>
      <c r="AE707" s="985"/>
      <c r="AF707" s="985"/>
      <c r="AG707" s="985"/>
      <c r="AH707" s="985"/>
      <c r="AI707" s="985"/>
      <c r="AJ707" s="985"/>
      <c r="AK707" s="985"/>
      <c r="AL707" s="985"/>
      <c r="AM707" s="985"/>
      <c r="AN707" s="985"/>
      <c r="AO707" s="985"/>
      <c r="AP707" s="985"/>
      <c r="AQ707" s="985"/>
      <c r="AR707" s="985"/>
      <c r="AS707" s="985"/>
      <c r="AT707" s="985"/>
      <c r="AU707" s="985"/>
      <c r="AV707" s="985"/>
      <c r="AW707" s="985"/>
      <c r="AX707" s="985"/>
      <c r="AY707" s="985"/>
      <c r="AZ707" s="985"/>
      <c r="BA707" s="985"/>
      <c r="BB707" s="985"/>
      <c r="BC707" s="985"/>
      <c r="BD707" s="985"/>
      <c r="BE707" s="1056"/>
      <c r="BF707" s="1168"/>
    </row>
    <row r="708" spans="1:58" x14ac:dyDescent="0.45">
      <c r="A708" s="695"/>
      <c r="B708" s="974"/>
      <c r="C708" s="975" t="s">
        <v>66</v>
      </c>
      <c r="D708" s="975"/>
      <c r="E708" s="975"/>
      <c r="F708" s="975"/>
      <c r="G708" s="1582"/>
      <c r="H708" s="1582">
        <f>IF(H$292&gt;$G702,0,IPMT($G703,H$292,$G702,-$G701))</f>
        <v>0</v>
      </c>
      <c r="I708" s="1582">
        <f t="shared" ref="I708:BE708" si="238">IF(I$292&gt;$G702,0,IPMT($G703,I$292,$G702,-$G701))</f>
        <v>0</v>
      </c>
      <c r="J708" s="1582">
        <f t="shared" si="238"/>
        <v>0</v>
      </c>
      <c r="K708" s="1582">
        <f t="shared" si="238"/>
        <v>0</v>
      </c>
      <c r="L708" s="1582">
        <f t="shared" si="238"/>
        <v>0</v>
      </c>
      <c r="M708" s="1582">
        <f t="shared" si="238"/>
        <v>0</v>
      </c>
      <c r="N708" s="1582">
        <f t="shared" si="238"/>
        <v>0</v>
      </c>
      <c r="O708" s="1582">
        <f t="shared" si="238"/>
        <v>0</v>
      </c>
      <c r="P708" s="1582">
        <f t="shared" si="238"/>
        <v>0</v>
      </c>
      <c r="Q708" s="1582">
        <f t="shared" si="238"/>
        <v>0</v>
      </c>
      <c r="R708" s="1582">
        <f t="shared" si="238"/>
        <v>0</v>
      </c>
      <c r="S708" s="1582">
        <f t="shared" si="238"/>
        <v>0</v>
      </c>
      <c r="T708" s="1582">
        <f t="shared" si="238"/>
        <v>0</v>
      </c>
      <c r="U708" s="1582">
        <f t="shared" si="238"/>
        <v>0</v>
      </c>
      <c r="V708" s="1582">
        <f t="shared" si="238"/>
        <v>0</v>
      </c>
      <c r="W708" s="1582">
        <f t="shared" si="238"/>
        <v>0</v>
      </c>
      <c r="X708" s="1582">
        <f t="shared" si="238"/>
        <v>0</v>
      </c>
      <c r="Y708" s="1582">
        <f t="shared" si="238"/>
        <v>0</v>
      </c>
      <c r="Z708" s="1582">
        <f t="shared" si="238"/>
        <v>0</v>
      </c>
      <c r="AA708" s="1582">
        <f t="shared" si="238"/>
        <v>0</v>
      </c>
      <c r="AB708" s="1582">
        <f t="shared" si="238"/>
        <v>0</v>
      </c>
      <c r="AC708" s="1582">
        <f t="shared" si="238"/>
        <v>0</v>
      </c>
      <c r="AD708" s="1582">
        <f t="shared" si="238"/>
        <v>0</v>
      </c>
      <c r="AE708" s="1582">
        <f t="shared" si="238"/>
        <v>0</v>
      </c>
      <c r="AF708" s="1582">
        <f t="shared" si="238"/>
        <v>0</v>
      </c>
      <c r="AG708" s="1582">
        <f t="shared" si="238"/>
        <v>0</v>
      </c>
      <c r="AH708" s="1582">
        <f t="shared" si="238"/>
        <v>0</v>
      </c>
      <c r="AI708" s="1582">
        <f t="shared" si="238"/>
        <v>0</v>
      </c>
      <c r="AJ708" s="1582">
        <f t="shared" si="238"/>
        <v>0</v>
      </c>
      <c r="AK708" s="1582">
        <f t="shared" si="238"/>
        <v>0</v>
      </c>
      <c r="AL708" s="1582">
        <f t="shared" si="238"/>
        <v>0</v>
      </c>
      <c r="AM708" s="1582">
        <f t="shared" si="238"/>
        <v>0</v>
      </c>
      <c r="AN708" s="1582">
        <f t="shared" si="238"/>
        <v>0</v>
      </c>
      <c r="AO708" s="1582">
        <f t="shared" si="238"/>
        <v>0</v>
      </c>
      <c r="AP708" s="1582">
        <f t="shared" si="238"/>
        <v>0</v>
      </c>
      <c r="AQ708" s="1582">
        <f t="shared" si="238"/>
        <v>0</v>
      </c>
      <c r="AR708" s="1582">
        <f t="shared" si="238"/>
        <v>0</v>
      </c>
      <c r="AS708" s="1582">
        <f t="shared" si="238"/>
        <v>0</v>
      </c>
      <c r="AT708" s="1582">
        <f t="shared" si="238"/>
        <v>0</v>
      </c>
      <c r="AU708" s="1582">
        <f t="shared" si="238"/>
        <v>0</v>
      </c>
      <c r="AV708" s="1582">
        <f t="shared" si="238"/>
        <v>0</v>
      </c>
      <c r="AW708" s="1582">
        <f t="shared" si="238"/>
        <v>0</v>
      </c>
      <c r="AX708" s="1582">
        <f t="shared" si="238"/>
        <v>0</v>
      </c>
      <c r="AY708" s="1582">
        <f t="shared" si="238"/>
        <v>0</v>
      </c>
      <c r="AZ708" s="1582">
        <f t="shared" si="238"/>
        <v>0</v>
      </c>
      <c r="BA708" s="1582">
        <f t="shared" si="238"/>
        <v>0</v>
      </c>
      <c r="BB708" s="1582">
        <f t="shared" si="238"/>
        <v>0</v>
      </c>
      <c r="BC708" s="1582">
        <f t="shared" si="238"/>
        <v>0</v>
      </c>
      <c r="BD708" s="1582">
        <f t="shared" si="238"/>
        <v>0</v>
      </c>
      <c r="BE708" s="1583">
        <f t="shared" si="238"/>
        <v>0</v>
      </c>
      <c r="BF708" s="1168"/>
    </row>
    <row r="709" spans="1:58" x14ac:dyDescent="0.45">
      <c r="A709" s="695"/>
      <c r="B709" s="974"/>
      <c r="C709" s="982" t="s">
        <v>65</v>
      </c>
      <c r="D709" s="982"/>
      <c r="E709" s="982"/>
      <c r="F709" s="982"/>
      <c r="G709" s="1584"/>
      <c r="H709" s="1584">
        <f>IF(H$292&gt;$G702,0,PPMT($G703,H$292,$G702,-$G701))</f>
        <v>0</v>
      </c>
      <c r="I709" s="1584">
        <f t="shared" ref="I709:BE709" si="239">IF(I$292&gt;$G702,0,PPMT($G703,I$292,$G702,-$G701))</f>
        <v>0</v>
      </c>
      <c r="J709" s="1584">
        <f t="shared" si="239"/>
        <v>0</v>
      </c>
      <c r="K709" s="1584">
        <f t="shared" si="239"/>
        <v>0</v>
      </c>
      <c r="L709" s="1584">
        <f t="shared" si="239"/>
        <v>0</v>
      </c>
      <c r="M709" s="1584">
        <f t="shared" si="239"/>
        <v>0</v>
      </c>
      <c r="N709" s="1584">
        <f t="shared" si="239"/>
        <v>0</v>
      </c>
      <c r="O709" s="1584">
        <f t="shared" si="239"/>
        <v>0</v>
      </c>
      <c r="P709" s="1584">
        <f t="shared" si="239"/>
        <v>0</v>
      </c>
      <c r="Q709" s="1584">
        <f t="shared" si="239"/>
        <v>0</v>
      </c>
      <c r="R709" s="1584">
        <f t="shared" si="239"/>
        <v>0</v>
      </c>
      <c r="S709" s="1584">
        <f t="shared" si="239"/>
        <v>0</v>
      </c>
      <c r="T709" s="1584">
        <f t="shared" si="239"/>
        <v>0</v>
      </c>
      <c r="U709" s="1584">
        <f t="shared" si="239"/>
        <v>0</v>
      </c>
      <c r="V709" s="1584">
        <f t="shared" si="239"/>
        <v>0</v>
      </c>
      <c r="W709" s="1584">
        <f t="shared" si="239"/>
        <v>0</v>
      </c>
      <c r="X709" s="1584">
        <f t="shared" si="239"/>
        <v>0</v>
      </c>
      <c r="Y709" s="1584">
        <f t="shared" si="239"/>
        <v>0</v>
      </c>
      <c r="Z709" s="1584">
        <f t="shared" si="239"/>
        <v>0</v>
      </c>
      <c r="AA709" s="1584">
        <f t="shared" si="239"/>
        <v>0</v>
      </c>
      <c r="AB709" s="1584">
        <f t="shared" si="239"/>
        <v>0</v>
      </c>
      <c r="AC709" s="1584">
        <f t="shared" si="239"/>
        <v>0</v>
      </c>
      <c r="AD709" s="1584">
        <f t="shared" si="239"/>
        <v>0</v>
      </c>
      <c r="AE709" s="1584">
        <f t="shared" si="239"/>
        <v>0</v>
      </c>
      <c r="AF709" s="1584">
        <f t="shared" si="239"/>
        <v>0</v>
      </c>
      <c r="AG709" s="1584">
        <f t="shared" si="239"/>
        <v>0</v>
      </c>
      <c r="AH709" s="1584">
        <f t="shared" si="239"/>
        <v>0</v>
      </c>
      <c r="AI709" s="1584">
        <f t="shared" si="239"/>
        <v>0</v>
      </c>
      <c r="AJ709" s="1584">
        <f t="shared" si="239"/>
        <v>0</v>
      </c>
      <c r="AK709" s="1584">
        <f t="shared" si="239"/>
        <v>0</v>
      </c>
      <c r="AL709" s="1584">
        <f t="shared" si="239"/>
        <v>0</v>
      </c>
      <c r="AM709" s="1584">
        <f t="shared" si="239"/>
        <v>0</v>
      </c>
      <c r="AN709" s="1584">
        <f t="shared" si="239"/>
        <v>0</v>
      </c>
      <c r="AO709" s="1584">
        <f t="shared" si="239"/>
        <v>0</v>
      </c>
      <c r="AP709" s="1584">
        <f t="shared" si="239"/>
        <v>0</v>
      </c>
      <c r="AQ709" s="1584">
        <f t="shared" si="239"/>
        <v>0</v>
      </c>
      <c r="AR709" s="1584">
        <f t="shared" si="239"/>
        <v>0</v>
      </c>
      <c r="AS709" s="1584">
        <f t="shared" si="239"/>
        <v>0</v>
      </c>
      <c r="AT709" s="1584">
        <f t="shared" si="239"/>
        <v>0</v>
      </c>
      <c r="AU709" s="1584">
        <f t="shared" si="239"/>
        <v>0</v>
      </c>
      <c r="AV709" s="1584">
        <f t="shared" si="239"/>
        <v>0</v>
      </c>
      <c r="AW709" s="1584">
        <f t="shared" si="239"/>
        <v>0</v>
      </c>
      <c r="AX709" s="1584">
        <f t="shared" si="239"/>
        <v>0</v>
      </c>
      <c r="AY709" s="1584">
        <f t="shared" si="239"/>
        <v>0</v>
      </c>
      <c r="AZ709" s="1584">
        <f t="shared" si="239"/>
        <v>0</v>
      </c>
      <c r="BA709" s="1584">
        <f t="shared" si="239"/>
        <v>0</v>
      </c>
      <c r="BB709" s="1584">
        <f t="shared" si="239"/>
        <v>0</v>
      </c>
      <c r="BC709" s="1584">
        <f t="shared" si="239"/>
        <v>0</v>
      </c>
      <c r="BD709" s="1584">
        <f t="shared" si="239"/>
        <v>0</v>
      </c>
      <c r="BE709" s="1585">
        <f t="shared" si="239"/>
        <v>0</v>
      </c>
      <c r="BF709" s="1168"/>
    </row>
    <row r="710" spans="1:58" x14ac:dyDescent="0.45">
      <c r="A710" s="695"/>
      <c r="B710" s="974"/>
      <c r="C710" s="975" t="s">
        <v>67</v>
      </c>
      <c r="D710" s="975"/>
      <c r="E710" s="975"/>
      <c r="F710" s="975"/>
      <c r="G710" s="1582"/>
      <c r="H710" s="1582">
        <f>SUM(H708:H709)</f>
        <v>0</v>
      </c>
      <c r="I710" s="1582">
        <f t="shared" ref="I710:BE710" si="240">SUM(I708:I709)</f>
        <v>0</v>
      </c>
      <c r="J710" s="1582">
        <f t="shared" si="240"/>
        <v>0</v>
      </c>
      <c r="K710" s="1582">
        <f t="shared" si="240"/>
        <v>0</v>
      </c>
      <c r="L710" s="1582">
        <f t="shared" si="240"/>
        <v>0</v>
      </c>
      <c r="M710" s="1582">
        <f t="shared" si="240"/>
        <v>0</v>
      </c>
      <c r="N710" s="1582">
        <f t="shared" si="240"/>
        <v>0</v>
      </c>
      <c r="O710" s="1582">
        <f t="shared" si="240"/>
        <v>0</v>
      </c>
      <c r="P710" s="1582">
        <f t="shared" si="240"/>
        <v>0</v>
      </c>
      <c r="Q710" s="1582">
        <f t="shared" si="240"/>
        <v>0</v>
      </c>
      <c r="R710" s="1582">
        <f t="shared" si="240"/>
        <v>0</v>
      </c>
      <c r="S710" s="1582">
        <f t="shared" si="240"/>
        <v>0</v>
      </c>
      <c r="T710" s="1582">
        <f t="shared" si="240"/>
        <v>0</v>
      </c>
      <c r="U710" s="1582">
        <f t="shared" si="240"/>
        <v>0</v>
      </c>
      <c r="V710" s="1582">
        <f t="shared" si="240"/>
        <v>0</v>
      </c>
      <c r="W710" s="1582">
        <f t="shared" si="240"/>
        <v>0</v>
      </c>
      <c r="X710" s="1582">
        <f t="shared" si="240"/>
        <v>0</v>
      </c>
      <c r="Y710" s="1582">
        <f t="shared" si="240"/>
        <v>0</v>
      </c>
      <c r="Z710" s="1582">
        <f t="shared" si="240"/>
        <v>0</v>
      </c>
      <c r="AA710" s="1582">
        <f t="shared" si="240"/>
        <v>0</v>
      </c>
      <c r="AB710" s="1582">
        <f t="shared" si="240"/>
        <v>0</v>
      </c>
      <c r="AC710" s="1582">
        <f t="shared" si="240"/>
        <v>0</v>
      </c>
      <c r="AD710" s="1582">
        <f t="shared" si="240"/>
        <v>0</v>
      </c>
      <c r="AE710" s="1582">
        <f t="shared" si="240"/>
        <v>0</v>
      </c>
      <c r="AF710" s="1582">
        <f t="shared" si="240"/>
        <v>0</v>
      </c>
      <c r="AG710" s="1582">
        <f t="shared" si="240"/>
        <v>0</v>
      </c>
      <c r="AH710" s="1582">
        <f t="shared" si="240"/>
        <v>0</v>
      </c>
      <c r="AI710" s="1582">
        <f t="shared" si="240"/>
        <v>0</v>
      </c>
      <c r="AJ710" s="1582">
        <f t="shared" si="240"/>
        <v>0</v>
      </c>
      <c r="AK710" s="1582">
        <f t="shared" si="240"/>
        <v>0</v>
      </c>
      <c r="AL710" s="1582">
        <f t="shared" si="240"/>
        <v>0</v>
      </c>
      <c r="AM710" s="1582">
        <f t="shared" si="240"/>
        <v>0</v>
      </c>
      <c r="AN710" s="1582">
        <f t="shared" si="240"/>
        <v>0</v>
      </c>
      <c r="AO710" s="1582">
        <f t="shared" si="240"/>
        <v>0</v>
      </c>
      <c r="AP710" s="1582">
        <f t="shared" si="240"/>
        <v>0</v>
      </c>
      <c r="AQ710" s="1582">
        <f t="shared" si="240"/>
        <v>0</v>
      </c>
      <c r="AR710" s="1582">
        <f t="shared" si="240"/>
        <v>0</v>
      </c>
      <c r="AS710" s="1582">
        <f t="shared" si="240"/>
        <v>0</v>
      </c>
      <c r="AT710" s="1582">
        <f t="shared" si="240"/>
        <v>0</v>
      </c>
      <c r="AU710" s="1582">
        <f t="shared" si="240"/>
        <v>0</v>
      </c>
      <c r="AV710" s="1582">
        <f t="shared" si="240"/>
        <v>0</v>
      </c>
      <c r="AW710" s="1582">
        <f t="shared" si="240"/>
        <v>0</v>
      </c>
      <c r="AX710" s="1582">
        <f t="shared" si="240"/>
        <v>0</v>
      </c>
      <c r="AY710" s="1582">
        <f t="shared" si="240"/>
        <v>0</v>
      </c>
      <c r="AZ710" s="1582">
        <f t="shared" si="240"/>
        <v>0</v>
      </c>
      <c r="BA710" s="1582">
        <f t="shared" si="240"/>
        <v>0</v>
      </c>
      <c r="BB710" s="1582">
        <f t="shared" si="240"/>
        <v>0</v>
      </c>
      <c r="BC710" s="1582">
        <f t="shared" si="240"/>
        <v>0</v>
      </c>
      <c r="BD710" s="1582">
        <f t="shared" si="240"/>
        <v>0</v>
      </c>
      <c r="BE710" s="1583">
        <f t="shared" si="240"/>
        <v>0</v>
      </c>
      <c r="BF710" s="1168"/>
    </row>
    <row r="711" spans="1:58" x14ac:dyDescent="0.45">
      <c r="A711" s="695"/>
      <c r="B711" s="974"/>
      <c r="C711" s="975"/>
      <c r="D711" s="975"/>
      <c r="E711" s="975"/>
      <c r="F711" s="975"/>
      <c r="G711" s="1582"/>
      <c r="H711" s="1582"/>
      <c r="I711" s="1582"/>
      <c r="J711" s="1582"/>
      <c r="K711" s="1582"/>
      <c r="L711" s="1582"/>
      <c r="M711" s="1582"/>
      <c r="N711" s="1582"/>
      <c r="O711" s="1582"/>
      <c r="P711" s="1582"/>
      <c r="Q711" s="1582"/>
      <c r="R711" s="1582"/>
      <c r="S711" s="1582"/>
      <c r="T711" s="1582"/>
      <c r="U711" s="1582"/>
      <c r="V711" s="1582"/>
      <c r="W711" s="1582"/>
      <c r="X711" s="1582"/>
      <c r="Y711" s="1582"/>
      <c r="Z711" s="1582"/>
      <c r="AA711" s="1582"/>
      <c r="AB711" s="1582"/>
      <c r="AC711" s="1582"/>
      <c r="AD711" s="1582"/>
      <c r="AE711" s="1582"/>
      <c r="AF711" s="1582"/>
      <c r="AG711" s="1582"/>
      <c r="AH711" s="1582"/>
      <c r="AI711" s="1582"/>
      <c r="AJ711" s="1582"/>
      <c r="AK711" s="1582"/>
      <c r="AL711" s="1582"/>
      <c r="AM711" s="1582"/>
      <c r="AN711" s="1582"/>
      <c r="AO711" s="1582"/>
      <c r="AP711" s="1582"/>
      <c r="AQ711" s="1582"/>
      <c r="AR711" s="1582"/>
      <c r="AS711" s="1582"/>
      <c r="AT711" s="1582"/>
      <c r="AU711" s="1582"/>
      <c r="AV711" s="1582"/>
      <c r="AW711" s="1582"/>
      <c r="AX711" s="1582"/>
      <c r="AY711" s="1582"/>
      <c r="AZ711" s="1582"/>
      <c r="BA711" s="1582"/>
      <c r="BB711" s="1582"/>
      <c r="BC711" s="1582"/>
      <c r="BD711" s="1582"/>
      <c r="BE711" s="1583"/>
      <c r="BF711" s="1168"/>
    </row>
    <row r="712" spans="1:58" x14ac:dyDescent="0.45">
      <c r="A712" s="695"/>
      <c r="B712" s="974"/>
      <c r="C712" s="1054" t="s">
        <v>58</v>
      </c>
      <c r="D712" s="975"/>
      <c r="E712" s="975"/>
      <c r="F712" s="975"/>
      <c r="G712" s="1582"/>
      <c r="H712" s="1582"/>
      <c r="I712" s="1582"/>
      <c r="J712" s="1582"/>
      <c r="K712" s="1582"/>
      <c r="L712" s="1582"/>
      <c r="M712" s="1582"/>
      <c r="N712" s="1582"/>
      <c r="O712" s="1582"/>
      <c r="P712" s="1582"/>
      <c r="Q712" s="1582"/>
      <c r="R712" s="1582"/>
      <c r="S712" s="1582"/>
      <c r="T712" s="1582"/>
      <c r="U712" s="1582"/>
      <c r="V712" s="1582"/>
      <c r="W712" s="1582"/>
      <c r="X712" s="1582"/>
      <c r="Y712" s="1582"/>
      <c r="Z712" s="1582"/>
      <c r="AA712" s="1582"/>
      <c r="AB712" s="1582"/>
      <c r="AC712" s="1582"/>
      <c r="AD712" s="1582"/>
      <c r="AE712" s="1582"/>
      <c r="AF712" s="1582"/>
      <c r="AG712" s="1582"/>
      <c r="AH712" s="1582"/>
      <c r="AI712" s="1582"/>
      <c r="AJ712" s="1582"/>
      <c r="AK712" s="1582"/>
      <c r="AL712" s="1582"/>
      <c r="AM712" s="1582"/>
      <c r="AN712" s="1582"/>
      <c r="AO712" s="1582"/>
      <c r="AP712" s="1582"/>
      <c r="AQ712" s="1582"/>
      <c r="AR712" s="1582"/>
      <c r="AS712" s="1582"/>
      <c r="AT712" s="1582"/>
      <c r="AU712" s="1582"/>
      <c r="AV712" s="1582"/>
      <c r="AW712" s="1582"/>
      <c r="AX712" s="1582"/>
      <c r="AY712" s="1582"/>
      <c r="AZ712" s="1582"/>
      <c r="BA712" s="1582"/>
      <c r="BB712" s="1582"/>
      <c r="BC712" s="1582"/>
      <c r="BD712" s="1582"/>
      <c r="BE712" s="1583"/>
      <c r="BF712" s="1168"/>
    </row>
    <row r="713" spans="1:58" x14ac:dyDescent="0.45">
      <c r="A713" s="695"/>
      <c r="B713" s="974"/>
      <c r="C713" s="975" t="s">
        <v>68</v>
      </c>
      <c r="D713" s="975"/>
      <c r="E713" s="975"/>
      <c r="F713" s="975"/>
      <c r="G713" s="1582">
        <v>0</v>
      </c>
      <c r="H713" s="1582">
        <f t="shared" ref="H713:AM713" si="241">G716</f>
        <v>0</v>
      </c>
      <c r="I713" s="1582">
        <f t="shared" si="241"/>
        <v>0</v>
      </c>
      <c r="J713" s="1582">
        <f t="shared" si="241"/>
        <v>0</v>
      </c>
      <c r="K713" s="1582">
        <f t="shared" si="241"/>
        <v>0</v>
      </c>
      <c r="L713" s="1582">
        <f t="shared" si="241"/>
        <v>0</v>
      </c>
      <c r="M713" s="1582">
        <f t="shared" si="241"/>
        <v>0</v>
      </c>
      <c r="N713" s="1582">
        <f t="shared" si="241"/>
        <v>0</v>
      </c>
      <c r="O713" s="1582">
        <f t="shared" si="241"/>
        <v>0</v>
      </c>
      <c r="P713" s="1582">
        <f t="shared" si="241"/>
        <v>0</v>
      </c>
      <c r="Q713" s="1582">
        <f t="shared" si="241"/>
        <v>0</v>
      </c>
      <c r="R713" s="1582">
        <f t="shared" si="241"/>
        <v>0</v>
      </c>
      <c r="S713" s="1582">
        <f t="shared" si="241"/>
        <v>0</v>
      </c>
      <c r="T713" s="1582">
        <f t="shared" si="241"/>
        <v>0</v>
      </c>
      <c r="U713" s="1582">
        <f t="shared" si="241"/>
        <v>0</v>
      </c>
      <c r="V713" s="1582">
        <f t="shared" si="241"/>
        <v>0</v>
      </c>
      <c r="W713" s="1582">
        <f t="shared" si="241"/>
        <v>0</v>
      </c>
      <c r="X713" s="1582">
        <f t="shared" si="241"/>
        <v>0</v>
      </c>
      <c r="Y713" s="1582">
        <f t="shared" si="241"/>
        <v>0</v>
      </c>
      <c r="Z713" s="1582">
        <f t="shared" si="241"/>
        <v>0</v>
      </c>
      <c r="AA713" s="1582">
        <f t="shared" si="241"/>
        <v>0</v>
      </c>
      <c r="AB713" s="1582">
        <f t="shared" si="241"/>
        <v>0</v>
      </c>
      <c r="AC713" s="1582">
        <f t="shared" si="241"/>
        <v>0</v>
      </c>
      <c r="AD713" s="1582">
        <f t="shared" si="241"/>
        <v>0</v>
      </c>
      <c r="AE713" s="1582">
        <f t="shared" si="241"/>
        <v>0</v>
      </c>
      <c r="AF713" s="1582">
        <f t="shared" si="241"/>
        <v>0</v>
      </c>
      <c r="AG713" s="1582">
        <f t="shared" si="241"/>
        <v>0</v>
      </c>
      <c r="AH713" s="1582">
        <f t="shared" si="241"/>
        <v>0</v>
      </c>
      <c r="AI713" s="1582">
        <f t="shared" si="241"/>
        <v>0</v>
      </c>
      <c r="AJ713" s="1582">
        <f t="shared" si="241"/>
        <v>0</v>
      </c>
      <c r="AK713" s="1582">
        <f t="shared" si="241"/>
        <v>0</v>
      </c>
      <c r="AL713" s="1582">
        <f t="shared" si="241"/>
        <v>0</v>
      </c>
      <c r="AM713" s="1582">
        <f t="shared" si="241"/>
        <v>0</v>
      </c>
      <c r="AN713" s="1582">
        <f t="shared" ref="AN713:BE713" si="242">AM716</f>
        <v>0</v>
      </c>
      <c r="AO713" s="1582">
        <f t="shared" si="242"/>
        <v>0</v>
      </c>
      <c r="AP713" s="1582">
        <f t="shared" si="242"/>
        <v>0</v>
      </c>
      <c r="AQ713" s="1582">
        <f t="shared" si="242"/>
        <v>0</v>
      </c>
      <c r="AR713" s="1582">
        <f t="shared" si="242"/>
        <v>0</v>
      </c>
      <c r="AS713" s="1582">
        <f t="shared" si="242"/>
        <v>0</v>
      </c>
      <c r="AT713" s="1582">
        <f t="shared" si="242"/>
        <v>0</v>
      </c>
      <c r="AU713" s="1582">
        <f t="shared" si="242"/>
        <v>0</v>
      </c>
      <c r="AV713" s="1582">
        <f t="shared" si="242"/>
        <v>0</v>
      </c>
      <c r="AW713" s="1582">
        <f t="shared" si="242"/>
        <v>0</v>
      </c>
      <c r="AX713" s="1582">
        <f t="shared" si="242"/>
        <v>0</v>
      </c>
      <c r="AY713" s="1582">
        <f t="shared" si="242"/>
        <v>0</v>
      </c>
      <c r="AZ713" s="1582">
        <f t="shared" si="242"/>
        <v>0</v>
      </c>
      <c r="BA713" s="1582">
        <f t="shared" si="242"/>
        <v>0</v>
      </c>
      <c r="BB713" s="1582">
        <f t="shared" si="242"/>
        <v>0</v>
      </c>
      <c r="BC713" s="1582">
        <f t="shared" si="242"/>
        <v>0</v>
      </c>
      <c r="BD713" s="1582">
        <f t="shared" si="242"/>
        <v>0</v>
      </c>
      <c r="BE713" s="1583">
        <f t="shared" si="242"/>
        <v>0</v>
      </c>
      <c r="BF713" s="1168"/>
    </row>
    <row r="714" spans="1:58" x14ac:dyDescent="0.45">
      <c r="A714" s="695"/>
      <c r="B714" s="974"/>
      <c r="C714" s="975" t="s">
        <v>69</v>
      </c>
      <c r="D714" s="975"/>
      <c r="E714" s="975"/>
      <c r="F714" s="975"/>
      <c r="G714" s="1582">
        <f>G701</f>
        <v>0</v>
      </c>
      <c r="H714" s="1582">
        <v>0</v>
      </c>
      <c r="I714" s="1582">
        <v>0</v>
      </c>
      <c r="J714" s="1582">
        <v>0</v>
      </c>
      <c r="K714" s="1582">
        <v>0</v>
      </c>
      <c r="L714" s="1582">
        <v>0</v>
      </c>
      <c r="M714" s="1582">
        <v>0</v>
      </c>
      <c r="N714" s="1582">
        <v>0</v>
      </c>
      <c r="O714" s="1582">
        <v>0</v>
      </c>
      <c r="P714" s="1582">
        <v>0</v>
      </c>
      <c r="Q714" s="1582">
        <v>0</v>
      </c>
      <c r="R714" s="1582">
        <v>0</v>
      </c>
      <c r="S714" s="1582">
        <v>0</v>
      </c>
      <c r="T714" s="1582">
        <v>0</v>
      </c>
      <c r="U714" s="1582">
        <v>0</v>
      </c>
      <c r="V714" s="1582">
        <v>0</v>
      </c>
      <c r="W714" s="1582">
        <v>0</v>
      </c>
      <c r="X714" s="1582">
        <v>0</v>
      </c>
      <c r="Y714" s="1582">
        <v>0</v>
      </c>
      <c r="Z714" s="1582">
        <v>0</v>
      </c>
      <c r="AA714" s="1582">
        <v>0</v>
      </c>
      <c r="AB714" s="1582">
        <v>0</v>
      </c>
      <c r="AC714" s="1582">
        <v>0</v>
      </c>
      <c r="AD714" s="1582">
        <v>0</v>
      </c>
      <c r="AE714" s="1582">
        <v>0</v>
      </c>
      <c r="AF714" s="1582">
        <v>0</v>
      </c>
      <c r="AG714" s="1582">
        <v>0</v>
      </c>
      <c r="AH714" s="1582">
        <v>0</v>
      </c>
      <c r="AI714" s="1582">
        <v>0</v>
      </c>
      <c r="AJ714" s="1582">
        <v>0</v>
      </c>
      <c r="AK714" s="1582">
        <v>0</v>
      </c>
      <c r="AL714" s="1582">
        <v>0</v>
      </c>
      <c r="AM714" s="1582">
        <v>0</v>
      </c>
      <c r="AN714" s="1582">
        <v>0</v>
      </c>
      <c r="AO714" s="1582">
        <v>0</v>
      </c>
      <c r="AP714" s="1582">
        <v>0</v>
      </c>
      <c r="AQ714" s="1582">
        <v>0</v>
      </c>
      <c r="AR714" s="1582">
        <v>0</v>
      </c>
      <c r="AS714" s="1582">
        <v>0</v>
      </c>
      <c r="AT714" s="1582">
        <v>0</v>
      </c>
      <c r="AU714" s="1582">
        <v>0</v>
      </c>
      <c r="AV714" s="1582">
        <v>0</v>
      </c>
      <c r="AW714" s="1582">
        <v>0</v>
      </c>
      <c r="AX714" s="1582">
        <v>0</v>
      </c>
      <c r="AY714" s="1582">
        <v>0</v>
      </c>
      <c r="AZ714" s="1582">
        <v>0</v>
      </c>
      <c r="BA714" s="1582">
        <v>0</v>
      </c>
      <c r="BB714" s="1582">
        <v>0</v>
      </c>
      <c r="BC714" s="1582">
        <v>0</v>
      </c>
      <c r="BD714" s="1582">
        <v>0</v>
      </c>
      <c r="BE714" s="1583">
        <v>0</v>
      </c>
      <c r="BF714" s="1168"/>
    </row>
    <row r="715" spans="1:58" x14ac:dyDescent="0.45">
      <c r="A715" s="695"/>
      <c r="B715" s="974"/>
      <c r="C715" s="982" t="s">
        <v>70</v>
      </c>
      <c r="D715" s="982"/>
      <c r="E715" s="982"/>
      <c r="F715" s="982"/>
      <c r="G715" s="1584">
        <v>0</v>
      </c>
      <c r="H715" s="1584">
        <f>-H709</f>
        <v>0</v>
      </c>
      <c r="I715" s="1584">
        <f t="shared" ref="I715:BE715" si="243">-I709</f>
        <v>0</v>
      </c>
      <c r="J715" s="1584">
        <f t="shared" si="243"/>
        <v>0</v>
      </c>
      <c r="K715" s="1584">
        <f t="shared" si="243"/>
        <v>0</v>
      </c>
      <c r="L715" s="1584">
        <f t="shared" si="243"/>
        <v>0</v>
      </c>
      <c r="M715" s="1584">
        <f t="shared" si="243"/>
        <v>0</v>
      </c>
      <c r="N715" s="1584">
        <f t="shared" si="243"/>
        <v>0</v>
      </c>
      <c r="O715" s="1584">
        <f t="shared" si="243"/>
        <v>0</v>
      </c>
      <c r="P715" s="1584">
        <f t="shared" si="243"/>
        <v>0</v>
      </c>
      <c r="Q715" s="1584">
        <f t="shared" si="243"/>
        <v>0</v>
      </c>
      <c r="R715" s="1584">
        <f t="shared" si="243"/>
        <v>0</v>
      </c>
      <c r="S715" s="1584">
        <f t="shared" si="243"/>
        <v>0</v>
      </c>
      <c r="T715" s="1584">
        <f t="shared" si="243"/>
        <v>0</v>
      </c>
      <c r="U715" s="1584">
        <f t="shared" si="243"/>
        <v>0</v>
      </c>
      <c r="V715" s="1584">
        <f t="shared" si="243"/>
        <v>0</v>
      </c>
      <c r="W715" s="1584">
        <f t="shared" si="243"/>
        <v>0</v>
      </c>
      <c r="X715" s="1584">
        <f t="shared" si="243"/>
        <v>0</v>
      </c>
      <c r="Y715" s="1584">
        <f t="shared" si="243"/>
        <v>0</v>
      </c>
      <c r="Z715" s="1584">
        <f t="shared" si="243"/>
        <v>0</v>
      </c>
      <c r="AA715" s="1584">
        <f t="shared" si="243"/>
        <v>0</v>
      </c>
      <c r="AB715" s="1584">
        <f t="shared" si="243"/>
        <v>0</v>
      </c>
      <c r="AC715" s="1584">
        <f t="shared" si="243"/>
        <v>0</v>
      </c>
      <c r="AD715" s="1584">
        <f t="shared" si="243"/>
        <v>0</v>
      </c>
      <c r="AE715" s="1584">
        <f t="shared" si="243"/>
        <v>0</v>
      </c>
      <c r="AF715" s="1584">
        <f t="shared" si="243"/>
        <v>0</v>
      </c>
      <c r="AG715" s="1584">
        <f t="shared" si="243"/>
        <v>0</v>
      </c>
      <c r="AH715" s="1584">
        <f t="shared" si="243"/>
        <v>0</v>
      </c>
      <c r="AI715" s="1584">
        <f t="shared" si="243"/>
        <v>0</v>
      </c>
      <c r="AJ715" s="1584">
        <f t="shared" si="243"/>
        <v>0</v>
      </c>
      <c r="AK715" s="1584">
        <f t="shared" si="243"/>
        <v>0</v>
      </c>
      <c r="AL715" s="1584">
        <f t="shared" si="243"/>
        <v>0</v>
      </c>
      <c r="AM715" s="1584">
        <f t="shared" si="243"/>
        <v>0</v>
      </c>
      <c r="AN715" s="1584">
        <f t="shared" si="243"/>
        <v>0</v>
      </c>
      <c r="AO715" s="1584">
        <f t="shared" si="243"/>
        <v>0</v>
      </c>
      <c r="AP715" s="1584">
        <f t="shared" si="243"/>
        <v>0</v>
      </c>
      <c r="AQ715" s="1584">
        <f t="shared" si="243"/>
        <v>0</v>
      </c>
      <c r="AR715" s="1584">
        <f t="shared" si="243"/>
        <v>0</v>
      </c>
      <c r="AS715" s="1584">
        <f t="shared" si="243"/>
        <v>0</v>
      </c>
      <c r="AT715" s="1584">
        <f t="shared" si="243"/>
        <v>0</v>
      </c>
      <c r="AU715" s="1584">
        <f t="shared" si="243"/>
        <v>0</v>
      </c>
      <c r="AV715" s="1584">
        <f t="shared" si="243"/>
        <v>0</v>
      </c>
      <c r="AW715" s="1584">
        <f t="shared" si="243"/>
        <v>0</v>
      </c>
      <c r="AX715" s="1584">
        <f t="shared" si="243"/>
        <v>0</v>
      </c>
      <c r="AY715" s="1584">
        <f t="shared" si="243"/>
        <v>0</v>
      </c>
      <c r="AZ715" s="1584">
        <f t="shared" si="243"/>
        <v>0</v>
      </c>
      <c r="BA715" s="1584">
        <f t="shared" si="243"/>
        <v>0</v>
      </c>
      <c r="BB715" s="1584">
        <f t="shared" si="243"/>
        <v>0</v>
      </c>
      <c r="BC715" s="1584">
        <f t="shared" si="243"/>
        <v>0</v>
      </c>
      <c r="BD715" s="1584">
        <f t="shared" si="243"/>
        <v>0</v>
      </c>
      <c r="BE715" s="1585">
        <f t="shared" si="243"/>
        <v>0</v>
      </c>
      <c r="BF715" s="1168"/>
    </row>
    <row r="716" spans="1:58" x14ac:dyDescent="0.45">
      <c r="A716" s="695"/>
      <c r="B716" s="974"/>
      <c r="C716" s="975" t="s">
        <v>59</v>
      </c>
      <c r="D716" s="975"/>
      <c r="E716" s="975"/>
      <c r="F716" s="975"/>
      <c r="G716" s="1582">
        <f>SUM(G713:G715)</f>
        <v>0</v>
      </c>
      <c r="H716" s="1582">
        <f>SUM(H713:H715)</f>
        <v>0</v>
      </c>
      <c r="I716" s="1582">
        <f t="shared" ref="I716:BE716" si="244">SUM(I713:I715)</f>
        <v>0</v>
      </c>
      <c r="J716" s="1582">
        <f t="shared" si="244"/>
        <v>0</v>
      </c>
      <c r="K716" s="1582">
        <f t="shared" si="244"/>
        <v>0</v>
      </c>
      <c r="L716" s="1582">
        <f t="shared" si="244"/>
        <v>0</v>
      </c>
      <c r="M716" s="1582">
        <f t="shared" si="244"/>
        <v>0</v>
      </c>
      <c r="N716" s="1582">
        <f t="shared" si="244"/>
        <v>0</v>
      </c>
      <c r="O716" s="1582">
        <f t="shared" si="244"/>
        <v>0</v>
      </c>
      <c r="P716" s="1582">
        <f t="shared" si="244"/>
        <v>0</v>
      </c>
      <c r="Q716" s="1582">
        <f t="shared" si="244"/>
        <v>0</v>
      </c>
      <c r="R716" s="1582">
        <f t="shared" si="244"/>
        <v>0</v>
      </c>
      <c r="S716" s="1582">
        <f t="shared" si="244"/>
        <v>0</v>
      </c>
      <c r="T716" s="1582">
        <f t="shared" si="244"/>
        <v>0</v>
      </c>
      <c r="U716" s="1582">
        <f t="shared" si="244"/>
        <v>0</v>
      </c>
      <c r="V716" s="1582">
        <f t="shared" si="244"/>
        <v>0</v>
      </c>
      <c r="W716" s="1582">
        <f t="shared" si="244"/>
        <v>0</v>
      </c>
      <c r="X716" s="1582">
        <f t="shared" si="244"/>
        <v>0</v>
      </c>
      <c r="Y716" s="1582">
        <f t="shared" si="244"/>
        <v>0</v>
      </c>
      <c r="Z716" s="1582">
        <f t="shared" si="244"/>
        <v>0</v>
      </c>
      <c r="AA716" s="1582">
        <f t="shared" si="244"/>
        <v>0</v>
      </c>
      <c r="AB716" s="1582">
        <f t="shared" si="244"/>
        <v>0</v>
      </c>
      <c r="AC716" s="1582">
        <f t="shared" si="244"/>
        <v>0</v>
      </c>
      <c r="AD716" s="1582">
        <f t="shared" si="244"/>
        <v>0</v>
      </c>
      <c r="AE716" s="1582">
        <f t="shared" si="244"/>
        <v>0</v>
      </c>
      <c r="AF716" s="1582">
        <f t="shared" si="244"/>
        <v>0</v>
      </c>
      <c r="AG716" s="1582">
        <f t="shared" si="244"/>
        <v>0</v>
      </c>
      <c r="AH716" s="1582">
        <f t="shared" si="244"/>
        <v>0</v>
      </c>
      <c r="AI716" s="1582">
        <f t="shared" si="244"/>
        <v>0</v>
      </c>
      <c r="AJ716" s="1582">
        <f t="shared" si="244"/>
        <v>0</v>
      </c>
      <c r="AK716" s="1582">
        <f t="shared" si="244"/>
        <v>0</v>
      </c>
      <c r="AL716" s="1582">
        <f t="shared" si="244"/>
        <v>0</v>
      </c>
      <c r="AM716" s="1582">
        <f t="shared" si="244"/>
        <v>0</v>
      </c>
      <c r="AN716" s="1582">
        <f t="shared" si="244"/>
        <v>0</v>
      </c>
      <c r="AO716" s="1582">
        <f t="shared" si="244"/>
        <v>0</v>
      </c>
      <c r="AP716" s="1582">
        <f t="shared" si="244"/>
        <v>0</v>
      </c>
      <c r="AQ716" s="1582">
        <f t="shared" si="244"/>
        <v>0</v>
      </c>
      <c r="AR716" s="1582">
        <f t="shared" si="244"/>
        <v>0</v>
      </c>
      <c r="AS716" s="1582">
        <f t="shared" si="244"/>
        <v>0</v>
      </c>
      <c r="AT716" s="1582">
        <f t="shared" si="244"/>
        <v>0</v>
      </c>
      <c r="AU716" s="1582">
        <f t="shared" si="244"/>
        <v>0</v>
      </c>
      <c r="AV716" s="1582">
        <f t="shared" si="244"/>
        <v>0</v>
      </c>
      <c r="AW716" s="1582">
        <f t="shared" si="244"/>
        <v>0</v>
      </c>
      <c r="AX716" s="1582">
        <f t="shared" si="244"/>
        <v>0</v>
      </c>
      <c r="AY716" s="1582">
        <f t="shared" si="244"/>
        <v>0</v>
      </c>
      <c r="AZ716" s="1582">
        <f t="shared" si="244"/>
        <v>0</v>
      </c>
      <c r="BA716" s="1582">
        <f t="shared" si="244"/>
        <v>0</v>
      </c>
      <c r="BB716" s="1582">
        <f t="shared" si="244"/>
        <v>0</v>
      </c>
      <c r="BC716" s="1582">
        <f t="shared" si="244"/>
        <v>0</v>
      </c>
      <c r="BD716" s="1582">
        <f t="shared" si="244"/>
        <v>0</v>
      </c>
      <c r="BE716" s="1583">
        <f t="shared" si="244"/>
        <v>0</v>
      </c>
      <c r="BF716" s="1168"/>
    </row>
    <row r="717" spans="1:58" x14ac:dyDescent="0.45">
      <c r="A717" s="695"/>
      <c r="B717" s="974"/>
      <c r="C717" s="975"/>
      <c r="D717" s="975"/>
      <c r="E717" s="975"/>
      <c r="F717" s="975"/>
      <c r="G717" s="1582"/>
      <c r="H717" s="1582"/>
      <c r="I717" s="1582"/>
      <c r="J717" s="1582"/>
      <c r="K717" s="1582"/>
      <c r="L717" s="1582"/>
      <c r="M717" s="1582"/>
      <c r="N717" s="1582"/>
      <c r="O717" s="1582"/>
      <c r="P717" s="1582"/>
      <c r="Q717" s="1582"/>
      <c r="R717" s="1582"/>
      <c r="S717" s="1582"/>
      <c r="T717" s="1582"/>
      <c r="U717" s="1582"/>
      <c r="V717" s="1582"/>
      <c r="W717" s="1582"/>
      <c r="X717" s="1582"/>
      <c r="Y717" s="1582"/>
      <c r="Z717" s="1582"/>
      <c r="AA717" s="1582"/>
      <c r="AB717" s="1582"/>
      <c r="AC717" s="1582"/>
      <c r="AD717" s="1582"/>
      <c r="AE717" s="1582"/>
      <c r="AF717" s="1582"/>
      <c r="AG717" s="1582"/>
      <c r="AH717" s="1582"/>
      <c r="AI717" s="1582"/>
      <c r="AJ717" s="1582"/>
      <c r="AK717" s="1582"/>
      <c r="AL717" s="1582"/>
      <c r="AM717" s="1582"/>
      <c r="AN717" s="1582"/>
      <c r="AO717" s="1582"/>
      <c r="AP717" s="1582"/>
      <c r="AQ717" s="1582"/>
      <c r="AR717" s="1582"/>
      <c r="AS717" s="1582"/>
      <c r="AT717" s="1582"/>
      <c r="AU717" s="1582"/>
      <c r="AV717" s="1582"/>
      <c r="AW717" s="1582"/>
      <c r="AX717" s="1582"/>
      <c r="AY717" s="1582"/>
      <c r="AZ717" s="1582"/>
      <c r="BA717" s="1582"/>
      <c r="BB717" s="1582"/>
      <c r="BC717" s="1582"/>
      <c r="BD717" s="1582"/>
      <c r="BE717" s="1583"/>
      <c r="BF717" s="1168"/>
    </row>
    <row r="718" spans="1:58" x14ac:dyDescent="0.45">
      <c r="A718" s="695"/>
      <c r="B718" s="974"/>
      <c r="C718" s="1054" t="s">
        <v>64</v>
      </c>
      <c r="D718" s="975"/>
      <c r="E718" s="975"/>
      <c r="F718" s="975"/>
      <c r="G718" s="1582"/>
      <c r="H718" s="1582"/>
      <c r="I718" s="1582"/>
      <c r="J718" s="1582"/>
      <c r="K718" s="1582"/>
      <c r="L718" s="1582"/>
      <c r="M718" s="1582"/>
      <c r="N718" s="1582"/>
      <c r="O718" s="1582"/>
      <c r="P718" s="1582"/>
      <c r="Q718" s="1582"/>
      <c r="R718" s="1582"/>
      <c r="S718" s="1582"/>
      <c r="T718" s="1582"/>
      <c r="U718" s="1582"/>
      <c r="V718" s="1582"/>
      <c r="W718" s="1582"/>
      <c r="X718" s="1582"/>
      <c r="Y718" s="1582"/>
      <c r="Z718" s="1582"/>
      <c r="AA718" s="1582"/>
      <c r="AB718" s="1582"/>
      <c r="AC718" s="1582"/>
      <c r="AD718" s="1582"/>
      <c r="AE718" s="1582"/>
      <c r="AF718" s="1582"/>
      <c r="AG718" s="1582"/>
      <c r="AH718" s="1582"/>
      <c r="AI718" s="1582"/>
      <c r="AJ718" s="1582"/>
      <c r="AK718" s="1582"/>
      <c r="AL718" s="1582"/>
      <c r="AM718" s="1582"/>
      <c r="AN718" s="1582"/>
      <c r="AO718" s="1582"/>
      <c r="AP718" s="1582"/>
      <c r="AQ718" s="1582"/>
      <c r="AR718" s="1582"/>
      <c r="AS718" s="1582"/>
      <c r="AT718" s="1582"/>
      <c r="AU718" s="1582"/>
      <c r="AV718" s="1582"/>
      <c r="AW718" s="1582"/>
      <c r="AX718" s="1582"/>
      <c r="AY718" s="1582"/>
      <c r="AZ718" s="1582"/>
      <c r="BA718" s="1582"/>
      <c r="BB718" s="1582"/>
      <c r="BC718" s="1582"/>
      <c r="BD718" s="1582"/>
      <c r="BE718" s="1583"/>
      <c r="BF718" s="1168"/>
    </row>
    <row r="719" spans="1:58" x14ac:dyDescent="0.45">
      <c r="A719" s="695"/>
      <c r="B719" s="974"/>
      <c r="C719" s="975" t="s">
        <v>202</v>
      </c>
      <c r="D719" s="975"/>
      <c r="E719" s="975"/>
      <c r="F719" s="975"/>
      <c r="G719" s="1582"/>
      <c r="H719" s="1582">
        <f>IF($G701&gt;0, $G701*'II. Inputs, Baseline Energy Mix'!$S$82/10000,0)</f>
        <v>0</v>
      </c>
      <c r="I719" s="1582">
        <v>0</v>
      </c>
      <c r="J719" s="1582">
        <v>0</v>
      </c>
      <c r="K719" s="1582">
        <v>0</v>
      </c>
      <c r="L719" s="1582">
        <v>0</v>
      </c>
      <c r="M719" s="1582">
        <v>0</v>
      </c>
      <c r="N719" s="1582">
        <v>0</v>
      </c>
      <c r="O719" s="1582">
        <v>0</v>
      </c>
      <c r="P719" s="1582">
        <v>0</v>
      </c>
      <c r="Q719" s="1582">
        <v>0</v>
      </c>
      <c r="R719" s="1582">
        <v>0</v>
      </c>
      <c r="S719" s="1582">
        <v>0</v>
      </c>
      <c r="T719" s="1582">
        <v>0</v>
      </c>
      <c r="U719" s="1582">
        <v>0</v>
      </c>
      <c r="V719" s="1582">
        <v>0</v>
      </c>
      <c r="W719" s="1582">
        <v>0</v>
      </c>
      <c r="X719" s="1582">
        <v>0</v>
      </c>
      <c r="Y719" s="1582">
        <v>0</v>
      </c>
      <c r="Z719" s="1582">
        <v>0</v>
      </c>
      <c r="AA719" s="1582">
        <v>0</v>
      </c>
      <c r="AB719" s="1582">
        <v>0</v>
      </c>
      <c r="AC719" s="1582">
        <v>0</v>
      </c>
      <c r="AD719" s="1582">
        <v>0</v>
      </c>
      <c r="AE719" s="1582">
        <v>0</v>
      </c>
      <c r="AF719" s="1582">
        <v>0</v>
      </c>
      <c r="AG719" s="1582">
        <v>0</v>
      </c>
      <c r="AH719" s="1582">
        <v>0</v>
      </c>
      <c r="AI719" s="1582">
        <v>0</v>
      </c>
      <c r="AJ719" s="1582">
        <v>0</v>
      </c>
      <c r="AK719" s="1582">
        <v>0</v>
      </c>
      <c r="AL719" s="1582">
        <v>0</v>
      </c>
      <c r="AM719" s="1582">
        <v>0</v>
      </c>
      <c r="AN719" s="1582">
        <v>0</v>
      </c>
      <c r="AO719" s="1582">
        <v>0</v>
      </c>
      <c r="AP719" s="1582">
        <v>0</v>
      </c>
      <c r="AQ719" s="1582">
        <v>0</v>
      </c>
      <c r="AR719" s="1582">
        <v>0</v>
      </c>
      <c r="AS719" s="1582">
        <v>0</v>
      </c>
      <c r="AT719" s="1582">
        <v>0</v>
      </c>
      <c r="AU719" s="1582">
        <v>0</v>
      </c>
      <c r="AV719" s="1582">
        <v>0</v>
      </c>
      <c r="AW719" s="1582">
        <v>0</v>
      </c>
      <c r="AX719" s="1582">
        <v>0</v>
      </c>
      <c r="AY719" s="1582">
        <v>0</v>
      </c>
      <c r="AZ719" s="1582">
        <v>0</v>
      </c>
      <c r="BA719" s="1582">
        <v>0</v>
      </c>
      <c r="BB719" s="1582">
        <v>0</v>
      </c>
      <c r="BC719" s="1582">
        <v>0</v>
      </c>
      <c r="BD719" s="1582">
        <v>0</v>
      </c>
      <c r="BE719" s="1583">
        <v>0</v>
      </c>
      <c r="BF719" s="1168"/>
    </row>
    <row r="720" spans="1:58" x14ac:dyDescent="0.45">
      <c r="A720" s="695"/>
      <c r="B720" s="974"/>
      <c r="C720" s="975" t="str">
        <f>'II. Inputs, Baseline Energy Mix'!$E$85</f>
        <v>Front-end Fee, Public Guarantee</v>
      </c>
      <c r="D720" s="975"/>
      <c r="E720" s="975"/>
      <c r="F720" s="975"/>
      <c r="G720" s="1582"/>
      <c r="H720" s="1582">
        <f>IF($G701&gt;0, $G701*$G704*'II. Inputs, Baseline Energy Mix'!$S$85/10000,0)</f>
        <v>0</v>
      </c>
      <c r="I720" s="1582">
        <v>0</v>
      </c>
      <c r="J720" s="1582">
        <v>0</v>
      </c>
      <c r="K720" s="1582">
        <v>0</v>
      </c>
      <c r="L720" s="1582">
        <v>0</v>
      </c>
      <c r="M720" s="1582">
        <v>0</v>
      </c>
      <c r="N720" s="1582">
        <v>0</v>
      </c>
      <c r="O720" s="1582">
        <v>0</v>
      </c>
      <c r="P720" s="1582">
        <v>0</v>
      </c>
      <c r="Q720" s="1582">
        <v>0</v>
      </c>
      <c r="R720" s="1582">
        <v>0</v>
      </c>
      <c r="S720" s="1582">
        <v>0</v>
      </c>
      <c r="T720" s="1582">
        <v>0</v>
      </c>
      <c r="U720" s="1582">
        <v>0</v>
      </c>
      <c r="V720" s="1582">
        <v>0</v>
      </c>
      <c r="W720" s="1582">
        <v>0</v>
      </c>
      <c r="X720" s="1582">
        <v>0</v>
      </c>
      <c r="Y720" s="1582">
        <v>0</v>
      </c>
      <c r="Z720" s="1582">
        <v>0</v>
      </c>
      <c r="AA720" s="1582">
        <v>0</v>
      </c>
      <c r="AB720" s="1582">
        <v>0</v>
      </c>
      <c r="AC720" s="1582">
        <v>0</v>
      </c>
      <c r="AD720" s="1582">
        <v>0</v>
      </c>
      <c r="AE720" s="1582">
        <v>0</v>
      </c>
      <c r="AF720" s="1582">
        <v>0</v>
      </c>
      <c r="AG720" s="1582">
        <v>0</v>
      </c>
      <c r="AH720" s="1582">
        <v>0</v>
      </c>
      <c r="AI720" s="1582">
        <v>0</v>
      </c>
      <c r="AJ720" s="1582">
        <v>0</v>
      </c>
      <c r="AK720" s="1582">
        <v>0</v>
      </c>
      <c r="AL720" s="1582">
        <v>0</v>
      </c>
      <c r="AM720" s="1582">
        <v>0</v>
      </c>
      <c r="AN720" s="1582">
        <v>0</v>
      </c>
      <c r="AO720" s="1582">
        <v>0</v>
      </c>
      <c r="AP720" s="1582">
        <v>0</v>
      </c>
      <c r="AQ720" s="1582">
        <v>0</v>
      </c>
      <c r="AR720" s="1582">
        <v>0</v>
      </c>
      <c r="AS720" s="1582">
        <v>0</v>
      </c>
      <c r="AT720" s="1582">
        <v>0</v>
      </c>
      <c r="AU720" s="1582">
        <v>0</v>
      </c>
      <c r="AV720" s="1582">
        <v>0</v>
      </c>
      <c r="AW720" s="1582">
        <v>0</v>
      </c>
      <c r="AX720" s="1582">
        <v>0</v>
      </c>
      <c r="AY720" s="1582">
        <v>0</v>
      </c>
      <c r="AZ720" s="1582">
        <v>0</v>
      </c>
      <c r="BA720" s="1582">
        <v>0</v>
      </c>
      <c r="BB720" s="1582">
        <v>0</v>
      </c>
      <c r="BC720" s="1582">
        <v>0</v>
      </c>
      <c r="BD720" s="1582">
        <v>0</v>
      </c>
      <c r="BE720" s="1583">
        <v>0</v>
      </c>
      <c r="BF720" s="1168"/>
    </row>
    <row r="721" spans="1:58" x14ac:dyDescent="0.45">
      <c r="A721" s="695"/>
      <c r="B721" s="974"/>
      <c r="C721" s="975" t="str">
        <f>'II. Inputs, Baseline Energy Mix'!$E$86</f>
        <v xml:space="preserve">Annual Public Guarantee Fee </v>
      </c>
      <c r="D721" s="975"/>
      <c r="E721" s="975"/>
      <c r="F721" s="975"/>
      <c r="G721" s="1582"/>
      <c r="H721" s="1582">
        <f>IF(H$292&gt;$G705,0,((H713+H716)/2)*$G704*'II. Inputs, Baseline Energy Mix'!$S$86/10000)</f>
        <v>0</v>
      </c>
      <c r="I721" s="1582">
        <f>IF(I$292&gt;$G705,0,((I713+I716)/2)*$G704*'II. Inputs, Baseline Energy Mix'!$S$86/10000)</f>
        <v>0</v>
      </c>
      <c r="J721" s="1582">
        <f>IF(J$292&gt;$G705,0,((J713+J716)/2)*$G704*'II. Inputs, Baseline Energy Mix'!$S$86/10000)</f>
        <v>0</v>
      </c>
      <c r="K721" s="1582">
        <f>IF(K$292&gt;$G705,0,((K713+K716)/2)*$G704*'II. Inputs, Baseline Energy Mix'!$S$86/10000)</f>
        <v>0</v>
      </c>
      <c r="L721" s="1582">
        <f>IF(L$292&gt;$G705,0,((L713+L716)/2)*$G704*'II. Inputs, Baseline Energy Mix'!$S$86/10000)</f>
        <v>0</v>
      </c>
      <c r="M721" s="1582">
        <f>IF(M$292&gt;$G705,0,((M713+M716)/2)*$G704*'II. Inputs, Baseline Energy Mix'!$S$86/10000)</f>
        <v>0</v>
      </c>
      <c r="N721" s="1582">
        <f>IF(N$292&gt;$G705,0,((N713+N716)/2)*$G704*'II. Inputs, Baseline Energy Mix'!$S$86/10000)</f>
        <v>0</v>
      </c>
      <c r="O721" s="1582">
        <f>IF(O$292&gt;$G705,0,((O713+O716)/2)*$G704*'II. Inputs, Baseline Energy Mix'!$S$86/10000)</f>
        <v>0</v>
      </c>
      <c r="P721" s="1582">
        <f>IF(P$292&gt;$G705,0,((P713+P716)/2)*$G704*'II. Inputs, Baseline Energy Mix'!$S$86/10000)</f>
        <v>0</v>
      </c>
      <c r="Q721" s="1582">
        <f>IF(Q$292&gt;$G705,0,((Q713+Q716)/2)*$G704*'II. Inputs, Baseline Energy Mix'!$S$86/10000)</f>
        <v>0</v>
      </c>
      <c r="R721" s="1582">
        <f>IF(R$292&gt;$G705,0,((R713+R716)/2)*$G704*'II. Inputs, Baseline Energy Mix'!$S$86/10000)</f>
        <v>0</v>
      </c>
      <c r="S721" s="1582">
        <f>IF(S$292&gt;$G705,0,((S713+S716)/2)*$G704*'II. Inputs, Baseline Energy Mix'!$S$86/10000)</f>
        <v>0</v>
      </c>
      <c r="T721" s="1582">
        <f>IF(T$292&gt;$G705,0,((T713+T716)/2)*$G704*'II. Inputs, Baseline Energy Mix'!$S$86/10000)</f>
        <v>0</v>
      </c>
      <c r="U721" s="1582">
        <f>IF(U$292&gt;$G705,0,((U713+U716)/2)*$G704*'II. Inputs, Baseline Energy Mix'!$S$86/10000)</f>
        <v>0</v>
      </c>
      <c r="V721" s="1582">
        <f>IF(V$292&gt;$G705,0,((V713+V716)/2)*$G704*'II. Inputs, Baseline Energy Mix'!$S$86/10000)</f>
        <v>0</v>
      </c>
      <c r="W721" s="1582">
        <f>IF(W$292&gt;$G705,0,((W713+W716)/2)*$G704*'II. Inputs, Baseline Energy Mix'!$S$86/10000)</f>
        <v>0</v>
      </c>
      <c r="X721" s="1582">
        <f>IF(X$292&gt;$G705,0,((X713+X716)/2)*$G704*'II. Inputs, Baseline Energy Mix'!$S$86/10000)</f>
        <v>0</v>
      </c>
      <c r="Y721" s="1582">
        <f>IF(Y$292&gt;$G705,0,((Y713+Y716)/2)*$G704*'II. Inputs, Baseline Energy Mix'!$S$86/10000)</f>
        <v>0</v>
      </c>
      <c r="Z721" s="1582">
        <f>IF(Z$292&gt;$G705,0,((Z713+Z716)/2)*$G704*'II. Inputs, Baseline Energy Mix'!$S$86/10000)</f>
        <v>0</v>
      </c>
      <c r="AA721" s="1582">
        <f>IF(AA$292&gt;$G705,0,((AA713+AA716)/2)*$G704*'II. Inputs, Baseline Energy Mix'!$S$86/10000)</f>
        <v>0</v>
      </c>
      <c r="AB721" s="1582">
        <f>IF(AB$292&gt;$G705,0,((AB713+AB716)/2)*$G704*'II. Inputs, Baseline Energy Mix'!$S$86/10000)</f>
        <v>0</v>
      </c>
      <c r="AC721" s="1582">
        <f>IF(AC$292&gt;$G705,0,((AC713+AC716)/2)*$G704*'II. Inputs, Baseline Energy Mix'!$S$86/10000)</f>
        <v>0</v>
      </c>
      <c r="AD721" s="1582">
        <f>IF(AD$292&gt;$G705,0,((AD713+AD716)/2)*$G704*'II. Inputs, Baseline Energy Mix'!$S$86/10000)</f>
        <v>0</v>
      </c>
      <c r="AE721" s="1582">
        <f>IF(AE$292&gt;$G705,0,((AE713+AE716)/2)*$G704*'II. Inputs, Baseline Energy Mix'!$S$86/10000)</f>
        <v>0</v>
      </c>
      <c r="AF721" s="1582">
        <f>IF(AF$292&gt;$G705,0,((AF713+AF716)/2)*$G704*'II. Inputs, Baseline Energy Mix'!$S$86/10000)</f>
        <v>0</v>
      </c>
      <c r="AG721" s="1582">
        <f>IF(AG$292&gt;$G705,0,((AG713+AG716)/2)*$G704*'II. Inputs, Baseline Energy Mix'!$S$86/10000)</f>
        <v>0</v>
      </c>
      <c r="AH721" s="1582">
        <f>IF(AH$292&gt;$G705,0,((AH713+AH716)/2)*$G704*'II. Inputs, Baseline Energy Mix'!$S$86/10000)</f>
        <v>0</v>
      </c>
      <c r="AI721" s="1582">
        <f>IF(AI$292&gt;$G705,0,((AI713+AI716)/2)*$G704*'II. Inputs, Baseline Energy Mix'!$S$86/10000)</f>
        <v>0</v>
      </c>
      <c r="AJ721" s="1582">
        <f>IF(AJ$292&gt;$G705,0,((AJ713+AJ716)/2)*$G704*'II. Inputs, Baseline Energy Mix'!$S$86/10000)</f>
        <v>0</v>
      </c>
      <c r="AK721" s="1582">
        <f>IF(AK$292&gt;$G705,0,((AK713+AK716)/2)*$G704*'II. Inputs, Baseline Energy Mix'!$S$86/10000)</f>
        <v>0</v>
      </c>
      <c r="AL721" s="1582">
        <f>IF(AL$292&gt;$G705,0,((AL713+AL716)/2)*$G704*'II. Inputs, Baseline Energy Mix'!$S$86/10000)</f>
        <v>0</v>
      </c>
      <c r="AM721" s="1582">
        <f>IF(AM$292&gt;$G705,0,((AM713+AM716)/2)*$G704*'II. Inputs, Baseline Energy Mix'!$S$86/10000)</f>
        <v>0</v>
      </c>
      <c r="AN721" s="1582">
        <f>IF(AN$292&gt;$G705,0,((AN713+AN716)/2)*$G704*'II. Inputs, Baseline Energy Mix'!$S$86/10000)</f>
        <v>0</v>
      </c>
      <c r="AO721" s="1582">
        <f>IF(AO$292&gt;$G705,0,((AO713+AO716)/2)*$G704*'II. Inputs, Baseline Energy Mix'!$S$86/10000)</f>
        <v>0</v>
      </c>
      <c r="AP721" s="1582">
        <f>IF(AP$292&gt;$G705,0,((AP713+AP716)/2)*$G704*'II. Inputs, Baseline Energy Mix'!$S$86/10000)</f>
        <v>0</v>
      </c>
      <c r="AQ721" s="1582">
        <f>IF(AQ$292&gt;$G705,0,((AQ713+AQ716)/2)*$G704*'II. Inputs, Baseline Energy Mix'!$S$86/10000)</f>
        <v>0</v>
      </c>
      <c r="AR721" s="1582">
        <f>IF(AR$292&gt;$G705,0,((AR713+AR716)/2)*$G704*'II. Inputs, Baseline Energy Mix'!$S$86/10000)</f>
        <v>0</v>
      </c>
      <c r="AS721" s="1582">
        <f>IF(AS$292&gt;$G705,0,((AS713+AS716)/2)*$G704*'II. Inputs, Baseline Energy Mix'!$S$86/10000)</f>
        <v>0</v>
      </c>
      <c r="AT721" s="1582">
        <f>IF(AT$292&gt;$G705,0,((AT713+AT716)/2)*$G704*'II. Inputs, Baseline Energy Mix'!$S$86/10000)</f>
        <v>0</v>
      </c>
      <c r="AU721" s="1582">
        <f>IF(AU$292&gt;$G705,0,((AU713+AU716)/2)*$G704*'II. Inputs, Baseline Energy Mix'!$S$86/10000)</f>
        <v>0</v>
      </c>
      <c r="AV721" s="1582">
        <f>IF(AV$292&gt;$G705,0,((AV713+AV716)/2)*$G704*'II. Inputs, Baseline Energy Mix'!$S$86/10000)</f>
        <v>0</v>
      </c>
      <c r="AW721" s="1582">
        <f>IF(AW$292&gt;$G705,0,((AW713+AW716)/2)*$G704*'II. Inputs, Baseline Energy Mix'!$S$86/10000)</f>
        <v>0</v>
      </c>
      <c r="AX721" s="1582">
        <f>IF(AX$292&gt;$G705,0,((AX713+AX716)/2)*$G704*'II. Inputs, Baseline Energy Mix'!$S$86/10000)</f>
        <v>0</v>
      </c>
      <c r="AY721" s="1582">
        <f>IF(AY$292&gt;$G705,0,((AY713+AY716)/2)*$G704*'II. Inputs, Baseline Energy Mix'!$S$86/10000)</f>
        <v>0</v>
      </c>
      <c r="AZ721" s="1582">
        <f>IF(AZ$292&gt;$G705,0,((AZ713+AZ716)/2)*$G704*'II. Inputs, Baseline Energy Mix'!$S$86/10000)</f>
        <v>0</v>
      </c>
      <c r="BA721" s="1582">
        <f>IF(BA$292&gt;$G705,0,((BA713+BA716)/2)*$G704*'II. Inputs, Baseline Energy Mix'!$S$86/10000)</f>
        <v>0</v>
      </c>
      <c r="BB721" s="1582">
        <f>IF(BB$292&gt;$G705,0,((BB713+BB716)/2)*$G704*'II. Inputs, Baseline Energy Mix'!$S$86/10000)</f>
        <v>0</v>
      </c>
      <c r="BC721" s="1582">
        <f>IF(BC$292&gt;$G705,0,((BC713+BC716)/2)*$G704*'II. Inputs, Baseline Energy Mix'!$S$86/10000)</f>
        <v>0</v>
      </c>
      <c r="BD721" s="1582">
        <f>IF(BD$292&gt;$G705,0,((BD713+BD716)/2)*$G704*'II. Inputs, Baseline Energy Mix'!$S$86/10000)</f>
        <v>0</v>
      </c>
      <c r="BE721" s="1583">
        <f>IF(BE$292&gt;$G705,0,((BE713+BE716)/2)*$G704*'II. Inputs, Baseline Energy Mix'!$S$86/10000)</f>
        <v>0</v>
      </c>
      <c r="BF721" s="1168"/>
    </row>
    <row r="722" spans="1:58" x14ac:dyDescent="0.45">
      <c r="A722" s="695"/>
      <c r="B722" s="974"/>
      <c r="C722" s="975"/>
      <c r="D722" s="975"/>
      <c r="E722" s="975"/>
      <c r="F722" s="975"/>
      <c r="G722" s="975"/>
      <c r="H722" s="975"/>
      <c r="I722" s="975"/>
      <c r="J722" s="975"/>
      <c r="K722" s="975"/>
      <c r="L722" s="975"/>
      <c r="M722" s="975"/>
      <c r="N722" s="975"/>
      <c r="O722" s="975"/>
      <c r="P722" s="975"/>
      <c r="Q722" s="975"/>
      <c r="R722" s="975"/>
      <c r="S722" s="975"/>
      <c r="T722" s="975"/>
      <c r="U722" s="975"/>
      <c r="V722" s="975"/>
      <c r="W722" s="975"/>
      <c r="X722" s="975"/>
      <c r="Y722" s="975"/>
      <c r="Z722" s="975"/>
      <c r="AA722" s="975"/>
      <c r="AB722" s="975"/>
      <c r="AC722" s="975"/>
      <c r="AD722" s="975"/>
      <c r="AE722" s="975"/>
      <c r="AF722" s="975"/>
      <c r="AG722" s="975"/>
      <c r="AH722" s="975"/>
      <c r="AI722" s="975"/>
      <c r="AJ722" s="975"/>
      <c r="AK722" s="975"/>
      <c r="AL722" s="975"/>
      <c r="AM722" s="975"/>
      <c r="AN722" s="975"/>
      <c r="AO722" s="975"/>
      <c r="AP722" s="975"/>
      <c r="AQ722" s="975"/>
      <c r="AR722" s="975"/>
      <c r="AS722" s="975"/>
      <c r="AT722" s="975"/>
      <c r="AU722" s="975"/>
      <c r="AV722" s="975"/>
      <c r="AW722" s="975"/>
      <c r="AX722" s="975"/>
      <c r="AY722" s="975"/>
      <c r="AZ722" s="975"/>
      <c r="BA722" s="975"/>
      <c r="BB722" s="975"/>
      <c r="BC722" s="975"/>
      <c r="BD722" s="975"/>
      <c r="BE722" s="976"/>
      <c r="BF722" s="695"/>
    </row>
    <row r="723" spans="1:58" ht="13.15" x14ac:dyDescent="0.45">
      <c r="A723" s="695"/>
      <c r="B723" s="988" t="s">
        <v>152</v>
      </c>
      <c r="C723" s="975"/>
      <c r="D723" s="975"/>
      <c r="E723" s="975"/>
      <c r="F723" s="975"/>
      <c r="G723" s="975"/>
      <c r="H723" s="975"/>
      <c r="I723" s="975"/>
      <c r="J723" s="975"/>
      <c r="K723" s="975"/>
      <c r="L723" s="975"/>
      <c r="M723" s="975"/>
      <c r="N723" s="975"/>
      <c r="O723" s="975"/>
      <c r="P723" s="975"/>
      <c r="Q723" s="975"/>
      <c r="R723" s="975"/>
      <c r="S723" s="975"/>
      <c r="T723" s="975"/>
      <c r="U723" s="975"/>
      <c r="V723" s="975"/>
      <c r="W723" s="975"/>
      <c r="X723" s="975"/>
      <c r="Y723" s="975"/>
      <c r="Z723" s="975"/>
      <c r="AA723" s="975"/>
      <c r="AB723" s="975"/>
      <c r="AC723" s="975"/>
      <c r="AD723" s="975"/>
      <c r="AE723" s="975"/>
      <c r="AF723" s="975"/>
      <c r="AG723" s="975"/>
      <c r="AH723" s="975"/>
      <c r="AI723" s="975"/>
      <c r="AJ723" s="975"/>
      <c r="AK723" s="975"/>
      <c r="AL723" s="975"/>
      <c r="AM723" s="975"/>
      <c r="AN723" s="975"/>
      <c r="AO723" s="975"/>
      <c r="AP723" s="975"/>
      <c r="AQ723" s="975"/>
      <c r="AR723" s="975"/>
      <c r="AS723" s="975"/>
      <c r="AT723" s="975"/>
      <c r="AU723" s="975"/>
      <c r="AV723" s="975"/>
      <c r="AW723" s="975"/>
      <c r="AX723" s="975"/>
      <c r="AY723" s="975"/>
      <c r="AZ723" s="975"/>
      <c r="BA723" s="975"/>
      <c r="BB723" s="975"/>
      <c r="BC723" s="975"/>
      <c r="BD723" s="975"/>
      <c r="BE723" s="976"/>
      <c r="BF723" s="695"/>
    </row>
    <row r="724" spans="1:58" x14ac:dyDescent="0.45">
      <c r="A724" s="695"/>
      <c r="B724" s="974"/>
      <c r="C724" s="1051" t="s">
        <v>61</v>
      </c>
      <c r="D724" s="975"/>
      <c r="E724" s="975"/>
      <c r="F724" s="975"/>
      <c r="G724" s="1582">
        <f>IF('II. Inputs, Baseline Energy Mix'!$S$19&gt;0,('II. Inputs, Baseline Energy Mix'!$S$20*'II. Inputs, Baseline Energy Mix'!$S$21*'II. Inputs, Baseline Energy Mix'!$S$36*'II. Inputs, Baseline Energy Mix'!$S$40),0)</f>
        <v>0</v>
      </c>
      <c r="H724" s="975"/>
      <c r="I724" s="975"/>
      <c r="J724" s="975"/>
      <c r="K724" s="975"/>
      <c r="L724" s="975"/>
      <c r="M724" s="975"/>
      <c r="N724" s="975"/>
      <c r="O724" s="975"/>
      <c r="P724" s="975"/>
      <c r="Q724" s="975"/>
      <c r="R724" s="975"/>
      <c r="S724" s="975"/>
      <c r="T724" s="975"/>
      <c r="U724" s="975"/>
      <c r="V724" s="975"/>
      <c r="W724" s="975"/>
      <c r="X724" s="975"/>
      <c r="Y724" s="975"/>
      <c r="Z724" s="975"/>
      <c r="AA724" s="975"/>
      <c r="AB724" s="975"/>
      <c r="AC724" s="975"/>
      <c r="AD724" s="975"/>
      <c r="AE724" s="975"/>
      <c r="AF724" s="975"/>
      <c r="AG724" s="975"/>
      <c r="AH724" s="975"/>
      <c r="AI724" s="975"/>
      <c r="AJ724" s="975"/>
      <c r="AK724" s="975"/>
      <c r="AL724" s="975"/>
      <c r="AM724" s="975"/>
      <c r="AN724" s="975"/>
      <c r="AO724" s="975"/>
      <c r="AP724" s="975"/>
      <c r="AQ724" s="975"/>
      <c r="AR724" s="975"/>
      <c r="AS724" s="975"/>
      <c r="AT724" s="975"/>
      <c r="AU724" s="975"/>
      <c r="AV724" s="975"/>
      <c r="AW724" s="975"/>
      <c r="AX724" s="975"/>
      <c r="AY724" s="975"/>
      <c r="AZ724" s="975"/>
      <c r="BA724" s="975"/>
      <c r="BB724" s="975"/>
      <c r="BC724" s="975"/>
      <c r="BD724" s="975"/>
      <c r="BE724" s="976"/>
      <c r="BF724" s="695"/>
    </row>
    <row r="725" spans="1:58" x14ac:dyDescent="0.45">
      <c r="A725" s="695"/>
      <c r="B725" s="974"/>
      <c r="C725" s="1051" t="s">
        <v>62</v>
      </c>
      <c r="D725" s="975"/>
      <c r="E725" s="975"/>
      <c r="F725" s="975"/>
      <c r="G725" s="977">
        <f>SUM('II. Inputs, Baseline Energy Mix'!$S$52)</f>
        <v>0</v>
      </c>
      <c r="H725" s="975"/>
      <c r="I725" s="975"/>
      <c r="J725" s="975"/>
      <c r="K725" s="975"/>
      <c r="L725" s="975"/>
      <c r="M725" s="975"/>
      <c r="N725" s="975"/>
      <c r="O725" s="975"/>
      <c r="P725" s="975"/>
      <c r="Q725" s="975"/>
      <c r="R725" s="975"/>
      <c r="S725" s="975"/>
      <c r="T725" s="975"/>
      <c r="U725" s="975"/>
      <c r="V725" s="975"/>
      <c r="W725" s="975"/>
      <c r="X725" s="975"/>
      <c r="Y725" s="975"/>
      <c r="Z725" s="975"/>
      <c r="AA725" s="975"/>
      <c r="AB725" s="975"/>
      <c r="AC725" s="975"/>
      <c r="AD725" s="975"/>
      <c r="AE725" s="975"/>
      <c r="AF725" s="975"/>
      <c r="AG725" s="975"/>
      <c r="AH725" s="975"/>
      <c r="AI725" s="975"/>
      <c r="AJ725" s="975"/>
      <c r="AK725" s="975"/>
      <c r="AL725" s="975"/>
      <c r="AM725" s="975"/>
      <c r="AN725" s="975"/>
      <c r="AO725" s="975"/>
      <c r="AP725" s="975"/>
      <c r="AQ725" s="975"/>
      <c r="AR725" s="975"/>
      <c r="AS725" s="975"/>
      <c r="AT725" s="975"/>
      <c r="AU725" s="975"/>
      <c r="AV725" s="975"/>
      <c r="AW725" s="975"/>
      <c r="AX725" s="975"/>
      <c r="AY725" s="975"/>
      <c r="AZ725" s="975"/>
      <c r="BA725" s="975"/>
      <c r="BB725" s="975"/>
      <c r="BC725" s="975"/>
      <c r="BD725" s="975"/>
      <c r="BE725" s="976"/>
      <c r="BF725" s="695"/>
    </row>
    <row r="726" spans="1:58" x14ac:dyDescent="0.45">
      <c r="A726" s="695"/>
      <c r="B726" s="974"/>
      <c r="C726" s="1051" t="s">
        <v>63</v>
      </c>
      <c r="D726" s="975"/>
      <c r="E726" s="975"/>
      <c r="F726" s="975"/>
      <c r="G726" s="1055">
        <f>SUM('II. Inputs, Baseline Energy Mix'!$S$47)</f>
        <v>0</v>
      </c>
      <c r="H726" s="975"/>
      <c r="I726" s="975"/>
      <c r="J726" s="975"/>
      <c r="K726" s="975"/>
      <c r="L726" s="975"/>
      <c r="M726" s="975"/>
      <c r="N726" s="975"/>
      <c r="O726" s="975"/>
      <c r="P726" s="975"/>
      <c r="Q726" s="975"/>
      <c r="R726" s="975"/>
      <c r="S726" s="975"/>
      <c r="T726" s="975"/>
      <c r="U726" s="975"/>
      <c r="V726" s="975"/>
      <c r="W726" s="975"/>
      <c r="X726" s="975"/>
      <c r="Y726" s="975"/>
      <c r="Z726" s="975"/>
      <c r="AA726" s="975"/>
      <c r="AB726" s="975"/>
      <c r="AC726" s="975"/>
      <c r="AD726" s="975"/>
      <c r="AE726" s="975"/>
      <c r="AF726" s="975"/>
      <c r="AG726" s="975"/>
      <c r="AH726" s="975"/>
      <c r="AI726" s="975"/>
      <c r="AJ726" s="975"/>
      <c r="AK726" s="975"/>
      <c r="AL726" s="975"/>
      <c r="AM726" s="975"/>
      <c r="AN726" s="975"/>
      <c r="AO726" s="975"/>
      <c r="AP726" s="975"/>
      <c r="AQ726" s="975"/>
      <c r="AR726" s="975"/>
      <c r="AS726" s="975"/>
      <c r="AT726" s="975"/>
      <c r="AU726" s="975"/>
      <c r="AV726" s="975"/>
      <c r="AW726" s="975"/>
      <c r="AX726" s="975"/>
      <c r="AY726" s="975"/>
      <c r="AZ726" s="975"/>
      <c r="BA726" s="975"/>
      <c r="BB726" s="975"/>
      <c r="BC726" s="975"/>
      <c r="BD726" s="975"/>
      <c r="BE726" s="976"/>
      <c r="BF726" s="695"/>
    </row>
    <row r="727" spans="1:58" x14ac:dyDescent="0.45">
      <c r="A727" s="695"/>
      <c r="B727" s="974"/>
      <c r="C727" s="975"/>
      <c r="D727" s="975"/>
      <c r="E727" s="975"/>
      <c r="F727" s="975"/>
      <c r="G727" s="975"/>
      <c r="H727" s="975"/>
      <c r="I727" s="975"/>
      <c r="J727" s="975"/>
      <c r="K727" s="975"/>
      <c r="L727" s="975"/>
      <c r="M727" s="975"/>
      <c r="N727" s="975"/>
      <c r="O727" s="975"/>
      <c r="P727" s="975"/>
      <c r="Q727" s="975"/>
      <c r="R727" s="975"/>
      <c r="S727" s="975"/>
      <c r="T727" s="975"/>
      <c r="U727" s="975"/>
      <c r="V727" s="975"/>
      <c r="W727" s="975"/>
      <c r="X727" s="975"/>
      <c r="Y727" s="975"/>
      <c r="Z727" s="975"/>
      <c r="AA727" s="975"/>
      <c r="AB727" s="975"/>
      <c r="AC727" s="975"/>
      <c r="AD727" s="975"/>
      <c r="AE727" s="975"/>
      <c r="AF727" s="975"/>
      <c r="AG727" s="975"/>
      <c r="AH727" s="975"/>
      <c r="AI727" s="975"/>
      <c r="AJ727" s="975"/>
      <c r="AK727" s="975"/>
      <c r="AL727" s="975"/>
      <c r="AM727" s="975"/>
      <c r="AN727" s="975"/>
      <c r="AO727" s="975"/>
      <c r="AP727" s="975"/>
      <c r="AQ727" s="975"/>
      <c r="AR727" s="975"/>
      <c r="AS727" s="975"/>
      <c r="AT727" s="975"/>
      <c r="AU727" s="975"/>
      <c r="AV727" s="975"/>
      <c r="AW727" s="975"/>
      <c r="AX727" s="975"/>
      <c r="AY727" s="975"/>
      <c r="AZ727" s="975"/>
      <c r="BA727" s="975"/>
      <c r="BB727" s="975"/>
      <c r="BC727" s="975"/>
      <c r="BD727" s="975"/>
      <c r="BE727" s="976"/>
      <c r="BF727" s="695"/>
    </row>
    <row r="728" spans="1:58" x14ac:dyDescent="0.45">
      <c r="A728" s="695"/>
      <c r="B728" s="974"/>
      <c r="C728" s="1053" t="s">
        <v>60</v>
      </c>
      <c r="D728" s="975"/>
      <c r="E728" s="975"/>
      <c r="F728" s="975"/>
      <c r="G728" s="975"/>
      <c r="H728" s="975"/>
      <c r="I728" s="975"/>
      <c r="J728" s="975"/>
      <c r="K728" s="975"/>
      <c r="L728" s="975"/>
      <c r="M728" s="975"/>
      <c r="N728" s="975"/>
      <c r="O728" s="975"/>
      <c r="P728" s="975"/>
      <c r="Q728" s="975"/>
      <c r="R728" s="975"/>
      <c r="S728" s="975"/>
      <c r="T728" s="975"/>
      <c r="U728" s="975"/>
      <c r="V728" s="975"/>
      <c r="W728" s="975"/>
      <c r="X728" s="975"/>
      <c r="Y728" s="975"/>
      <c r="Z728" s="975"/>
      <c r="AA728" s="975"/>
      <c r="AB728" s="975"/>
      <c r="AC728" s="975"/>
      <c r="AD728" s="975"/>
      <c r="AE728" s="975"/>
      <c r="AF728" s="975"/>
      <c r="AG728" s="975"/>
      <c r="AH728" s="975"/>
      <c r="AI728" s="975"/>
      <c r="AJ728" s="975"/>
      <c r="AK728" s="975"/>
      <c r="AL728" s="975"/>
      <c r="AM728" s="975"/>
      <c r="AN728" s="975"/>
      <c r="AO728" s="975"/>
      <c r="AP728" s="975"/>
      <c r="AQ728" s="975"/>
      <c r="AR728" s="975"/>
      <c r="AS728" s="975"/>
      <c r="AT728" s="975"/>
      <c r="AU728" s="975"/>
      <c r="AV728" s="975"/>
      <c r="AW728" s="975"/>
      <c r="AX728" s="975"/>
      <c r="AY728" s="975"/>
      <c r="AZ728" s="975"/>
      <c r="BA728" s="975"/>
      <c r="BB728" s="975"/>
      <c r="BC728" s="975"/>
      <c r="BD728" s="975"/>
      <c r="BE728" s="976"/>
      <c r="BF728" s="695"/>
    </row>
    <row r="729" spans="1:58" x14ac:dyDescent="0.45">
      <c r="A729" s="695"/>
      <c r="B729" s="974"/>
      <c r="C729" s="975" t="s">
        <v>66</v>
      </c>
      <c r="D729" s="975"/>
      <c r="E729" s="975"/>
      <c r="F729" s="975"/>
      <c r="G729" s="1582"/>
      <c r="H729" s="1582">
        <f>IF(H$292&gt;$G725,0,IPMT($G726,H$292,$G725,-$G724))</f>
        <v>0</v>
      </c>
      <c r="I729" s="1582">
        <f t="shared" ref="I729:BE729" si="245">IF(I$292&gt;$G725,0,IPMT($G726,I$292,$G725,-$G724))</f>
        <v>0</v>
      </c>
      <c r="J729" s="1582">
        <f t="shared" si="245"/>
        <v>0</v>
      </c>
      <c r="K729" s="1582">
        <f t="shared" si="245"/>
        <v>0</v>
      </c>
      <c r="L729" s="1582">
        <f t="shared" si="245"/>
        <v>0</v>
      </c>
      <c r="M729" s="1582">
        <f t="shared" si="245"/>
        <v>0</v>
      </c>
      <c r="N729" s="1582">
        <f t="shared" si="245"/>
        <v>0</v>
      </c>
      <c r="O729" s="1582">
        <f t="shared" si="245"/>
        <v>0</v>
      </c>
      <c r="P729" s="1582">
        <f t="shared" si="245"/>
        <v>0</v>
      </c>
      <c r="Q729" s="1582">
        <f t="shared" si="245"/>
        <v>0</v>
      </c>
      <c r="R729" s="1582">
        <f t="shared" si="245"/>
        <v>0</v>
      </c>
      <c r="S729" s="1582">
        <f t="shared" si="245"/>
        <v>0</v>
      </c>
      <c r="T729" s="1582">
        <f t="shared" si="245"/>
        <v>0</v>
      </c>
      <c r="U729" s="1582">
        <f t="shared" si="245"/>
        <v>0</v>
      </c>
      <c r="V729" s="1582">
        <f t="shared" si="245"/>
        <v>0</v>
      </c>
      <c r="W729" s="1582">
        <f t="shared" si="245"/>
        <v>0</v>
      </c>
      <c r="X729" s="1582">
        <f t="shared" si="245"/>
        <v>0</v>
      </c>
      <c r="Y729" s="1582">
        <f t="shared" si="245"/>
        <v>0</v>
      </c>
      <c r="Z729" s="1582">
        <f t="shared" si="245"/>
        <v>0</v>
      </c>
      <c r="AA729" s="1582">
        <f t="shared" si="245"/>
        <v>0</v>
      </c>
      <c r="AB729" s="1582">
        <f t="shared" si="245"/>
        <v>0</v>
      </c>
      <c r="AC729" s="1582">
        <f t="shared" si="245"/>
        <v>0</v>
      </c>
      <c r="AD729" s="1582">
        <f t="shared" si="245"/>
        <v>0</v>
      </c>
      <c r="AE729" s="1582">
        <f t="shared" si="245"/>
        <v>0</v>
      </c>
      <c r="AF729" s="1582">
        <f t="shared" si="245"/>
        <v>0</v>
      </c>
      <c r="AG729" s="1582">
        <f t="shared" si="245"/>
        <v>0</v>
      </c>
      <c r="AH729" s="1582">
        <f t="shared" si="245"/>
        <v>0</v>
      </c>
      <c r="AI729" s="1582">
        <f t="shared" si="245"/>
        <v>0</v>
      </c>
      <c r="AJ729" s="1582">
        <f t="shared" si="245"/>
        <v>0</v>
      </c>
      <c r="AK729" s="1582">
        <f t="shared" si="245"/>
        <v>0</v>
      </c>
      <c r="AL729" s="1582">
        <f t="shared" si="245"/>
        <v>0</v>
      </c>
      <c r="AM729" s="1582">
        <f t="shared" si="245"/>
        <v>0</v>
      </c>
      <c r="AN729" s="1582">
        <f t="shared" si="245"/>
        <v>0</v>
      </c>
      <c r="AO729" s="1582">
        <f t="shared" si="245"/>
        <v>0</v>
      </c>
      <c r="AP729" s="1582">
        <f t="shared" si="245"/>
        <v>0</v>
      </c>
      <c r="AQ729" s="1582">
        <f t="shared" si="245"/>
        <v>0</v>
      </c>
      <c r="AR729" s="1582">
        <f t="shared" si="245"/>
        <v>0</v>
      </c>
      <c r="AS729" s="1582">
        <f t="shared" si="245"/>
        <v>0</v>
      </c>
      <c r="AT729" s="1582">
        <f t="shared" si="245"/>
        <v>0</v>
      </c>
      <c r="AU729" s="1582">
        <f t="shared" si="245"/>
        <v>0</v>
      </c>
      <c r="AV729" s="1582">
        <f t="shared" si="245"/>
        <v>0</v>
      </c>
      <c r="AW729" s="1582">
        <f t="shared" si="245"/>
        <v>0</v>
      </c>
      <c r="AX729" s="1582">
        <f t="shared" si="245"/>
        <v>0</v>
      </c>
      <c r="AY729" s="1582">
        <f t="shared" si="245"/>
        <v>0</v>
      </c>
      <c r="AZ729" s="1582">
        <f t="shared" si="245"/>
        <v>0</v>
      </c>
      <c r="BA729" s="1582">
        <f t="shared" si="245"/>
        <v>0</v>
      </c>
      <c r="BB729" s="1582">
        <f t="shared" si="245"/>
        <v>0</v>
      </c>
      <c r="BC729" s="1582">
        <f t="shared" si="245"/>
        <v>0</v>
      </c>
      <c r="BD729" s="1582">
        <f t="shared" si="245"/>
        <v>0</v>
      </c>
      <c r="BE729" s="1583">
        <f t="shared" si="245"/>
        <v>0</v>
      </c>
      <c r="BF729" s="695"/>
    </row>
    <row r="730" spans="1:58" x14ac:dyDescent="0.45">
      <c r="A730" s="695"/>
      <c r="B730" s="974"/>
      <c r="C730" s="982" t="s">
        <v>65</v>
      </c>
      <c r="D730" s="982"/>
      <c r="E730" s="982"/>
      <c r="F730" s="982"/>
      <c r="G730" s="1584"/>
      <c r="H730" s="1584">
        <f>IF(H$292&gt;$G725,0,PPMT($G726,H$292,$G725,-$G724))</f>
        <v>0</v>
      </c>
      <c r="I730" s="1584">
        <f t="shared" ref="I730:BE730" si="246">IF(I$292&gt;$G725,0,PPMT($G726,I$292,$G725,-$G724))</f>
        <v>0</v>
      </c>
      <c r="J730" s="1584">
        <f t="shared" si="246"/>
        <v>0</v>
      </c>
      <c r="K730" s="1584">
        <f t="shared" si="246"/>
        <v>0</v>
      </c>
      <c r="L730" s="1584">
        <f t="shared" si="246"/>
        <v>0</v>
      </c>
      <c r="M730" s="1584">
        <f t="shared" si="246"/>
        <v>0</v>
      </c>
      <c r="N730" s="1584">
        <f t="shared" si="246"/>
        <v>0</v>
      </c>
      <c r="O730" s="1584">
        <f t="shared" si="246"/>
        <v>0</v>
      </c>
      <c r="P730" s="1584">
        <f t="shared" si="246"/>
        <v>0</v>
      </c>
      <c r="Q730" s="1584">
        <f t="shared" si="246"/>
        <v>0</v>
      </c>
      <c r="R730" s="1584">
        <f t="shared" si="246"/>
        <v>0</v>
      </c>
      <c r="S730" s="1584">
        <f t="shared" si="246"/>
        <v>0</v>
      </c>
      <c r="T730" s="1584">
        <f t="shared" si="246"/>
        <v>0</v>
      </c>
      <c r="U730" s="1584">
        <f t="shared" si="246"/>
        <v>0</v>
      </c>
      <c r="V730" s="1584">
        <f t="shared" si="246"/>
        <v>0</v>
      </c>
      <c r="W730" s="1584">
        <f t="shared" si="246"/>
        <v>0</v>
      </c>
      <c r="X730" s="1584">
        <f t="shared" si="246"/>
        <v>0</v>
      </c>
      <c r="Y730" s="1584">
        <f t="shared" si="246"/>
        <v>0</v>
      </c>
      <c r="Z730" s="1584">
        <f t="shared" si="246"/>
        <v>0</v>
      </c>
      <c r="AA730" s="1584">
        <f t="shared" si="246"/>
        <v>0</v>
      </c>
      <c r="AB730" s="1584">
        <f t="shared" si="246"/>
        <v>0</v>
      </c>
      <c r="AC730" s="1584">
        <f t="shared" si="246"/>
        <v>0</v>
      </c>
      <c r="AD730" s="1584">
        <f t="shared" si="246"/>
        <v>0</v>
      </c>
      <c r="AE730" s="1584">
        <f t="shared" si="246"/>
        <v>0</v>
      </c>
      <c r="AF730" s="1584">
        <f t="shared" si="246"/>
        <v>0</v>
      </c>
      <c r="AG730" s="1584">
        <f t="shared" si="246"/>
        <v>0</v>
      </c>
      <c r="AH730" s="1584">
        <f t="shared" si="246"/>
        <v>0</v>
      </c>
      <c r="AI730" s="1584">
        <f t="shared" si="246"/>
        <v>0</v>
      </c>
      <c r="AJ730" s="1584">
        <f t="shared" si="246"/>
        <v>0</v>
      </c>
      <c r="AK730" s="1584">
        <f t="shared" si="246"/>
        <v>0</v>
      </c>
      <c r="AL730" s="1584">
        <f t="shared" si="246"/>
        <v>0</v>
      </c>
      <c r="AM730" s="1584">
        <f t="shared" si="246"/>
        <v>0</v>
      </c>
      <c r="AN730" s="1584">
        <f t="shared" si="246"/>
        <v>0</v>
      </c>
      <c r="AO730" s="1584">
        <f t="shared" si="246"/>
        <v>0</v>
      </c>
      <c r="AP730" s="1584">
        <f t="shared" si="246"/>
        <v>0</v>
      </c>
      <c r="AQ730" s="1584">
        <f t="shared" si="246"/>
        <v>0</v>
      </c>
      <c r="AR730" s="1584">
        <f t="shared" si="246"/>
        <v>0</v>
      </c>
      <c r="AS730" s="1584">
        <f t="shared" si="246"/>
        <v>0</v>
      </c>
      <c r="AT730" s="1584">
        <f t="shared" si="246"/>
        <v>0</v>
      </c>
      <c r="AU730" s="1584">
        <f t="shared" si="246"/>
        <v>0</v>
      </c>
      <c r="AV730" s="1584">
        <f t="shared" si="246"/>
        <v>0</v>
      </c>
      <c r="AW730" s="1584">
        <f t="shared" si="246"/>
        <v>0</v>
      </c>
      <c r="AX730" s="1584">
        <f t="shared" si="246"/>
        <v>0</v>
      </c>
      <c r="AY730" s="1584">
        <f t="shared" si="246"/>
        <v>0</v>
      </c>
      <c r="AZ730" s="1584">
        <f t="shared" si="246"/>
        <v>0</v>
      </c>
      <c r="BA730" s="1584">
        <f t="shared" si="246"/>
        <v>0</v>
      </c>
      <c r="BB730" s="1584">
        <f t="shared" si="246"/>
        <v>0</v>
      </c>
      <c r="BC730" s="1584">
        <f t="shared" si="246"/>
        <v>0</v>
      </c>
      <c r="BD730" s="1584">
        <f t="shared" si="246"/>
        <v>0</v>
      </c>
      <c r="BE730" s="1585">
        <f t="shared" si="246"/>
        <v>0</v>
      </c>
      <c r="BF730" s="695"/>
    </row>
    <row r="731" spans="1:58" x14ac:dyDescent="0.45">
      <c r="A731" s="695"/>
      <c r="B731" s="974"/>
      <c r="C731" s="975" t="s">
        <v>67</v>
      </c>
      <c r="D731" s="975"/>
      <c r="E731" s="975"/>
      <c r="F731" s="975"/>
      <c r="G731" s="1582"/>
      <c r="H731" s="1582">
        <f>SUM(H729:H730)</f>
        <v>0</v>
      </c>
      <c r="I731" s="1582">
        <f t="shared" ref="I731:BE731" si="247">SUM(I729:I730)</f>
        <v>0</v>
      </c>
      <c r="J731" s="1582">
        <f t="shared" si="247"/>
        <v>0</v>
      </c>
      <c r="K731" s="1582">
        <f t="shared" si="247"/>
        <v>0</v>
      </c>
      <c r="L731" s="1582">
        <f t="shared" si="247"/>
        <v>0</v>
      </c>
      <c r="M731" s="1582">
        <f t="shared" si="247"/>
        <v>0</v>
      </c>
      <c r="N731" s="1582">
        <f t="shared" si="247"/>
        <v>0</v>
      </c>
      <c r="O731" s="1582">
        <f t="shared" si="247"/>
        <v>0</v>
      </c>
      <c r="P731" s="1582">
        <f t="shared" si="247"/>
        <v>0</v>
      </c>
      <c r="Q731" s="1582">
        <f t="shared" si="247"/>
        <v>0</v>
      </c>
      <c r="R731" s="1582">
        <f t="shared" si="247"/>
        <v>0</v>
      </c>
      <c r="S731" s="1582">
        <f t="shared" si="247"/>
        <v>0</v>
      </c>
      <c r="T731" s="1582">
        <f t="shared" si="247"/>
        <v>0</v>
      </c>
      <c r="U731" s="1582">
        <f t="shared" si="247"/>
        <v>0</v>
      </c>
      <c r="V731" s="1582">
        <f t="shared" si="247"/>
        <v>0</v>
      </c>
      <c r="W731" s="1582">
        <f t="shared" si="247"/>
        <v>0</v>
      </c>
      <c r="X731" s="1582">
        <f t="shared" si="247"/>
        <v>0</v>
      </c>
      <c r="Y731" s="1582">
        <f t="shared" si="247"/>
        <v>0</v>
      </c>
      <c r="Z731" s="1582">
        <f t="shared" si="247"/>
        <v>0</v>
      </c>
      <c r="AA731" s="1582">
        <f t="shared" si="247"/>
        <v>0</v>
      </c>
      <c r="AB731" s="1582">
        <f t="shared" si="247"/>
        <v>0</v>
      </c>
      <c r="AC731" s="1582">
        <f t="shared" si="247"/>
        <v>0</v>
      </c>
      <c r="AD731" s="1582">
        <f t="shared" si="247"/>
        <v>0</v>
      </c>
      <c r="AE731" s="1582">
        <f t="shared" si="247"/>
        <v>0</v>
      </c>
      <c r="AF731" s="1582">
        <f t="shared" si="247"/>
        <v>0</v>
      </c>
      <c r="AG731" s="1582">
        <f t="shared" si="247"/>
        <v>0</v>
      </c>
      <c r="AH731" s="1582">
        <f t="shared" si="247"/>
        <v>0</v>
      </c>
      <c r="AI731" s="1582">
        <f t="shared" si="247"/>
        <v>0</v>
      </c>
      <c r="AJ731" s="1582">
        <f t="shared" si="247"/>
        <v>0</v>
      </c>
      <c r="AK731" s="1582">
        <f t="shared" si="247"/>
        <v>0</v>
      </c>
      <c r="AL731" s="1582">
        <f t="shared" si="247"/>
        <v>0</v>
      </c>
      <c r="AM731" s="1582">
        <f t="shared" si="247"/>
        <v>0</v>
      </c>
      <c r="AN731" s="1582">
        <f t="shared" si="247"/>
        <v>0</v>
      </c>
      <c r="AO731" s="1582">
        <f t="shared" si="247"/>
        <v>0</v>
      </c>
      <c r="AP731" s="1582">
        <f t="shared" si="247"/>
        <v>0</v>
      </c>
      <c r="AQ731" s="1582">
        <f t="shared" si="247"/>
        <v>0</v>
      </c>
      <c r="AR731" s="1582">
        <f t="shared" si="247"/>
        <v>0</v>
      </c>
      <c r="AS731" s="1582">
        <f t="shared" si="247"/>
        <v>0</v>
      </c>
      <c r="AT731" s="1582">
        <f t="shared" si="247"/>
        <v>0</v>
      </c>
      <c r="AU731" s="1582">
        <f t="shared" si="247"/>
        <v>0</v>
      </c>
      <c r="AV731" s="1582">
        <f t="shared" si="247"/>
        <v>0</v>
      </c>
      <c r="AW731" s="1582">
        <f t="shared" si="247"/>
        <v>0</v>
      </c>
      <c r="AX731" s="1582">
        <f t="shared" si="247"/>
        <v>0</v>
      </c>
      <c r="AY731" s="1582">
        <f t="shared" si="247"/>
        <v>0</v>
      </c>
      <c r="AZ731" s="1582">
        <f t="shared" si="247"/>
        <v>0</v>
      </c>
      <c r="BA731" s="1582">
        <f t="shared" si="247"/>
        <v>0</v>
      </c>
      <c r="BB731" s="1582">
        <f t="shared" si="247"/>
        <v>0</v>
      </c>
      <c r="BC731" s="1582">
        <f t="shared" si="247"/>
        <v>0</v>
      </c>
      <c r="BD731" s="1582">
        <f t="shared" si="247"/>
        <v>0</v>
      </c>
      <c r="BE731" s="1583">
        <f t="shared" si="247"/>
        <v>0</v>
      </c>
      <c r="BF731" s="695"/>
    </row>
    <row r="732" spans="1:58" x14ac:dyDescent="0.45">
      <c r="A732" s="695"/>
      <c r="B732" s="974"/>
      <c r="C732" s="975"/>
      <c r="D732" s="975"/>
      <c r="E732" s="975"/>
      <c r="F732" s="975"/>
      <c r="G732" s="1582"/>
      <c r="H732" s="1582"/>
      <c r="I732" s="1582"/>
      <c r="J732" s="1582"/>
      <c r="K732" s="1582"/>
      <c r="L732" s="1582"/>
      <c r="M732" s="1582"/>
      <c r="N732" s="1582"/>
      <c r="O732" s="1582"/>
      <c r="P732" s="1582"/>
      <c r="Q732" s="1582"/>
      <c r="R732" s="1582"/>
      <c r="S732" s="1582"/>
      <c r="T732" s="1582"/>
      <c r="U732" s="1582"/>
      <c r="V732" s="1582"/>
      <c r="W732" s="1582"/>
      <c r="X732" s="1582"/>
      <c r="Y732" s="1582"/>
      <c r="Z732" s="1582"/>
      <c r="AA732" s="1582"/>
      <c r="AB732" s="1582"/>
      <c r="AC732" s="1582"/>
      <c r="AD732" s="1582"/>
      <c r="AE732" s="1582"/>
      <c r="AF732" s="1582"/>
      <c r="AG732" s="1582"/>
      <c r="AH732" s="1582"/>
      <c r="AI732" s="1582"/>
      <c r="AJ732" s="1582"/>
      <c r="AK732" s="1582"/>
      <c r="AL732" s="1582"/>
      <c r="AM732" s="1582"/>
      <c r="AN732" s="1582"/>
      <c r="AO732" s="1582"/>
      <c r="AP732" s="1582"/>
      <c r="AQ732" s="1582"/>
      <c r="AR732" s="1582"/>
      <c r="AS732" s="1582"/>
      <c r="AT732" s="1582"/>
      <c r="AU732" s="1582"/>
      <c r="AV732" s="1582"/>
      <c r="AW732" s="1582"/>
      <c r="AX732" s="1582"/>
      <c r="AY732" s="1582"/>
      <c r="AZ732" s="1582"/>
      <c r="BA732" s="1582"/>
      <c r="BB732" s="1582"/>
      <c r="BC732" s="1582"/>
      <c r="BD732" s="1582"/>
      <c r="BE732" s="1583"/>
      <c r="BF732" s="695"/>
    </row>
    <row r="733" spans="1:58" x14ac:dyDescent="0.45">
      <c r="A733" s="695"/>
      <c r="B733" s="974"/>
      <c r="C733" s="1054" t="s">
        <v>58</v>
      </c>
      <c r="D733" s="975"/>
      <c r="E733" s="975"/>
      <c r="F733" s="975"/>
      <c r="G733" s="1582"/>
      <c r="H733" s="1582"/>
      <c r="I733" s="1582"/>
      <c r="J733" s="1582"/>
      <c r="K733" s="1582"/>
      <c r="L733" s="1582"/>
      <c r="M733" s="1582"/>
      <c r="N733" s="1582"/>
      <c r="O733" s="1582"/>
      <c r="P733" s="1582"/>
      <c r="Q733" s="1582"/>
      <c r="R733" s="1582"/>
      <c r="S733" s="1582"/>
      <c r="T733" s="1582"/>
      <c r="U733" s="1582"/>
      <c r="V733" s="1582"/>
      <c r="W733" s="1582"/>
      <c r="X733" s="1582"/>
      <c r="Y733" s="1582"/>
      <c r="Z733" s="1582"/>
      <c r="AA733" s="1582"/>
      <c r="AB733" s="1582"/>
      <c r="AC733" s="1582"/>
      <c r="AD733" s="1582"/>
      <c r="AE733" s="1582"/>
      <c r="AF733" s="1582"/>
      <c r="AG733" s="1582"/>
      <c r="AH733" s="1582"/>
      <c r="AI733" s="1582"/>
      <c r="AJ733" s="1582"/>
      <c r="AK733" s="1582"/>
      <c r="AL733" s="1582"/>
      <c r="AM733" s="1582"/>
      <c r="AN733" s="1582"/>
      <c r="AO733" s="1582"/>
      <c r="AP733" s="1582"/>
      <c r="AQ733" s="1582"/>
      <c r="AR733" s="1582"/>
      <c r="AS733" s="1582"/>
      <c r="AT733" s="1582"/>
      <c r="AU733" s="1582"/>
      <c r="AV733" s="1582"/>
      <c r="AW733" s="1582"/>
      <c r="AX733" s="1582"/>
      <c r="AY733" s="1582"/>
      <c r="AZ733" s="1582"/>
      <c r="BA733" s="1582"/>
      <c r="BB733" s="1582"/>
      <c r="BC733" s="1582"/>
      <c r="BD733" s="1582"/>
      <c r="BE733" s="1583"/>
      <c r="BF733" s="695"/>
    </row>
    <row r="734" spans="1:58" x14ac:dyDescent="0.45">
      <c r="A734" s="695"/>
      <c r="B734" s="974"/>
      <c r="C734" s="975" t="s">
        <v>68</v>
      </c>
      <c r="D734" s="975"/>
      <c r="E734" s="975"/>
      <c r="F734" s="975"/>
      <c r="G734" s="1582">
        <v>0</v>
      </c>
      <c r="H734" s="1582">
        <f t="shared" ref="H734:AM734" si="248">G737</f>
        <v>0</v>
      </c>
      <c r="I734" s="1582">
        <f t="shared" si="248"/>
        <v>0</v>
      </c>
      <c r="J734" s="1582">
        <f t="shared" si="248"/>
        <v>0</v>
      </c>
      <c r="K734" s="1582">
        <f t="shared" si="248"/>
        <v>0</v>
      </c>
      <c r="L734" s="1582">
        <f t="shared" si="248"/>
        <v>0</v>
      </c>
      <c r="M734" s="1582">
        <f t="shared" si="248"/>
        <v>0</v>
      </c>
      <c r="N734" s="1582">
        <f t="shared" si="248"/>
        <v>0</v>
      </c>
      <c r="O734" s="1582">
        <f t="shared" si="248"/>
        <v>0</v>
      </c>
      <c r="P734" s="1582">
        <f t="shared" si="248"/>
        <v>0</v>
      </c>
      <c r="Q734" s="1582">
        <f t="shared" si="248"/>
        <v>0</v>
      </c>
      <c r="R734" s="1582">
        <f t="shared" si="248"/>
        <v>0</v>
      </c>
      <c r="S734" s="1582">
        <f t="shared" si="248"/>
        <v>0</v>
      </c>
      <c r="T734" s="1582">
        <f t="shared" si="248"/>
        <v>0</v>
      </c>
      <c r="U734" s="1582">
        <f t="shared" si="248"/>
        <v>0</v>
      </c>
      <c r="V734" s="1582">
        <f t="shared" si="248"/>
        <v>0</v>
      </c>
      <c r="W734" s="1582">
        <f t="shared" si="248"/>
        <v>0</v>
      </c>
      <c r="X734" s="1582">
        <f t="shared" si="248"/>
        <v>0</v>
      </c>
      <c r="Y734" s="1582">
        <f t="shared" si="248"/>
        <v>0</v>
      </c>
      <c r="Z734" s="1582">
        <f t="shared" si="248"/>
        <v>0</v>
      </c>
      <c r="AA734" s="1582">
        <f t="shared" si="248"/>
        <v>0</v>
      </c>
      <c r="AB734" s="1582">
        <f t="shared" si="248"/>
        <v>0</v>
      </c>
      <c r="AC734" s="1582">
        <f t="shared" si="248"/>
        <v>0</v>
      </c>
      <c r="AD734" s="1582">
        <f t="shared" si="248"/>
        <v>0</v>
      </c>
      <c r="AE734" s="1582">
        <f t="shared" si="248"/>
        <v>0</v>
      </c>
      <c r="AF734" s="1582">
        <f t="shared" si="248"/>
        <v>0</v>
      </c>
      <c r="AG734" s="1582">
        <f t="shared" si="248"/>
        <v>0</v>
      </c>
      <c r="AH734" s="1582">
        <f t="shared" si="248"/>
        <v>0</v>
      </c>
      <c r="AI734" s="1582">
        <f t="shared" si="248"/>
        <v>0</v>
      </c>
      <c r="AJ734" s="1582">
        <f t="shared" si="248"/>
        <v>0</v>
      </c>
      <c r="AK734" s="1582">
        <f t="shared" si="248"/>
        <v>0</v>
      </c>
      <c r="AL734" s="1582">
        <f t="shared" si="248"/>
        <v>0</v>
      </c>
      <c r="AM734" s="1582">
        <f t="shared" si="248"/>
        <v>0</v>
      </c>
      <c r="AN734" s="1582">
        <f t="shared" ref="AN734:BE734" si="249">AM737</f>
        <v>0</v>
      </c>
      <c r="AO734" s="1582">
        <f t="shared" si="249"/>
        <v>0</v>
      </c>
      <c r="AP734" s="1582">
        <f t="shared" si="249"/>
        <v>0</v>
      </c>
      <c r="AQ734" s="1582">
        <f t="shared" si="249"/>
        <v>0</v>
      </c>
      <c r="AR734" s="1582">
        <f t="shared" si="249"/>
        <v>0</v>
      </c>
      <c r="AS734" s="1582">
        <f t="shared" si="249"/>
        <v>0</v>
      </c>
      <c r="AT734" s="1582">
        <f t="shared" si="249"/>
        <v>0</v>
      </c>
      <c r="AU734" s="1582">
        <f t="shared" si="249"/>
        <v>0</v>
      </c>
      <c r="AV734" s="1582">
        <f t="shared" si="249"/>
        <v>0</v>
      </c>
      <c r="AW734" s="1582">
        <f t="shared" si="249"/>
        <v>0</v>
      </c>
      <c r="AX734" s="1582">
        <f t="shared" si="249"/>
        <v>0</v>
      </c>
      <c r="AY734" s="1582">
        <f t="shared" si="249"/>
        <v>0</v>
      </c>
      <c r="AZ734" s="1582">
        <f t="shared" si="249"/>
        <v>0</v>
      </c>
      <c r="BA734" s="1582">
        <f t="shared" si="249"/>
        <v>0</v>
      </c>
      <c r="BB734" s="1582">
        <f t="shared" si="249"/>
        <v>0</v>
      </c>
      <c r="BC734" s="1582">
        <f t="shared" si="249"/>
        <v>0</v>
      </c>
      <c r="BD734" s="1582">
        <f t="shared" si="249"/>
        <v>0</v>
      </c>
      <c r="BE734" s="1583">
        <f t="shared" si="249"/>
        <v>0</v>
      </c>
      <c r="BF734" s="695"/>
    </row>
    <row r="735" spans="1:58" x14ac:dyDescent="0.45">
      <c r="A735" s="695"/>
      <c r="B735" s="974"/>
      <c r="C735" s="975" t="s">
        <v>69</v>
      </c>
      <c r="D735" s="975"/>
      <c r="E735" s="975"/>
      <c r="F735" s="975"/>
      <c r="G735" s="1582">
        <f>G724</f>
        <v>0</v>
      </c>
      <c r="H735" s="1582">
        <v>0</v>
      </c>
      <c r="I735" s="1582">
        <v>0</v>
      </c>
      <c r="J735" s="1582">
        <v>0</v>
      </c>
      <c r="K735" s="1582">
        <v>0</v>
      </c>
      <c r="L735" s="1582">
        <v>0</v>
      </c>
      <c r="M735" s="1582">
        <v>0</v>
      </c>
      <c r="N735" s="1582">
        <v>0</v>
      </c>
      <c r="O735" s="1582">
        <v>0</v>
      </c>
      <c r="P735" s="1582">
        <v>0</v>
      </c>
      <c r="Q735" s="1582">
        <v>0</v>
      </c>
      <c r="R735" s="1582">
        <v>0</v>
      </c>
      <c r="S735" s="1582">
        <v>0</v>
      </c>
      <c r="T735" s="1582">
        <v>0</v>
      </c>
      <c r="U735" s="1582">
        <v>0</v>
      </c>
      <c r="V735" s="1582">
        <v>0</v>
      </c>
      <c r="W735" s="1582">
        <v>0</v>
      </c>
      <c r="X735" s="1582">
        <v>0</v>
      </c>
      <c r="Y735" s="1582">
        <v>0</v>
      </c>
      <c r="Z735" s="1582">
        <v>0</v>
      </c>
      <c r="AA735" s="1582">
        <v>0</v>
      </c>
      <c r="AB735" s="1582">
        <v>0</v>
      </c>
      <c r="AC735" s="1582">
        <v>0</v>
      </c>
      <c r="AD735" s="1582">
        <v>0</v>
      </c>
      <c r="AE735" s="1582">
        <v>0</v>
      </c>
      <c r="AF735" s="1582">
        <v>0</v>
      </c>
      <c r="AG735" s="1582">
        <v>0</v>
      </c>
      <c r="AH735" s="1582">
        <v>0</v>
      </c>
      <c r="AI735" s="1582">
        <v>0</v>
      </c>
      <c r="AJ735" s="1582">
        <v>0</v>
      </c>
      <c r="AK735" s="1582">
        <v>0</v>
      </c>
      <c r="AL735" s="1582">
        <v>0</v>
      </c>
      <c r="AM735" s="1582">
        <v>0</v>
      </c>
      <c r="AN735" s="1582">
        <v>0</v>
      </c>
      <c r="AO735" s="1582">
        <v>0</v>
      </c>
      <c r="AP735" s="1582">
        <v>0</v>
      </c>
      <c r="AQ735" s="1582">
        <v>0</v>
      </c>
      <c r="AR735" s="1582">
        <v>0</v>
      </c>
      <c r="AS735" s="1582">
        <v>0</v>
      </c>
      <c r="AT735" s="1582">
        <v>0</v>
      </c>
      <c r="AU735" s="1582">
        <v>0</v>
      </c>
      <c r="AV735" s="1582">
        <v>0</v>
      </c>
      <c r="AW735" s="1582">
        <v>0</v>
      </c>
      <c r="AX735" s="1582">
        <v>0</v>
      </c>
      <c r="AY735" s="1582">
        <v>0</v>
      </c>
      <c r="AZ735" s="1582">
        <v>0</v>
      </c>
      <c r="BA735" s="1582">
        <v>0</v>
      </c>
      <c r="BB735" s="1582">
        <v>0</v>
      </c>
      <c r="BC735" s="1582">
        <v>0</v>
      </c>
      <c r="BD735" s="1582">
        <v>0</v>
      </c>
      <c r="BE735" s="1583">
        <v>0</v>
      </c>
      <c r="BF735" s="695"/>
    </row>
    <row r="736" spans="1:58" x14ac:dyDescent="0.45">
      <c r="A736" s="695"/>
      <c r="B736" s="974"/>
      <c r="C736" s="982" t="s">
        <v>70</v>
      </c>
      <c r="D736" s="982"/>
      <c r="E736" s="982"/>
      <c r="F736" s="982"/>
      <c r="G736" s="1584">
        <v>0</v>
      </c>
      <c r="H736" s="1584">
        <f>-H730</f>
        <v>0</v>
      </c>
      <c r="I736" s="1584">
        <f t="shared" ref="I736:BE736" si="250">-I730</f>
        <v>0</v>
      </c>
      <c r="J736" s="1584">
        <f t="shared" si="250"/>
        <v>0</v>
      </c>
      <c r="K736" s="1584">
        <f t="shared" si="250"/>
        <v>0</v>
      </c>
      <c r="L736" s="1584">
        <f t="shared" si="250"/>
        <v>0</v>
      </c>
      <c r="M736" s="1584">
        <f t="shared" si="250"/>
        <v>0</v>
      </c>
      <c r="N736" s="1584">
        <f t="shared" si="250"/>
        <v>0</v>
      </c>
      <c r="O736" s="1584">
        <f t="shared" si="250"/>
        <v>0</v>
      </c>
      <c r="P736" s="1584">
        <f t="shared" si="250"/>
        <v>0</v>
      </c>
      <c r="Q736" s="1584">
        <f t="shared" si="250"/>
        <v>0</v>
      </c>
      <c r="R736" s="1584">
        <f t="shared" si="250"/>
        <v>0</v>
      </c>
      <c r="S736" s="1584">
        <f t="shared" si="250"/>
        <v>0</v>
      </c>
      <c r="T736" s="1584">
        <f t="shared" si="250"/>
        <v>0</v>
      </c>
      <c r="U736" s="1584">
        <f t="shared" si="250"/>
        <v>0</v>
      </c>
      <c r="V736" s="1584">
        <f t="shared" si="250"/>
        <v>0</v>
      </c>
      <c r="W736" s="1584">
        <f t="shared" si="250"/>
        <v>0</v>
      </c>
      <c r="X736" s="1584">
        <f t="shared" si="250"/>
        <v>0</v>
      </c>
      <c r="Y736" s="1584">
        <f t="shared" si="250"/>
        <v>0</v>
      </c>
      <c r="Z736" s="1584">
        <f t="shared" si="250"/>
        <v>0</v>
      </c>
      <c r="AA736" s="1584">
        <f t="shared" si="250"/>
        <v>0</v>
      </c>
      <c r="AB736" s="1584">
        <f t="shared" si="250"/>
        <v>0</v>
      </c>
      <c r="AC736" s="1584">
        <f t="shared" si="250"/>
        <v>0</v>
      </c>
      <c r="AD736" s="1584">
        <f t="shared" si="250"/>
        <v>0</v>
      </c>
      <c r="AE736" s="1584">
        <f t="shared" si="250"/>
        <v>0</v>
      </c>
      <c r="AF736" s="1584">
        <f t="shared" si="250"/>
        <v>0</v>
      </c>
      <c r="AG736" s="1584">
        <f t="shared" si="250"/>
        <v>0</v>
      </c>
      <c r="AH736" s="1584">
        <f t="shared" si="250"/>
        <v>0</v>
      </c>
      <c r="AI736" s="1584">
        <f t="shared" si="250"/>
        <v>0</v>
      </c>
      <c r="AJ736" s="1584">
        <f t="shared" si="250"/>
        <v>0</v>
      </c>
      <c r="AK736" s="1584">
        <f t="shared" si="250"/>
        <v>0</v>
      </c>
      <c r="AL736" s="1584">
        <f t="shared" si="250"/>
        <v>0</v>
      </c>
      <c r="AM736" s="1584">
        <f t="shared" si="250"/>
        <v>0</v>
      </c>
      <c r="AN736" s="1584">
        <f t="shared" si="250"/>
        <v>0</v>
      </c>
      <c r="AO736" s="1584">
        <f t="shared" si="250"/>
        <v>0</v>
      </c>
      <c r="AP736" s="1584">
        <f t="shared" si="250"/>
        <v>0</v>
      </c>
      <c r="AQ736" s="1584">
        <f t="shared" si="250"/>
        <v>0</v>
      </c>
      <c r="AR736" s="1584">
        <f t="shared" si="250"/>
        <v>0</v>
      </c>
      <c r="AS736" s="1584">
        <f t="shared" si="250"/>
        <v>0</v>
      </c>
      <c r="AT736" s="1584">
        <f t="shared" si="250"/>
        <v>0</v>
      </c>
      <c r="AU736" s="1584">
        <f t="shared" si="250"/>
        <v>0</v>
      </c>
      <c r="AV736" s="1584">
        <f t="shared" si="250"/>
        <v>0</v>
      </c>
      <c r="AW736" s="1584">
        <f t="shared" si="250"/>
        <v>0</v>
      </c>
      <c r="AX736" s="1584">
        <f t="shared" si="250"/>
        <v>0</v>
      </c>
      <c r="AY736" s="1584">
        <f t="shared" si="250"/>
        <v>0</v>
      </c>
      <c r="AZ736" s="1584">
        <f t="shared" si="250"/>
        <v>0</v>
      </c>
      <c r="BA736" s="1584">
        <f t="shared" si="250"/>
        <v>0</v>
      </c>
      <c r="BB736" s="1584">
        <f t="shared" si="250"/>
        <v>0</v>
      </c>
      <c r="BC736" s="1584">
        <f t="shared" si="250"/>
        <v>0</v>
      </c>
      <c r="BD736" s="1584">
        <f t="shared" si="250"/>
        <v>0</v>
      </c>
      <c r="BE736" s="1585">
        <f t="shared" si="250"/>
        <v>0</v>
      </c>
      <c r="BF736" s="695"/>
    </row>
    <row r="737" spans="1:58" x14ac:dyDescent="0.45">
      <c r="A737" s="695"/>
      <c r="B737" s="974"/>
      <c r="C737" s="975" t="s">
        <v>59</v>
      </c>
      <c r="D737" s="975"/>
      <c r="E737" s="975"/>
      <c r="F737" s="975"/>
      <c r="G737" s="1582">
        <f>SUM(G734:G736)</f>
        <v>0</v>
      </c>
      <c r="H737" s="1582">
        <f>SUM(H734:H736)</f>
        <v>0</v>
      </c>
      <c r="I737" s="1582">
        <f t="shared" ref="I737:BE737" si="251">SUM(I734:I736)</f>
        <v>0</v>
      </c>
      <c r="J737" s="1582">
        <f t="shared" si="251"/>
        <v>0</v>
      </c>
      <c r="K737" s="1582">
        <f t="shared" si="251"/>
        <v>0</v>
      </c>
      <c r="L737" s="1582">
        <f t="shared" si="251"/>
        <v>0</v>
      </c>
      <c r="M737" s="1582">
        <f t="shared" si="251"/>
        <v>0</v>
      </c>
      <c r="N737" s="1582">
        <f t="shared" si="251"/>
        <v>0</v>
      </c>
      <c r="O737" s="1582">
        <f t="shared" si="251"/>
        <v>0</v>
      </c>
      <c r="P737" s="1582">
        <f t="shared" si="251"/>
        <v>0</v>
      </c>
      <c r="Q737" s="1582">
        <f t="shared" si="251"/>
        <v>0</v>
      </c>
      <c r="R737" s="1582">
        <f t="shared" si="251"/>
        <v>0</v>
      </c>
      <c r="S737" s="1582">
        <f t="shared" si="251"/>
        <v>0</v>
      </c>
      <c r="T737" s="1582">
        <f t="shared" si="251"/>
        <v>0</v>
      </c>
      <c r="U737" s="1582">
        <f t="shared" si="251"/>
        <v>0</v>
      </c>
      <c r="V737" s="1582">
        <f t="shared" si="251"/>
        <v>0</v>
      </c>
      <c r="W737" s="1582">
        <f t="shared" si="251"/>
        <v>0</v>
      </c>
      <c r="X737" s="1582">
        <f t="shared" si="251"/>
        <v>0</v>
      </c>
      <c r="Y737" s="1582">
        <f t="shared" si="251"/>
        <v>0</v>
      </c>
      <c r="Z737" s="1582">
        <f t="shared" si="251"/>
        <v>0</v>
      </c>
      <c r="AA737" s="1582">
        <f t="shared" si="251"/>
        <v>0</v>
      </c>
      <c r="AB737" s="1582">
        <f t="shared" si="251"/>
        <v>0</v>
      </c>
      <c r="AC737" s="1582">
        <f t="shared" si="251"/>
        <v>0</v>
      </c>
      <c r="AD737" s="1582">
        <f t="shared" si="251"/>
        <v>0</v>
      </c>
      <c r="AE737" s="1582">
        <f t="shared" si="251"/>
        <v>0</v>
      </c>
      <c r="AF737" s="1582">
        <f t="shared" si="251"/>
        <v>0</v>
      </c>
      <c r="AG737" s="1582">
        <f t="shared" si="251"/>
        <v>0</v>
      </c>
      <c r="AH737" s="1582">
        <f t="shared" si="251"/>
        <v>0</v>
      </c>
      <c r="AI737" s="1582">
        <f t="shared" si="251"/>
        <v>0</v>
      </c>
      <c r="AJ737" s="1582">
        <f t="shared" si="251"/>
        <v>0</v>
      </c>
      <c r="AK737" s="1582">
        <f t="shared" si="251"/>
        <v>0</v>
      </c>
      <c r="AL737" s="1582">
        <f t="shared" si="251"/>
        <v>0</v>
      </c>
      <c r="AM737" s="1582">
        <f t="shared" si="251"/>
        <v>0</v>
      </c>
      <c r="AN737" s="1582">
        <f t="shared" si="251"/>
        <v>0</v>
      </c>
      <c r="AO737" s="1582">
        <f t="shared" si="251"/>
        <v>0</v>
      </c>
      <c r="AP737" s="1582">
        <f t="shared" si="251"/>
        <v>0</v>
      </c>
      <c r="AQ737" s="1582">
        <f t="shared" si="251"/>
        <v>0</v>
      </c>
      <c r="AR737" s="1582">
        <f t="shared" si="251"/>
        <v>0</v>
      </c>
      <c r="AS737" s="1582">
        <f t="shared" si="251"/>
        <v>0</v>
      </c>
      <c r="AT737" s="1582">
        <f t="shared" si="251"/>
        <v>0</v>
      </c>
      <c r="AU737" s="1582">
        <f t="shared" si="251"/>
        <v>0</v>
      </c>
      <c r="AV737" s="1582">
        <f t="shared" si="251"/>
        <v>0</v>
      </c>
      <c r="AW737" s="1582">
        <f t="shared" si="251"/>
        <v>0</v>
      </c>
      <c r="AX737" s="1582">
        <f t="shared" si="251"/>
        <v>0</v>
      </c>
      <c r="AY737" s="1582">
        <f t="shared" si="251"/>
        <v>0</v>
      </c>
      <c r="AZ737" s="1582">
        <f t="shared" si="251"/>
        <v>0</v>
      </c>
      <c r="BA737" s="1582">
        <f t="shared" si="251"/>
        <v>0</v>
      </c>
      <c r="BB737" s="1582">
        <f t="shared" si="251"/>
        <v>0</v>
      </c>
      <c r="BC737" s="1582">
        <f t="shared" si="251"/>
        <v>0</v>
      </c>
      <c r="BD737" s="1582">
        <f t="shared" si="251"/>
        <v>0</v>
      </c>
      <c r="BE737" s="1583">
        <f t="shared" si="251"/>
        <v>0</v>
      </c>
      <c r="BF737" s="695"/>
    </row>
    <row r="738" spans="1:58" x14ac:dyDescent="0.45">
      <c r="A738" s="695"/>
      <c r="B738" s="974"/>
      <c r="C738" s="975"/>
      <c r="D738" s="975"/>
      <c r="E738" s="975"/>
      <c r="F738" s="975"/>
      <c r="G738" s="1582"/>
      <c r="H738" s="1582"/>
      <c r="I738" s="1582"/>
      <c r="J738" s="1582"/>
      <c r="K738" s="1582"/>
      <c r="L738" s="1582"/>
      <c r="M738" s="1582"/>
      <c r="N738" s="1582"/>
      <c r="O738" s="1582"/>
      <c r="P738" s="1582"/>
      <c r="Q738" s="1582"/>
      <c r="R738" s="1582"/>
      <c r="S738" s="1582"/>
      <c r="T738" s="1582"/>
      <c r="U738" s="1582"/>
      <c r="V738" s="1582"/>
      <c r="W738" s="1582"/>
      <c r="X738" s="1582"/>
      <c r="Y738" s="1582"/>
      <c r="Z738" s="1582"/>
      <c r="AA738" s="1582"/>
      <c r="AB738" s="1582"/>
      <c r="AC738" s="1582"/>
      <c r="AD738" s="1582"/>
      <c r="AE738" s="1582"/>
      <c r="AF738" s="1582"/>
      <c r="AG738" s="1582"/>
      <c r="AH738" s="1582"/>
      <c r="AI738" s="1582"/>
      <c r="AJ738" s="1582"/>
      <c r="AK738" s="1582"/>
      <c r="AL738" s="1582"/>
      <c r="AM738" s="1582"/>
      <c r="AN738" s="1582"/>
      <c r="AO738" s="1582"/>
      <c r="AP738" s="1582"/>
      <c r="AQ738" s="1582"/>
      <c r="AR738" s="1582"/>
      <c r="AS738" s="1582"/>
      <c r="AT738" s="1582"/>
      <c r="AU738" s="1582"/>
      <c r="AV738" s="1582"/>
      <c r="AW738" s="1582"/>
      <c r="AX738" s="1582"/>
      <c r="AY738" s="1582"/>
      <c r="AZ738" s="1582"/>
      <c r="BA738" s="1582"/>
      <c r="BB738" s="1582"/>
      <c r="BC738" s="1582"/>
      <c r="BD738" s="1582"/>
      <c r="BE738" s="1583"/>
      <c r="BF738" s="695"/>
    </row>
    <row r="739" spans="1:58" x14ac:dyDescent="0.45">
      <c r="A739" s="695"/>
      <c r="B739" s="974"/>
      <c r="C739" s="1054" t="s">
        <v>64</v>
      </c>
      <c r="D739" s="975"/>
      <c r="E739" s="975"/>
      <c r="F739" s="975"/>
      <c r="G739" s="1582"/>
      <c r="H739" s="1582"/>
      <c r="I739" s="1582"/>
      <c r="J739" s="1582"/>
      <c r="K739" s="1582"/>
      <c r="L739" s="1582"/>
      <c r="M739" s="1582"/>
      <c r="N739" s="1582"/>
      <c r="O739" s="1582"/>
      <c r="P739" s="1582"/>
      <c r="Q739" s="1582"/>
      <c r="R739" s="1582"/>
      <c r="S739" s="1582"/>
      <c r="T739" s="1582"/>
      <c r="U739" s="1582"/>
      <c r="V739" s="1582"/>
      <c r="W739" s="1582"/>
      <c r="X739" s="1582"/>
      <c r="Y739" s="1582"/>
      <c r="Z739" s="1582"/>
      <c r="AA739" s="1582"/>
      <c r="AB739" s="1582"/>
      <c r="AC739" s="1582"/>
      <c r="AD739" s="1582"/>
      <c r="AE739" s="1582"/>
      <c r="AF739" s="1582"/>
      <c r="AG739" s="1582"/>
      <c r="AH739" s="1582"/>
      <c r="AI739" s="1582"/>
      <c r="AJ739" s="1582"/>
      <c r="AK739" s="1582"/>
      <c r="AL739" s="1582"/>
      <c r="AM739" s="1582"/>
      <c r="AN739" s="1582"/>
      <c r="AO739" s="1582"/>
      <c r="AP739" s="1582"/>
      <c r="AQ739" s="1582"/>
      <c r="AR739" s="1582"/>
      <c r="AS739" s="1582"/>
      <c r="AT739" s="1582"/>
      <c r="AU739" s="1582"/>
      <c r="AV739" s="1582"/>
      <c r="AW739" s="1582"/>
      <c r="AX739" s="1582"/>
      <c r="AY739" s="1582"/>
      <c r="AZ739" s="1582"/>
      <c r="BA739" s="1582"/>
      <c r="BB739" s="1582"/>
      <c r="BC739" s="1582"/>
      <c r="BD739" s="1582"/>
      <c r="BE739" s="1583"/>
      <c r="BF739" s="695"/>
    </row>
    <row r="740" spans="1:58" x14ac:dyDescent="0.45">
      <c r="A740" s="695"/>
      <c r="B740" s="974"/>
      <c r="C740" s="975" t="s">
        <v>205</v>
      </c>
      <c r="D740" s="975"/>
      <c r="E740" s="975"/>
      <c r="F740" s="975"/>
      <c r="G740" s="1582"/>
      <c r="H740" s="1582">
        <f>IF($G724&gt;0, $G724*'II. Inputs, Baseline Energy Mix'!$S$57/10000,0)</f>
        <v>0</v>
      </c>
      <c r="I740" s="1582">
        <v>0</v>
      </c>
      <c r="J740" s="1582">
        <v>0</v>
      </c>
      <c r="K740" s="1582">
        <v>0</v>
      </c>
      <c r="L740" s="1582">
        <v>0</v>
      </c>
      <c r="M740" s="1582">
        <v>0</v>
      </c>
      <c r="N740" s="1582">
        <v>0</v>
      </c>
      <c r="O740" s="1582">
        <v>0</v>
      </c>
      <c r="P740" s="1582">
        <v>0</v>
      </c>
      <c r="Q740" s="1582">
        <v>0</v>
      </c>
      <c r="R740" s="1582">
        <v>0</v>
      </c>
      <c r="S740" s="1582">
        <v>0</v>
      </c>
      <c r="T740" s="1582">
        <v>0</v>
      </c>
      <c r="U740" s="1582">
        <v>0</v>
      </c>
      <c r="V740" s="1582">
        <v>0</v>
      </c>
      <c r="W740" s="1582">
        <v>0</v>
      </c>
      <c r="X740" s="1582">
        <v>0</v>
      </c>
      <c r="Y740" s="1582">
        <v>0</v>
      </c>
      <c r="Z740" s="1582">
        <v>0</v>
      </c>
      <c r="AA740" s="1582">
        <v>0</v>
      </c>
      <c r="AB740" s="1582">
        <v>0</v>
      </c>
      <c r="AC740" s="1582">
        <v>0</v>
      </c>
      <c r="AD740" s="1582">
        <v>0</v>
      </c>
      <c r="AE740" s="1582">
        <v>0</v>
      </c>
      <c r="AF740" s="1582">
        <v>0</v>
      </c>
      <c r="AG740" s="1582">
        <v>0</v>
      </c>
      <c r="AH740" s="1582">
        <v>0</v>
      </c>
      <c r="AI740" s="1582">
        <v>0</v>
      </c>
      <c r="AJ740" s="1582">
        <v>0</v>
      </c>
      <c r="AK740" s="1582">
        <v>0</v>
      </c>
      <c r="AL740" s="1582">
        <v>0</v>
      </c>
      <c r="AM740" s="1582">
        <v>0</v>
      </c>
      <c r="AN740" s="1582">
        <v>0</v>
      </c>
      <c r="AO740" s="1582">
        <v>0</v>
      </c>
      <c r="AP740" s="1582">
        <v>0</v>
      </c>
      <c r="AQ740" s="1582">
        <v>0</v>
      </c>
      <c r="AR740" s="1582">
        <v>0</v>
      </c>
      <c r="AS740" s="1582">
        <v>0</v>
      </c>
      <c r="AT740" s="1582">
        <v>0</v>
      </c>
      <c r="AU740" s="1582">
        <v>0</v>
      </c>
      <c r="AV740" s="1582">
        <v>0</v>
      </c>
      <c r="AW740" s="1582">
        <v>0</v>
      </c>
      <c r="AX740" s="1582">
        <v>0</v>
      </c>
      <c r="AY740" s="1582">
        <v>0</v>
      </c>
      <c r="AZ740" s="1582">
        <v>0</v>
      </c>
      <c r="BA740" s="1582">
        <v>0</v>
      </c>
      <c r="BB740" s="1582">
        <v>0</v>
      </c>
      <c r="BC740" s="1582">
        <v>0</v>
      </c>
      <c r="BD740" s="1582">
        <v>0</v>
      </c>
      <c r="BE740" s="1583">
        <v>0</v>
      </c>
      <c r="BF740" s="695"/>
    </row>
    <row r="741" spans="1:58" x14ac:dyDescent="0.45">
      <c r="A741" s="695"/>
      <c r="B741" s="974"/>
      <c r="C741" s="975"/>
      <c r="D741" s="975"/>
      <c r="E741" s="975"/>
      <c r="F741" s="975"/>
      <c r="G741" s="975"/>
      <c r="H741" s="975"/>
      <c r="I741" s="975"/>
      <c r="J741" s="975"/>
      <c r="K741" s="975"/>
      <c r="L741" s="975"/>
      <c r="M741" s="975"/>
      <c r="N741" s="975"/>
      <c r="O741" s="975"/>
      <c r="P741" s="975"/>
      <c r="Q741" s="975"/>
      <c r="R741" s="975"/>
      <c r="S741" s="975"/>
      <c r="T741" s="975"/>
      <c r="U741" s="975"/>
      <c r="V741" s="975"/>
      <c r="W741" s="975"/>
      <c r="X741" s="975"/>
      <c r="Y741" s="975"/>
      <c r="Z741" s="975"/>
      <c r="AA741" s="975"/>
      <c r="AB741" s="975"/>
      <c r="AC741" s="975"/>
      <c r="AD741" s="975"/>
      <c r="AE741" s="975"/>
      <c r="AF741" s="975"/>
      <c r="AG741" s="975"/>
      <c r="AH741" s="975"/>
      <c r="AI741" s="975"/>
      <c r="AJ741" s="975"/>
      <c r="AK741" s="975"/>
      <c r="AL741" s="975"/>
      <c r="AM741" s="975"/>
      <c r="AN741" s="975"/>
      <c r="AO741" s="975"/>
      <c r="AP741" s="975"/>
      <c r="AQ741" s="975"/>
      <c r="AR741" s="975"/>
      <c r="AS741" s="975"/>
      <c r="AT741" s="975"/>
      <c r="AU741" s="975"/>
      <c r="AV741" s="975"/>
      <c r="AW741" s="975"/>
      <c r="AX741" s="975"/>
      <c r="AY741" s="975"/>
      <c r="AZ741" s="975"/>
      <c r="BA741" s="975"/>
      <c r="BB741" s="975"/>
      <c r="BC741" s="975"/>
      <c r="BD741" s="975"/>
      <c r="BE741" s="976"/>
      <c r="BF741" s="695"/>
    </row>
    <row r="742" spans="1:58" x14ac:dyDescent="0.45">
      <c r="A742" s="695"/>
      <c r="B742" s="974"/>
      <c r="C742" s="975"/>
      <c r="D742" s="975"/>
      <c r="E742" s="975"/>
      <c r="F742" s="975"/>
      <c r="G742" s="975"/>
      <c r="H742" s="975"/>
      <c r="I742" s="975"/>
      <c r="J742" s="975"/>
      <c r="K742" s="975"/>
      <c r="L742" s="975"/>
      <c r="M742" s="975"/>
      <c r="N742" s="975"/>
      <c r="O742" s="975"/>
      <c r="P742" s="975"/>
      <c r="Q742" s="975"/>
      <c r="R742" s="975"/>
      <c r="S742" s="975"/>
      <c r="T742" s="975"/>
      <c r="U742" s="975"/>
      <c r="V742" s="975"/>
      <c r="W742" s="975"/>
      <c r="X742" s="975"/>
      <c r="Y742" s="975"/>
      <c r="Z742" s="975"/>
      <c r="AA742" s="975"/>
      <c r="AB742" s="975"/>
      <c r="AC742" s="975"/>
      <c r="AD742" s="975"/>
      <c r="AE742" s="975"/>
      <c r="AF742" s="975"/>
      <c r="AG742" s="975"/>
      <c r="AH742" s="975"/>
      <c r="AI742" s="975"/>
      <c r="AJ742" s="975"/>
      <c r="AK742" s="975"/>
      <c r="AL742" s="975"/>
      <c r="AM742" s="975"/>
      <c r="AN742" s="975"/>
      <c r="AO742" s="975"/>
      <c r="AP742" s="975"/>
      <c r="AQ742" s="975"/>
      <c r="AR742" s="975"/>
      <c r="AS742" s="975"/>
      <c r="AT742" s="975"/>
      <c r="AU742" s="975"/>
      <c r="AV742" s="975"/>
      <c r="AW742" s="975"/>
      <c r="AX742" s="975"/>
      <c r="AY742" s="975"/>
      <c r="AZ742" s="975"/>
      <c r="BA742" s="975"/>
      <c r="BB742" s="975"/>
      <c r="BC742" s="975"/>
      <c r="BD742" s="975"/>
      <c r="BE742" s="976"/>
      <c r="BF742" s="695"/>
    </row>
    <row r="743" spans="1:58" ht="13.15" x14ac:dyDescent="0.45">
      <c r="A743" s="695"/>
      <c r="B743" s="988" t="s">
        <v>79</v>
      </c>
      <c r="C743" s="975"/>
      <c r="D743" s="975"/>
      <c r="E743" s="975"/>
      <c r="F743" s="975"/>
      <c r="G743" s="975"/>
      <c r="H743" s="975"/>
      <c r="I743" s="975"/>
      <c r="J743" s="975"/>
      <c r="K743" s="975"/>
      <c r="L743" s="975"/>
      <c r="M743" s="975"/>
      <c r="N743" s="975"/>
      <c r="O743" s="975"/>
      <c r="P743" s="975"/>
      <c r="Q743" s="975"/>
      <c r="R743" s="975"/>
      <c r="S743" s="975"/>
      <c r="T743" s="975"/>
      <c r="U743" s="975"/>
      <c r="V743" s="975"/>
      <c r="W743" s="975"/>
      <c r="X743" s="975"/>
      <c r="Y743" s="975"/>
      <c r="Z743" s="975"/>
      <c r="AA743" s="975"/>
      <c r="AB743" s="975"/>
      <c r="AC743" s="975"/>
      <c r="AD743" s="975"/>
      <c r="AE743" s="975"/>
      <c r="AF743" s="975"/>
      <c r="AG743" s="975"/>
      <c r="AH743" s="975"/>
      <c r="AI743" s="975"/>
      <c r="AJ743" s="975"/>
      <c r="AK743" s="975"/>
      <c r="AL743" s="975"/>
      <c r="AM743" s="975"/>
      <c r="AN743" s="975"/>
      <c r="AO743" s="975"/>
      <c r="AP743" s="975"/>
      <c r="AQ743" s="975"/>
      <c r="AR743" s="975"/>
      <c r="AS743" s="975"/>
      <c r="AT743" s="975"/>
      <c r="AU743" s="975"/>
      <c r="AV743" s="975"/>
      <c r="AW743" s="975"/>
      <c r="AX743" s="975"/>
      <c r="AY743" s="975"/>
      <c r="AZ743" s="975"/>
      <c r="BA743" s="975"/>
      <c r="BB743" s="975"/>
      <c r="BC743" s="975"/>
      <c r="BD743" s="975"/>
      <c r="BE743" s="976"/>
      <c r="BF743" s="695"/>
    </row>
    <row r="744" spans="1:58" x14ac:dyDescent="0.45">
      <c r="A744" s="695"/>
      <c r="B744" s="974"/>
      <c r="C744" s="1051" t="s">
        <v>77</v>
      </c>
      <c r="D744" s="975"/>
      <c r="E744" s="975"/>
      <c r="F744" s="975"/>
      <c r="G744" s="1582">
        <f>IF('II. Inputs, Baseline Energy Mix'!$S$19&gt;0, ('II. Inputs, Baseline Energy Mix'!$S$20*'II. Inputs, Baseline Energy Mix'!$S$21*'II. Inputs, Baseline Energy Mix'!$S$35*'II. Inputs, Baseline Energy Mix'!$S$88),0)</f>
        <v>0</v>
      </c>
      <c r="H744" s="975"/>
      <c r="I744" s="975"/>
      <c r="J744" s="975"/>
      <c r="K744" s="975"/>
      <c r="L744" s="975"/>
      <c r="M744" s="975"/>
      <c r="N744" s="975"/>
      <c r="O744" s="975"/>
      <c r="P744" s="975"/>
      <c r="Q744" s="975"/>
      <c r="R744" s="975"/>
      <c r="S744" s="975"/>
      <c r="T744" s="975"/>
      <c r="U744" s="975"/>
      <c r="V744" s="975"/>
      <c r="W744" s="975"/>
      <c r="X744" s="975"/>
      <c r="Y744" s="975"/>
      <c r="Z744" s="975"/>
      <c r="AA744" s="975"/>
      <c r="AB744" s="975"/>
      <c r="AC744" s="975"/>
      <c r="AD744" s="975"/>
      <c r="AE744" s="975"/>
      <c r="AF744" s="975"/>
      <c r="AG744" s="975"/>
      <c r="AH744" s="975"/>
      <c r="AI744" s="975"/>
      <c r="AJ744" s="975"/>
      <c r="AK744" s="975"/>
      <c r="AL744" s="975"/>
      <c r="AM744" s="975"/>
      <c r="AN744" s="975"/>
      <c r="AO744" s="975"/>
      <c r="AP744" s="975"/>
      <c r="AQ744" s="975"/>
      <c r="AR744" s="975"/>
      <c r="AS744" s="975"/>
      <c r="AT744" s="975"/>
      <c r="AU744" s="975"/>
      <c r="AV744" s="975"/>
      <c r="AW744" s="975"/>
      <c r="AX744" s="975"/>
      <c r="AY744" s="975"/>
      <c r="AZ744" s="975"/>
      <c r="BA744" s="975"/>
      <c r="BB744" s="975"/>
      <c r="BC744" s="975"/>
      <c r="BD744" s="975"/>
      <c r="BE744" s="976"/>
      <c r="BF744" s="695"/>
    </row>
    <row r="745" spans="1:58" x14ac:dyDescent="0.45">
      <c r="A745" s="695"/>
      <c r="B745" s="974"/>
      <c r="C745" s="1051" t="str">
        <f>'II. Inputs, Baseline Energy Mix'!$E$89</f>
        <v xml:space="preserve">Term of Political Risk Insurance </v>
      </c>
      <c r="D745" s="975"/>
      <c r="E745" s="975"/>
      <c r="F745" s="975"/>
      <c r="G745" s="977">
        <f>'II. Inputs, Baseline Energy Mix'!$S$89</f>
        <v>0</v>
      </c>
      <c r="H745" s="975"/>
      <c r="I745" s="975"/>
      <c r="J745" s="975"/>
      <c r="K745" s="975"/>
      <c r="L745" s="975"/>
      <c r="M745" s="975"/>
      <c r="N745" s="975"/>
      <c r="O745" s="975"/>
      <c r="P745" s="975"/>
      <c r="Q745" s="975"/>
      <c r="R745" s="975"/>
      <c r="S745" s="975"/>
      <c r="T745" s="975"/>
      <c r="U745" s="975"/>
      <c r="V745" s="975"/>
      <c r="W745" s="975"/>
      <c r="X745" s="975"/>
      <c r="Y745" s="975"/>
      <c r="Z745" s="975"/>
      <c r="AA745" s="975"/>
      <c r="AB745" s="975"/>
      <c r="AC745" s="975"/>
      <c r="AD745" s="975"/>
      <c r="AE745" s="975"/>
      <c r="AF745" s="975"/>
      <c r="AG745" s="975"/>
      <c r="AH745" s="975"/>
      <c r="AI745" s="975"/>
      <c r="AJ745" s="975"/>
      <c r="AK745" s="975"/>
      <c r="AL745" s="975"/>
      <c r="AM745" s="975"/>
      <c r="AN745" s="975"/>
      <c r="AO745" s="975"/>
      <c r="AP745" s="975"/>
      <c r="AQ745" s="975"/>
      <c r="AR745" s="975"/>
      <c r="AS745" s="975"/>
      <c r="AT745" s="975"/>
      <c r="AU745" s="975"/>
      <c r="AV745" s="975"/>
      <c r="AW745" s="975"/>
      <c r="AX745" s="975"/>
      <c r="AY745" s="975"/>
      <c r="AZ745" s="975"/>
      <c r="BA745" s="975"/>
      <c r="BB745" s="975"/>
      <c r="BC745" s="975"/>
      <c r="BD745" s="975"/>
      <c r="BE745" s="976"/>
      <c r="BF745" s="695"/>
    </row>
    <row r="746" spans="1:58" x14ac:dyDescent="0.45">
      <c r="A746" s="695"/>
      <c r="B746" s="974"/>
      <c r="C746" s="1051" t="str">
        <f>'II. Inputs, Baseline Energy Mix'!$E$90</f>
        <v xml:space="preserve">Front-end Fee </v>
      </c>
      <c r="D746" s="975"/>
      <c r="E746" s="975"/>
      <c r="F746" s="975"/>
      <c r="G746" s="1057">
        <f>'II. Inputs, Baseline Energy Mix'!$S$90</f>
        <v>0</v>
      </c>
      <c r="H746" s="975"/>
      <c r="I746" s="975"/>
      <c r="J746" s="975"/>
      <c r="K746" s="975"/>
      <c r="L746" s="975"/>
      <c r="M746" s="975"/>
      <c r="N746" s="975"/>
      <c r="O746" s="975"/>
      <c r="P746" s="975"/>
      <c r="Q746" s="975"/>
      <c r="R746" s="975"/>
      <c r="S746" s="975"/>
      <c r="T746" s="975"/>
      <c r="U746" s="975"/>
      <c r="V746" s="975"/>
      <c r="W746" s="975"/>
      <c r="X746" s="975"/>
      <c r="Y746" s="975"/>
      <c r="Z746" s="975"/>
      <c r="AA746" s="975"/>
      <c r="AB746" s="975"/>
      <c r="AC746" s="975"/>
      <c r="AD746" s="975"/>
      <c r="AE746" s="975"/>
      <c r="AF746" s="975"/>
      <c r="AG746" s="975"/>
      <c r="AH746" s="975"/>
      <c r="AI746" s="975"/>
      <c r="AJ746" s="975"/>
      <c r="AK746" s="975"/>
      <c r="AL746" s="975"/>
      <c r="AM746" s="975"/>
      <c r="AN746" s="975"/>
      <c r="AO746" s="975"/>
      <c r="AP746" s="975"/>
      <c r="AQ746" s="975"/>
      <c r="AR746" s="975"/>
      <c r="AS746" s="975"/>
      <c r="AT746" s="975"/>
      <c r="AU746" s="975"/>
      <c r="AV746" s="975"/>
      <c r="AW746" s="975"/>
      <c r="AX746" s="975"/>
      <c r="AY746" s="975"/>
      <c r="AZ746" s="975"/>
      <c r="BA746" s="975"/>
      <c r="BB746" s="975"/>
      <c r="BC746" s="975"/>
      <c r="BD746" s="975"/>
      <c r="BE746" s="976"/>
      <c r="BF746" s="695"/>
    </row>
    <row r="747" spans="1:58" x14ac:dyDescent="0.45">
      <c r="A747" s="695"/>
      <c r="B747" s="974"/>
      <c r="C747" s="1051" t="str">
        <f>'II. Inputs, Baseline Energy Mix'!$E$91</f>
        <v xml:space="preserve">Annual Political Risk Insurance Premium </v>
      </c>
      <c r="D747" s="975"/>
      <c r="E747" s="975"/>
      <c r="F747" s="975"/>
      <c r="G747" s="1057">
        <f>'II. Inputs, Baseline Energy Mix'!$S$91</f>
        <v>0</v>
      </c>
      <c r="H747" s="975"/>
      <c r="I747" s="975"/>
      <c r="J747" s="975"/>
      <c r="K747" s="975"/>
      <c r="L747" s="975"/>
      <c r="M747" s="975"/>
      <c r="N747" s="975"/>
      <c r="O747" s="975"/>
      <c r="P747" s="975"/>
      <c r="Q747" s="975"/>
      <c r="R747" s="975"/>
      <c r="S747" s="975"/>
      <c r="T747" s="975"/>
      <c r="U747" s="975"/>
      <c r="V747" s="975"/>
      <c r="W747" s="975"/>
      <c r="X747" s="975"/>
      <c r="Y747" s="975"/>
      <c r="Z747" s="975"/>
      <c r="AA747" s="975"/>
      <c r="AB747" s="975"/>
      <c r="AC747" s="975"/>
      <c r="AD747" s="975"/>
      <c r="AE747" s="975"/>
      <c r="AF747" s="975"/>
      <c r="AG747" s="975"/>
      <c r="AH747" s="975"/>
      <c r="AI747" s="975"/>
      <c r="AJ747" s="975"/>
      <c r="AK747" s="975"/>
      <c r="AL747" s="975"/>
      <c r="AM747" s="975"/>
      <c r="AN747" s="975"/>
      <c r="AO747" s="975"/>
      <c r="AP747" s="975"/>
      <c r="AQ747" s="975"/>
      <c r="AR747" s="975"/>
      <c r="AS747" s="975"/>
      <c r="AT747" s="975"/>
      <c r="AU747" s="975"/>
      <c r="AV747" s="975"/>
      <c r="AW747" s="975"/>
      <c r="AX747" s="975"/>
      <c r="AY747" s="975"/>
      <c r="AZ747" s="975"/>
      <c r="BA747" s="975"/>
      <c r="BB747" s="975"/>
      <c r="BC747" s="975"/>
      <c r="BD747" s="975"/>
      <c r="BE747" s="976"/>
      <c r="BF747" s="695"/>
    </row>
    <row r="748" spans="1:58" x14ac:dyDescent="0.45">
      <c r="A748" s="695"/>
      <c r="B748" s="974"/>
      <c r="C748" s="975"/>
      <c r="D748" s="975"/>
      <c r="E748" s="975"/>
      <c r="F748" s="975"/>
      <c r="G748" s="975"/>
      <c r="H748" s="975"/>
      <c r="I748" s="975"/>
      <c r="J748" s="975"/>
      <c r="K748" s="975"/>
      <c r="L748" s="975"/>
      <c r="M748" s="975"/>
      <c r="N748" s="975"/>
      <c r="O748" s="975"/>
      <c r="P748" s="975"/>
      <c r="Q748" s="975"/>
      <c r="R748" s="975"/>
      <c r="S748" s="975"/>
      <c r="T748" s="975"/>
      <c r="U748" s="975"/>
      <c r="V748" s="975"/>
      <c r="W748" s="975"/>
      <c r="X748" s="975"/>
      <c r="Y748" s="975"/>
      <c r="Z748" s="975"/>
      <c r="AA748" s="975"/>
      <c r="AB748" s="975"/>
      <c r="AC748" s="975"/>
      <c r="AD748" s="975"/>
      <c r="AE748" s="975"/>
      <c r="AF748" s="975"/>
      <c r="AG748" s="975"/>
      <c r="AH748" s="975"/>
      <c r="AI748" s="975"/>
      <c r="AJ748" s="975"/>
      <c r="AK748" s="975"/>
      <c r="AL748" s="975"/>
      <c r="AM748" s="975"/>
      <c r="AN748" s="975"/>
      <c r="AO748" s="975"/>
      <c r="AP748" s="975"/>
      <c r="AQ748" s="975"/>
      <c r="AR748" s="975"/>
      <c r="AS748" s="975"/>
      <c r="AT748" s="975"/>
      <c r="AU748" s="975"/>
      <c r="AV748" s="975"/>
      <c r="AW748" s="975"/>
      <c r="AX748" s="975"/>
      <c r="AY748" s="975"/>
      <c r="AZ748" s="975"/>
      <c r="BA748" s="975"/>
      <c r="BB748" s="975"/>
      <c r="BC748" s="975"/>
      <c r="BD748" s="975"/>
      <c r="BE748" s="976"/>
      <c r="BF748" s="695"/>
    </row>
    <row r="749" spans="1:58" x14ac:dyDescent="0.45">
      <c r="A749" s="695"/>
      <c r="B749" s="974"/>
      <c r="C749" s="1054" t="s">
        <v>64</v>
      </c>
      <c r="D749" s="975"/>
      <c r="E749" s="975"/>
      <c r="F749" s="975"/>
      <c r="G749" s="975"/>
      <c r="H749" s="975"/>
      <c r="I749" s="975"/>
      <c r="J749" s="975"/>
      <c r="K749" s="975"/>
      <c r="L749" s="975"/>
      <c r="M749" s="975"/>
      <c r="N749" s="975"/>
      <c r="O749" s="975"/>
      <c r="P749" s="975"/>
      <c r="Q749" s="975"/>
      <c r="R749" s="975"/>
      <c r="S749" s="975"/>
      <c r="T749" s="975"/>
      <c r="U749" s="975"/>
      <c r="V749" s="975"/>
      <c r="W749" s="975"/>
      <c r="X749" s="975"/>
      <c r="Y749" s="975"/>
      <c r="Z749" s="975"/>
      <c r="AA749" s="975"/>
      <c r="AB749" s="975"/>
      <c r="AC749" s="975"/>
      <c r="AD749" s="975"/>
      <c r="AE749" s="975"/>
      <c r="AF749" s="975"/>
      <c r="AG749" s="975"/>
      <c r="AH749" s="975"/>
      <c r="AI749" s="975"/>
      <c r="AJ749" s="975"/>
      <c r="AK749" s="975"/>
      <c r="AL749" s="975"/>
      <c r="AM749" s="975"/>
      <c r="AN749" s="975"/>
      <c r="AO749" s="975"/>
      <c r="AP749" s="975"/>
      <c r="AQ749" s="975"/>
      <c r="AR749" s="975"/>
      <c r="AS749" s="975"/>
      <c r="AT749" s="975"/>
      <c r="AU749" s="975"/>
      <c r="AV749" s="975"/>
      <c r="AW749" s="975"/>
      <c r="AX749" s="975"/>
      <c r="AY749" s="975"/>
      <c r="AZ749" s="975"/>
      <c r="BA749" s="975"/>
      <c r="BB749" s="975"/>
      <c r="BC749" s="975"/>
      <c r="BD749" s="975"/>
      <c r="BE749" s="976"/>
      <c r="BF749" s="695"/>
    </row>
    <row r="750" spans="1:58" x14ac:dyDescent="0.45">
      <c r="A750" s="695"/>
      <c r="B750" s="974"/>
      <c r="C750" s="975" t="str">
        <f>'II. Inputs, Baseline Energy Mix'!$E$90</f>
        <v xml:space="preserve">Front-end Fee </v>
      </c>
      <c r="D750" s="975"/>
      <c r="E750" s="975"/>
      <c r="F750" s="975"/>
      <c r="G750" s="975"/>
      <c r="H750" s="1582">
        <f>IF(G744&gt;0, G744*G746/10000, 0)</f>
        <v>0</v>
      </c>
      <c r="I750" s="1582">
        <v>0</v>
      </c>
      <c r="J750" s="1582">
        <v>0</v>
      </c>
      <c r="K750" s="1582">
        <v>0</v>
      </c>
      <c r="L750" s="1582">
        <v>0</v>
      </c>
      <c r="M750" s="1582">
        <v>0</v>
      </c>
      <c r="N750" s="1582">
        <v>0</v>
      </c>
      <c r="O750" s="1582">
        <v>0</v>
      </c>
      <c r="P750" s="1582">
        <v>0</v>
      </c>
      <c r="Q750" s="1582">
        <v>0</v>
      </c>
      <c r="R750" s="1582">
        <v>0</v>
      </c>
      <c r="S750" s="1582">
        <v>0</v>
      </c>
      <c r="T750" s="1582">
        <v>0</v>
      </c>
      <c r="U750" s="1582">
        <v>0</v>
      </c>
      <c r="V750" s="1582">
        <v>0</v>
      </c>
      <c r="W750" s="1582">
        <v>0</v>
      </c>
      <c r="X750" s="1582">
        <v>0</v>
      </c>
      <c r="Y750" s="1582">
        <v>0</v>
      </c>
      <c r="Z750" s="1582">
        <v>0</v>
      </c>
      <c r="AA750" s="1582">
        <v>0</v>
      </c>
      <c r="AB750" s="1582">
        <v>0</v>
      </c>
      <c r="AC750" s="1582">
        <v>0</v>
      </c>
      <c r="AD750" s="1582">
        <v>0</v>
      </c>
      <c r="AE750" s="1582">
        <v>0</v>
      </c>
      <c r="AF750" s="1582">
        <v>0</v>
      </c>
      <c r="AG750" s="1582">
        <v>0</v>
      </c>
      <c r="AH750" s="1582">
        <v>0</v>
      </c>
      <c r="AI750" s="1582">
        <v>0</v>
      </c>
      <c r="AJ750" s="1582">
        <v>0</v>
      </c>
      <c r="AK750" s="1582">
        <v>0</v>
      </c>
      <c r="AL750" s="1582">
        <v>0</v>
      </c>
      <c r="AM750" s="1582">
        <v>0</v>
      </c>
      <c r="AN750" s="1582">
        <v>0</v>
      </c>
      <c r="AO750" s="1582">
        <v>0</v>
      </c>
      <c r="AP750" s="1582">
        <v>0</v>
      </c>
      <c r="AQ750" s="1582">
        <v>0</v>
      </c>
      <c r="AR750" s="1582">
        <v>0</v>
      </c>
      <c r="AS750" s="1582">
        <v>0</v>
      </c>
      <c r="AT750" s="1582">
        <v>0</v>
      </c>
      <c r="AU750" s="1582">
        <v>0</v>
      </c>
      <c r="AV750" s="1582">
        <v>0</v>
      </c>
      <c r="AW750" s="1582">
        <v>0</v>
      </c>
      <c r="AX750" s="1582">
        <v>0</v>
      </c>
      <c r="AY750" s="1582">
        <v>0</v>
      </c>
      <c r="AZ750" s="1582">
        <v>0</v>
      </c>
      <c r="BA750" s="1582">
        <v>0</v>
      </c>
      <c r="BB750" s="1582">
        <v>0</v>
      </c>
      <c r="BC750" s="1582">
        <v>0</v>
      </c>
      <c r="BD750" s="1582">
        <v>0</v>
      </c>
      <c r="BE750" s="1583">
        <v>0</v>
      </c>
      <c r="BF750" s="695"/>
    </row>
    <row r="751" spans="1:58" x14ac:dyDescent="0.45">
      <c r="A751" s="695"/>
      <c r="B751" s="974"/>
      <c r="C751" s="982" t="str">
        <f>'II. Inputs, Baseline Energy Mix'!$E$91</f>
        <v xml:space="preserve">Annual Political Risk Insurance Premium </v>
      </c>
      <c r="D751" s="982"/>
      <c r="E751" s="982"/>
      <c r="F751" s="982"/>
      <c r="G751" s="982"/>
      <c r="H751" s="1584">
        <f>IF(H$292&gt;$G745,0,($G744*$G747/10000))</f>
        <v>0</v>
      </c>
      <c r="I751" s="1584">
        <f>IF(I$292&gt;$G745,0,($G744*$G747/10000))</f>
        <v>0</v>
      </c>
      <c r="J751" s="1584">
        <f t="shared" ref="J751:BE751" si="252">IF(J$292&gt;$G745,0,($G744*$G747/10000))</f>
        <v>0</v>
      </c>
      <c r="K751" s="1584">
        <f t="shared" si="252"/>
        <v>0</v>
      </c>
      <c r="L751" s="1584">
        <f t="shared" si="252"/>
        <v>0</v>
      </c>
      <c r="M751" s="1584">
        <f t="shared" si="252"/>
        <v>0</v>
      </c>
      <c r="N751" s="1584">
        <f t="shared" si="252"/>
        <v>0</v>
      </c>
      <c r="O751" s="1584">
        <f t="shared" si="252"/>
        <v>0</v>
      </c>
      <c r="P751" s="1584">
        <f t="shared" si="252"/>
        <v>0</v>
      </c>
      <c r="Q751" s="1584">
        <f t="shared" si="252"/>
        <v>0</v>
      </c>
      <c r="R751" s="1584">
        <f t="shared" si="252"/>
        <v>0</v>
      </c>
      <c r="S751" s="1584">
        <f t="shared" si="252"/>
        <v>0</v>
      </c>
      <c r="T751" s="1584">
        <f t="shared" si="252"/>
        <v>0</v>
      </c>
      <c r="U751" s="1584">
        <f t="shared" si="252"/>
        <v>0</v>
      </c>
      <c r="V751" s="1584">
        <f t="shared" si="252"/>
        <v>0</v>
      </c>
      <c r="W751" s="1584">
        <f t="shared" si="252"/>
        <v>0</v>
      </c>
      <c r="X751" s="1584">
        <f t="shared" si="252"/>
        <v>0</v>
      </c>
      <c r="Y751" s="1584">
        <f t="shared" si="252"/>
        <v>0</v>
      </c>
      <c r="Z751" s="1584">
        <f t="shared" si="252"/>
        <v>0</v>
      </c>
      <c r="AA751" s="1584">
        <f t="shared" si="252"/>
        <v>0</v>
      </c>
      <c r="AB751" s="1584">
        <f t="shared" si="252"/>
        <v>0</v>
      </c>
      <c r="AC751" s="1584">
        <f t="shared" si="252"/>
        <v>0</v>
      </c>
      <c r="AD751" s="1584">
        <f t="shared" si="252"/>
        <v>0</v>
      </c>
      <c r="AE751" s="1584">
        <f t="shared" si="252"/>
        <v>0</v>
      </c>
      <c r="AF751" s="1584">
        <f t="shared" si="252"/>
        <v>0</v>
      </c>
      <c r="AG751" s="1584">
        <f t="shared" si="252"/>
        <v>0</v>
      </c>
      <c r="AH751" s="1584">
        <f t="shared" si="252"/>
        <v>0</v>
      </c>
      <c r="AI751" s="1584">
        <f t="shared" si="252"/>
        <v>0</v>
      </c>
      <c r="AJ751" s="1584">
        <f t="shared" si="252"/>
        <v>0</v>
      </c>
      <c r="AK751" s="1584">
        <f t="shared" si="252"/>
        <v>0</v>
      </c>
      <c r="AL751" s="1584">
        <f t="shared" si="252"/>
        <v>0</v>
      </c>
      <c r="AM751" s="1584">
        <f t="shared" si="252"/>
        <v>0</v>
      </c>
      <c r="AN751" s="1584">
        <f t="shared" si="252"/>
        <v>0</v>
      </c>
      <c r="AO751" s="1584">
        <f t="shared" si="252"/>
        <v>0</v>
      </c>
      <c r="AP751" s="1584">
        <f t="shared" si="252"/>
        <v>0</v>
      </c>
      <c r="AQ751" s="1584">
        <f t="shared" si="252"/>
        <v>0</v>
      </c>
      <c r="AR751" s="1584">
        <f t="shared" si="252"/>
        <v>0</v>
      </c>
      <c r="AS751" s="1584">
        <f t="shared" si="252"/>
        <v>0</v>
      </c>
      <c r="AT751" s="1584">
        <f t="shared" si="252"/>
        <v>0</v>
      </c>
      <c r="AU751" s="1584">
        <f t="shared" si="252"/>
        <v>0</v>
      </c>
      <c r="AV751" s="1584">
        <f t="shared" si="252"/>
        <v>0</v>
      </c>
      <c r="AW751" s="1584">
        <f t="shared" si="252"/>
        <v>0</v>
      </c>
      <c r="AX751" s="1584">
        <f t="shared" si="252"/>
        <v>0</v>
      </c>
      <c r="AY751" s="1584">
        <f t="shared" si="252"/>
        <v>0</v>
      </c>
      <c r="AZ751" s="1584">
        <f t="shared" si="252"/>
        <v>0</v>
      </c>
      <c r="BA751" s="1584">
        <f t="shared" si="252"/>
        <v>0</v>
      </c>
      <c r="BB751" s="1584">
        <f t="shared" si="252"/>
        <v>0</v>
      </c>
      <c r="BC751" s="1584">
        <f t="shared" si="252"/>
        <v>0</v>
      </c>
      <c r="BD751" s="1584">
        <f t="shared" si="252"/>
        <v>0</v>
      </c>
      <c r="BE751" s="1585">
        <f t="shared" si="252"/>
        <v>0</v>
      </c>
      <c r="BF751" s="695"/>
    </row>
    <row r="752" spans="1:58" x14ac:dyDescent="0.45">
      <c r="A752" s="695"/>
      <c r="B752" s="974"/>
      <c r="C752" s="975" t="s">
        <v>78</v>
      </c>
      <c r="D752" s="975"/>
      <c r="E752" s="975"/>
      <c r="F752" s="975"/>
      <c r="G752" s="975"/>
      <c r="H752" s="1582">
        <f>H750+H751</f>
        <v>0</v>
      </c>
      <c r="I752" s="1582">
        <f t="shared" ref="I752:BE752" si="253">I750+I751</f>
        <v>0</v>
      </c>
      <c r="J752" s="1582">
        <f t="shared" si="253"/>
        <v>0</v>
      </c>
      <c r="K752" s="1582">
        <f t="shared" si="253"/>
        <v>0</v>
      </c>
      <c r="L752" s="1582">
        <f t="shared" si="253"/>
        <v>0</v>
      </c>
      <c r="M752" s="1582">
        <f t="shared" si="253"/>
        <v>0</v>
      </c>
      <c r="N752" s="1582">
        <f t="shared" si="253"/>
        <v>0</v>
      </c>
      <c r="O752" s="1582">
        <f t="shared" si="253"/>
        <v>0</v>
      </c>
      <c r="P752" s="1582">
        <f t="shared" si="253"/>
        <v>0</v>
      </c>
      <c r="Q752" s="1582">
        <f t="shared" si="253"/>
        <v>0</v>
      </c>
      <c r="R752" s="1582">
        <f t="shared" si="253"/>
        <v>0</v>
      </c>
      <c r="S752" s="1582">
        <f t="shared" si="253"/>
        <v>0</v>
      </c>
      <c r="T752" s="1582">
        <f t="shared" si="253"/>
        <v>0</v>
      </c>
      <c r="U752" s="1582">
        <f t="shared" si="253"/>
        <v>0</v>
      </c>
      <c r="V752" s="1582">
        <f t="shared" si="253"/>
        <v>0</v>
      </c>
      <c r="W752" s="1582">
        <f t="shared" si="253"/>
        <v>0</v>
      </c>
      <c r="X752" s="1582">
        <f t="shared" si="253"/>
        <v>0</v>
      </c>
      <c r="Y752" s="1582">
        <f t="shared" si="253"/>
        <v>0</v>
      </c>
      <c r="Z752" s="1582">
        <f t="shared" si="253"/>
        <v>0</v>
      </c>
      <c r="AA752" s="1582">
        <f t="shared" si="253"/>
        <v>0</v>
      </c>
      <c r="AB752" s="1582">
        <f t="shared" si="253"/>
        <v>0</v>
      </c>
      <c r="AC752" s="1582">
        <f t="shared" si="253"/>
        <v>0</v>
      </c>
      <c r="AD752" s="1582">
        <f t="shared" si="253"/>
        <v>0</v>
      </c>
      <c r="AE752" s="1582">
        <f t="shared" si="253"/>
        <v>0</v>
      </c>
      <c r="AF752" s="1582">
        <f t="shared" si="253"/>
        <v>0</v>
      </c>
      <c r="AG752" s="1582">
        <f t="shared" si="253"/>
        <v>0</v>
      </c>
      <c r="AH752" s="1582">
        <f t="shared" si="253"/>
        <v>0</v>
      </c>
      <c r="AI752" s="1582">
        <f t="shared" si="253"/>
        <v>0</v>
      </c>
      <c r="AJ752" s="1582">
        <f t="shared" si="253"/>
        <v>0</v>
      </c>
      <c r="AK752" s="1582">
        <f t="shared" si="253"/>
        <v>0</v>
      </c>
      <c r="AL752" s="1582">
        <f t="shared" si="253"/>
        <v>0</v>
      </c>
      <c r="AM752" s="1582">
        <f t="shared" si="253"/>
        <v>0</v>
      </c>
      <c r="AN752" s="1582">
        <f t="shared" si="253"/>
        <v>0</v>
      </c>
      <c r="AO752" s="1582">
        <f t="shared" si="253"/>
        <v>0</v>
      </c>
      <c r="AP752" s="1582">
        <f t="shared" si="253"/>
        <v>0</v>
      </c>
      <c r="AQ752" s="1582">
        <f t="shared" si="253"/>
        <v>0</v>
      </c>
      <c r="AR752" s="1582">
        <f t="shared" si="253"/>
        <v>0</v>
      </c>
      <c r="AS752" s="1582">
        <f t="shared" si="253"/>
        <v>0</v>
      </c>
      <c r="AT752" s="1582">
        <f t="shared" si="253"/>
        <v>0</v>
      </c>
      <c r="AU752" s="1582">
        <f t="shared" si="253"/>
        <v>0</v>
      </c>
      <c r="AV752" s="1582">
        <f t="shared" si="253"/>
        <v>0</v>
      </c>
      <c r="AW752" s="1582">
        <f t="shared" si="253"/>
        <v>0</v>
      </c>
      <c r="AX752" s="1582">
        <f t="shared" si="253"/>
        <v>0</v>
      </c>
      <c r="AY752" s="1582">
        <f t="shared" si="253"/>
        <v>0</v>
      </c>
      <c r="AZ752" s="1582">
        <f t="shared" si="253"/>
        <v>0</v>
      </c>
      <c r="BA752" s="1582">
        <f t="shared" si="253"/>
        <v>0</v>
      </c>
      <c r="BB752" s="1582">
        <f t="shared" si="253"/>
        <v>0</v>
      </c>
      <c r="BC752" s="1582">
        <f t="shared" si="253"/>
        <v>0</v>
      </c>
      <c r="BD752" s="1582">
        <f t="shared" si="253"/>
        <v>0</v>
      </c>
      <c r="BE752" s="1583">
        <f t="shared" si="253"/>
        <v>0</v>
      </c>
      <c r="BF752" s="695"/>
    </row>
    <row r="753" spans="1:58" ht="13.15" thickBot="1" x14ac:dyDescent="0.5">
      <c r="A753" s="695"/>
      <c r="B753" s="1058"/>
      <c r="C753" s="998"/>
      <c r="D753" s="998"/>
      <c r="E753" s="998"/>
      <c r="F753" s="998"/>
      <c r="G753" s="998"/>
      <c r="H753" s="1587"/>
      <c r="I753" s="1587"/>
      <c r="J753" s="1587"/>
      <c r="K753" s="1587"/>
      <c r="L753" s="1587"/>
      <c r="M753" s="1587"/>
      <c r="N753" s="1587"/>
      <c r="O753" s="1587"/>
      <c r="P753" s="1587"/>
      <c r="Q753" s="1587"/>
      <c r="R753" s="1587"/>
      <c r="S753" s="1587"/>
      <c r="T753" s="1587"/>
      <c r="U753" s="1587"/>
      <c r="V753" s="1587"/>
      <c r="W753" s="1587"/>
      <c r="X753" s="1587"/>
      <c r="Y753" s="1587"/>
      <c r="Z753" s="1587"/>
      <c r="AA753" s="1587"/>
      <c r="AB753" s="1587"/>
      <c r="AC753" s="1587"/>
      <c r="AD753" s="1587"/>
      <c r="AE753" s="1587"/>
      <c r="AF753" s="1587"/>
      <c r="AG753" s="1587"/>
      <c r="AH753" s="1587"/>
      <c r="AI753" s="1587"/>
      <c r="AJ753" s="1587"/>
      <c r="AK753" s="1587"/>
      <c r="AL753" s="1587"/>
      <c r="AM753" s="1587"/>
      <c r="AN753" s="1587"/>
      <c r="AO753" s="1587"/>
      <c r="AP753" s="1587"/>
      <c r="AQ753" s="1587"/>
      <c r="AR753" s="1587"/>
      <c r="AS753" s="1587"/>
      <c r="AT753" s="1587"/>
      <c r="AU753" s="1587"/>
      <c r="AV753" s="1587"/>
      <c r="AW753" s="1587"/>
      <c r="AX753" s="1587"/>
      <c r="AY753" s="1587"/>
      <c r="AZ753" s="1587"/>
      <c r="BA753" s="1587"/>
      <c r="BB753" s="1587"/>
      <c r="BC753" s="1587"/>
      <c r="BD753" s="1587"/>
      <c r="BE753" s="1601"/>
      <c r="BF753" s="695"/>
    </row>
    <row r="754" spans="1:58" x14ac:dyDescent="0.45">
      <c r="A754" s="695"/>
      <c r="B754" s="695"/>
      <c r="C754" s="695"/>
      <c r="D754" s="695"/>
      <c r="E754" s="695"/>
      <c r="F754" s="695"/>
      <c r="G754" s="695"/>
      <c r="H754" s="1548"/>
      <c r="I754" s="1548"/>
      <c r="J754" s="1548"/>
      <c r="K754" s="1548"/>
      <c r="L754" s="1548"/>
      <c r="M754" s="1548"/>
      <c r="N754" s="1548"/>
      <c r="O754" s="1548"/>
      <c r="P754" s="1548"/>
      <c r="Q754" s="1548"/>
      <c r="R754" s="1548"/>
      <c r="S754" s="1548"/>
      <c r="T754" s="1548"/>
      <c r="U754" s="1548"/>
      <c r="V754" s="1548"/>
      <c r="W754" s="1548"/>
      <c r="X754" s="1548"/>
      <c r="Y754" s="1548"/>
      <c r="Z754" s="1548"/>
      <c r="AA754" s="1548"/>
      <c r="AB754" s="1548"/>
      <c r="AC754" s="1548"/>
      <c r="AD754" s="1548"/>
      <c r="AE754" s="1548"/>
      <c r="AF754" s="1548"/>
      <c r="AG754" s="1548"/>
      <c r="AH754" s="1548"/>
      <c r="AI754" s="1548"/>
      <c r="AJ754" s="1548"/>
      <c r="AK754" s="1548"/>
      <c r="AL754" s="1548"/>
      <c r="AM754" s="1548"/>
      <c r="AN754" s="1548"/>
      <c r="AO754" s="1548"/>
      <c r="AP754" s="1548"/>
      <c r="AQ754" s="1548"/>
      <c r="AR754" s="1548"/>
      <c r="AS754" s="1548"/>
      <c r="AT754" s="1548"/>
      <c r="AU754" s="1548"/>
      <c r="AV754" s="1548"/>
      <c r="AW754" s="1548"/>
      <c r="AX754" s="1548"/>
      <c r="AY754" s="1548"/>
      <c r="AZ754" s="1548"/>
      <c r="BA754" s="1548"/>
      <c r="BB754" s="1548"/>
      <c r="BC754" s="1548"/>
      <c r="BD754" s="1548"/>
      <c r="BE754" s="1548"/>
      <c r="BF754" s="695"/>
    </row>
    <row r="755" spans="1:58" s="457" customFormat="1" ht="12.75" customHeight="1" x14ac:dyDescent="0.45">
      <c r="A755" s="1174" t="s">
        <v>224</v>
      </c>
      <c r="B755" s="462"/>
      <c r="C755" s="462"/>
      <c r="D755" s="462"/>
      <c r="E755" s="462"/>
      <c r="F755" s="462"/>
      <c r="G755" s="462"/>
      <c r="H755" s="462"/>
      <c r="I755" s="462"/>
      <c r="J755" s="463"/>
      <c r="K755" s="464"/>
      <c r="L755" s="464"/>
      <c r="M755" s="464"/>
      <c r="N755" s="464"/>
      <c r="O755" s="464"/>
      <c r="P755" s="464"/>
      <c r="Q755" s="464"/>
      <c r="R755" s="464"/>
      <c r="S755" s="464"/>
      <c r="T755" s="464"/>
      <c r="U755" s="464"/>
      <c r="V755" s="464"/>
      <c r="W755" s="464"/>
      <c r="X755" s="464"/>
      <c r="Y755" s="464"/>
      <c r="Z755" s="464"/>
      <c r="AA755" s="464"/>
      <c r="AB755" s="464"/>
      <c r="AC755" s="464"/>
      <c r="AD755" s="464"/>
      <c r="AE755" s="464"/>
      <c r="AF755" s="464"/>
      <c r="AG755" s="464"/>
      <c r="AH755" s="464"/>
      <c r="AI755" s="464"/>
      <c r="AJ755" s="464"/>
      <c r="AK755" s="464"/>
      <c r="AL755" s="464"/>
      <c r="AM755" s="464"/>
      <c r="AN755" s="464"/>
      <c r="AO755" s="464"/>
      <c r="AP755" s="464"/>
      <c r="AQ755" s="464"/>
      <c r="AR755" s="464"/>
      <c r="AS755" s="464"/>
      <c r="AT755" s="464"/>
      <c r="AU755" s="464"/>
      <c r="AV755" s="464"/>
      <c r="AW755" s="464"/>
      <c r="AX755" s="464"/>
      <c r="AY755" s="464"/>
      <c r="AZ755" s="464"/>
      <c r="BA755" s="464"/>
      <c r="BB755" s="464"/>
      <c r="BC755" s="464"/>
      <c r="BD755" s="464"/>
      <c r="BE755" s="464"/>
      <c r="BF755" s="461"/>
    </row>
    <row r="756" spans="1:58" x14ac:dyDescent="0.45">
      <c r="A756" s="695"/>
      <c r="B756" s="695"/>
      <c r="C756" s="695"/>
      <c r="D756" s="695"/>
      <c r="E756" s="695"/>
      <c r="F756" s="695"/>
      <c r="G756" s="695"/>
      <c r="H756" s="1548"/>
      <c r="I756" s="1548"/>
      <c r="J756" s="1548"/>
      <c r="K756" s="1548"/>
      <c r="L756" s="1548"/>
      <c r="M756" s="1548"/>
      <c r="N756" s="1548"/>
      <c r="O756" s="1548"/>
      <c r="P756" s="1548"/>
      <c r="Q756" s="1548"/>
      <c r="R756" s="1548"/>
      <c r="S756" s="1548"/>
      <c r="T756" s="1548"/>
      <c r="U756" s="1548"/>
      <c r="V756" s="1548"/>
      <c r="W756" s="1548"/>
      <c r="X756" s="1548"/>
      <c r="Y756" s="1548"/>
      <c r="Z756" s="1548"/>
      <c r="AA756" s="1548"/>
      <c r="AB756" s="1548"/>
      <c r="AC756" s="1548"/>
      <c r="AD756" s="1548"/>
      <c r="AE756" s="1548"/>
      <c r="AF756" s="1548"/>
      <c r="AG756" s="1548"/>
      <c r="AH756" s="1548"/>
      <c r="AI756" s="1548"/>
      <c r="AJ756" s="1548"/>
      <c r="AK756" s="1548"/>
      <c r="AL756" s="1548"/>
      <c r="AM756" s="1548"/>
      <c r="AN756" s="1548"/>
      <c r="AO756" s="1548"/>
      <c r="AP756" s="1548"/>
      <c r="AQ756" s="1548"/>
      <c r="AR756" s="1548"/>
      <c r="AS756" s="1548"/>
      <c r="AT756" s="1548"/>
      <c r="AU756" s="1548"/>
      <c r="AV756" s="1548"/>
      <c r="AW756" s="1548"/>
      <c r="AX756" s="1548"/>
      <c r="AY756" s="1548"/>
      <c r="AZ756" s="1548"/>
      <c r="BA756" s="1548"/>
      <c r="BB756" s="1548"/>
      <c r="BC756" s="1548"/>
      <c r="BD756" s="1548"/>
      <c r="BE756" s="1548"/>
      <c r="BF756" s="695"/>
    </row>
    <row r="757" spans="1:58" s="479" customFormat="1" ht="13.15" x14ac:dyDescent="0.45">
      <c r="A757" s="704"/>
      <c r="B757" s="1171" t="s">
        <v>51</v>
      </c>
      <c r="C757" s="1172"/>
      <c r="D757" s="1172"/>
      <c r="E757" s="1173"/>
      <c r="F757" s="1172"/>
      <c r="G757" s="1173">
        <v>0</v>
      </c>
      <c r="H757" s="1173">
        <v>1</v>
      </c>
      <c r="I757" s="1173">
        <v>2</v>
      </c>
      <c r="J757" s="1173">
        <v>3</v>
      </c>
      <c r="K757" s="1173">
        <v>4</v>
      </c>
      <c r="L757" s="1173">
        <v>5</v>
      </c>
      <c r="M757" s="1173">
        <v>6</v>
      </c>
      <c r="N757" s="1173">
        <v>7</v>
      </c>
      <c r="O757" s="1173">
        <v>8</v>
      </c>
      <c r="P757" s="1173">
        <v>9</v>
      </c>
      <c r="Q757" s="1173">
        <v>10</v>
      </c>
      <c r="R757" s="1173">
        <v>11</v>
      </c>
      <c r="S757" s="1173">
        <v>12</v>
      </c>
      <c r="T757" s="1173">
        <v>13</v>
      </c>
      <c r="U757" s="1173">
        <v>14</v>
      </c>
      <c r="V757" s="1173">
        <v>15</v>
      </c>
      <c r="W757" s="1173">
        <v>16</v>
      </c>
      <c r="X757" s="1173">
        <v>17</v>
      </c>
      <c r="Y757" s="1173">
        <v>18</v>
      </c>
      <c r="Z757" s="1173">
        <v>19</v>
      </c>
      <c r="AA757" s="1173">
        <v>20</v>
      </c>
      <c r="AB757" s="1173">
        <v>21</v>
      </c>
      <c r="AC757" s="1173">
        <v>22</v>
      </c>
      <c r="AD757" s="1173">
        <v>23</v>
      </c>
      <c r="AE757" s="1173">
        <v>24</v>
      </c>
      <c r="AF757" s="1173">
        <v>25</v>
      </c>
      <c r="AG757" s="1173">
        <v>26</v>
      </c>
      <c r="AH757" s="1173">
        <v>27</v>
      </c>
      <c r="AI757" s="1173">
        <v>28</v>
      </c>
      <c r="AJ757" s="1173">
        <v>29</v>
      </c>
      <c r="AK757" s="1173">
        <v>30</v>
      </c>
      <c r="AL757" s="1173">
        <v>31</v>
      </c>
      <c r="AM757" s="1173">
        <v>32</v>
      </c>
      <c r="AN757" s="1173">
        <v>33</v>
      </c>
      <c r="AO757" s="1173">
        <v>34</v>
      </c>
      <c r="AP757" s="1173">
        <v>35</v>
      </c>
      <c r="AQ757" s="1173">
        <v>36</v>
      </c>
      <c r="AR757" s="1173">
        <v>37</v>
      </c>
      <c r="AS757" s="1173">
        <v>38</v>
      </c>
      <c r="AT757" s="1173">
        <v>39</v>
      </c>
      <c r="AU757" s="1173">
        <v>40</v>
      </c>
      <c r="AV757" s="1173">
        <v>41</v>
      </c>
      <c r="AW757" s="1173">
        <v>42</v>
      </c>
      <c r="AX757" s="1173">
        <v>43</v>
      </c>
      <c r="AY757" s="1173">
        <v>44</v>
      </c>
      <c r="AZ757" s="1173">
        <v>45</v>
      </c>
      <c r="BA757" s="1173">
        <v>46</v>
      </c>
      <c r="BB757" s="1173">
        <v>47</v>
      </c>
      <c r="BC757" s="1173">
        <v>48</v>
      </c>
      <c r="BD757" s="1173">
        <v>49</v>
      </c>
      <c r="BE757" s="1173">
        <v>50</v>
      </c>
      <c r="BF757" s="704"/>
    </row>
    <row r="758" spans="1:58" x14ac:dyDescent="0.45">
      <c r="A758" s="695"/>
      <c r="B758" s="695"/>
      <c r="C758" s="695"/>
      <c r="D758" s="695"/>
      <c r="E758" s="695"/>
      <c r="F758" s="695"/>
      <c r="G758" s="695"/>
      <c r="H758" s="1548"/>
      <c r="I758" s="1548"/>
      <c r="J758" s="1548"/>
      <c r="K758" s="1548"/>
      <c r="L758" s="1548"/>
      <c r="M758" s="1548"/>
      <c r="N758" s="1548"/>
      <c r="O758" s="1548"/>
      <c r="P758" s="1548"/>
      <c r="Q758" s="1548"/>
      <c r="R758" s="1548"/>
      <c r="S758" s="1548"/>
      <c r="T758" s="1548"/>
      <c r="U758" s="1548"/>
      <c r="V758" s="1548"/>
      <c r="W758" s="1548"/>
      <c r="X758" s="1548"/>
      <c r="Y758" s="1548"/>
      <c r="Z758" s="1548"/>
      <c r="AA758" s="1548"/>
      <c r="AB758" s="1548"/>
      <c r="AC758" s="1548"/>
      <c r="AD758" s="1548"/>
      <c r="AE758" s="1548"/>
      <c r="AF758" s="1548"/>
      <c r="AG758" s="1548"/>
      <c r="AH758" s="1548"/>
      <c r="AI758" s="1548"/>
      <c r="AJ758" s="1548"/>
      <c r="AK758" s="1548"/>
      <c r="AL758" s="1548"/>
      <c r="AM758" s="1548"/>
      <c r="AN758" s="1548"/>
      <c r="AO758" s="1548"/>
      <c r="AP758" s="1548"/>
      <c r="AQ758" s="1548"/>
      <c r="AR758" s="1548"/>
      <c r="AS758" s="1548"/>
      <c r="AT758" s="1548"/>
      <c r="AU758" s="1548"/>
      <c r="AV758" s="1548"/>
      <c r="AW758" s="1548"/>
      <c r="AX758" s="1548"/>
      <c r="AY758" s="1548"/>
      <c r="AZ758" s="1548"/>
      <c r="BA758" s="1548"/>
      <c r="BB758" s="1548"/>
      <c r="BC758" s="1548"/>
      <c r="BD758" s="1548"/>
      <c r="BE758" s="1548"/>
      <c r="BF758" s="695"/>
    </row>
    <row r="759" spans="1:58" ht="13.15" x14ac:dyDescent="0.45">
      <c r="A759" s="695"/>
      <c r="B759" s="1059"/>
      <c r="C759" s="1060" t="str">
        <f>'II. Inputs, Baseline Energy Mix'!N18</f>
        <v>CCGT</v>
      </c>
      <c r="D759" s="1061"/>
      <c r="E759" s="1061"/>
      <c r="F759" s="1061"/>
      <c r="G759" s="1061"/>
      <c r="H759" s="1061"/>
      <c r="I759" s="1602"/>
      <c r="J759" s="1602"/>
      <c r="K759" s="1602"/>
      <c r="L759" s="1602"/>
      <c r="M759" s="1602"/>
      <c r="N759" s="1602"/>
      <c r="O759" s="1602"/>
      <c r="P759" s="1602"/>
      <c r="Q759" s="1602"/>
      <c r="R759" s="1602"/>
      <c r="S759" s="1602"/>
      <c r="T759" s="1602"/>
      <c r="U759" s="1602"/>
      <c r="V759" s="1602"/>
      <c r="W759" s="1602"/>
      <c r="X759" s="1602"/>
      <c r="Y759" s="1602"/>
      <c r="Z759" s="1602"/>
      <c r="AA759" s="1602"/>
      <c r="AB759" s="1602"/>
      <c r="AC759" s="1602"/>
      <c r="AD759" s="1602"/>
      <c r="AE759" s="1602"/>
      <c r="AF759" s="1602"/>
      <c r="AG759" s="1602"/>
      <c r="AH759" s="1602"/>
      <c r="AI759" s="1602"/>
      <c r="AJ759" s="1602"/>
      <c r="AK759" s="1602"/>
      <c r="AL759" s="1602"/>
      <c r="AM759" s="1602"/>
      <c r="AN759" s="1602"/>
      <c r="AO759" s="1602"/>
      <c r="AP759" s="1602"/>
      <c r="AQ759" s="1602"/>
      <c r="AR759" s="1602"/>
      <c r="AS759" s="1602"/>
      <c r="AT759" s="1602"/>
      <c r="AU759" s="1602"/>
      <c r="AV759" s="1602"/>
      <c r="AW759" s="1602"/>
      <c r="AX759" s="1602"/>
      <c r="AY759" s="1602"/>
      <c r="AZ759" s="1602"/>
      <c r="BA759" s="1602"/>
      <c r="BB759" s="1602"/>
      <c r="BC759" s="1602"/>
      <c r="BD759" s="1602"/>
      <c r="BE759" s="1603"/>
      <c r="BF759" s="695"/>
    </row>
    <row r="760" spans="1:58" x14ac:dyDescent="0.45">
      <c r="A760" s="695"/>
      <c r="B760" s="1062"/>
      <c r="C760" s="837"/>
      <c r="D760" s="837"/>
      <c r="E760" s="837"/>
      <c r="F760" s="837"/>
      <c r="G760" s="837"/>
      <c r="H760" s="837"/>
      <c r="I760" s="1543"/>
      <c r="J760" s="1543"/>
      <c r="K760" s="1543"/>
      <c r="L760" s="1543"/>
      <c r="M760" s="1543"/>
      <c r="N760" s="1543"/>
      <c r="O760" s="1543"/>
      <c r="P760" s="1543"/>
      <c r="Q760" s="1543"/>
      <c r="R760" s="1543"/>
      <c r="S760" s="1543"/>
      <c r="T760" s="1543"/>
      <c r="U760" s="1543"/>
      <c r="V760" s="1543"/>
      <c r="W760" s="1543"/>
      <c r="X760" s="1543"/>
      <c r="Y760" s="1543"/>
      <c r="Z760" s="1543"/>
      <c r="AA760" s="1543"/>
      <c r="AB760" s="1543"/>
      <c r="AC760" s="1543"/>
      <c r="AD760" s="1543"/>
      <c r="AE760" s="1543"/>
      <c r="AF760" s="1543"/>
      <c r="AG760" s="1543"/>
      <c r="AH760" s="1543"/>
      <c r="AI760" s="1543"/>
      <c r="AJ760" s="1543"/>
      <c r="AK760" s="1543"/>
      <c r="AL760" s="1543"/>
      <c r="AM760" s="1543"/>
      <c r="AN760" s="1543"/>
      <c r="AO760" s="1543"/>
      <c r="AP760" s="1543"/>
      <c r="AQ760" s="1543"/>
      <c r="AR760" s="1543"/>
      <c r="AS760" s="1543"/>
      <c r="AT760" s="1543"/>
      <c r="AU760" s="1543"/>
      <c r="AV760" s="1543"/>
      <c r="AW760" s="1543"/>
      <c r="AX760" s="1543"/>
      <c r="AY760" s="1543"/>
      <c r="AZ760" s="1543"/>
      <c r="BA760" s="1543"/>
      <c r="BB760" s="1543"/>
      <c r="BC760" s="1543"/>
      <c r="BD760" s="1543"/>
      <c r="BE760" s="1604"/>
      <c r="BF760" s="695"/>
    </row>
    <row r="761" spans="1:58" x14ac:dyDescent="0.45">
      <c r="A761" s="695"/>
      <c r="B761" s="1062"/>
      <c r="C761" s="1063" t="s">
        <v>57</v>
      </c>
      <c r="D761" s="1064">
        <f>'II. Inputs, Baseline Energy Mix'!$N$22</f>
        <v>25</v>
      </c>
      <c r="E761" s="1065" t="s">
        <v>18</v>
      </c>
      <c r="F761" s="837"/>
      <c r="G761" s="837"/>
      <c r="H761" s="837"/>
      <c r="I761" s="1543"/>
      <c r="J761" s="1543"/>
      <c r="K761" s="1543"/>
      <c r="L761" s="1543"/>
      <c r="M761" s="1543"/>
      <c r="N761" s="1543"/>
      <c r="O761" s="1543"/>
      <c r="P761" s="1543"/>
      <c r="Q761" s="1543"/>
      <c r="R761" s="1543"/>
      <c r="S761" s="1543"/>
      <c r="T761" s="1543"/>
      <c r="U761" s="1543"/>
      <c r="V761" s="1543"/>
      <c r="W761" s="1543"/>
      <c r="X761" s="1543"/>
      <c r="Y761" s="1543"/>
      <c r="Z761" s="1543"/>
      <c r="AA761" s="1543"/>
      <c r="AB761" s="1543"/>
      <c r="AC761" s="1543"/>
      <c r="AD761" s="1543"/>
      <c r="AE761" s="1543"/>
      <c r="AF761" s="1543"/>
      <c r="AG761" s="1543"/>
      <c r="AH761" s="1543"/>
      <c r="AI761" s="1543"/>
      <c r="AJ761" s="1543"/>
      <c r="AK761" s="1543"/>
      <c r="AL761" s="1543"/>
      <c r="AM761" s="1543"/>
      <c r="AN761" s="1543"/>
      <c r="AO761" s="1543"/>
      <c r="AP761" s="1543"/>
      <c r="AQ761" s="1543"/>
      <c r="AR761" s="1543"/>
      <c r="AS761" s="1543"/>
      <c r="AT761" s="1543"/>
      <c r="AU761" s="1543"/>
      <c r="AV761" s="1543"/>
      <c r="AW761" s="1543"/>
      <c r="AX761" s="1543"/>
      <c r="AY761" s="1543"/>
      <c r="AZ761" s="1543"/>
      <c r="BA761" s="1543"/>
      <c r="BB761" s="1543"/>
      <c r="BC761" s="1543"/>
      <c r="BD761" s="1543"/>
      <c r="BE761" s="1604"/>
      <c r="BF761" s="695"/>
    </row>
    <row r="762" spans="1:58" x14ac:dyDescent="0.45">
      <c r="A762" s="695"/>
      <c r="B762" s="1062"/>
      <c r="C762" s="837"/>
      <c r="D762" s="837"/>
      <c r="E762" s="837"/>
      <c r="F762" s="837"/>
      <c r="G762" s="837"/>
      <c r="H762" s="837"/>
      <c r="I762" s="1543"/>
      <c r="J762" s="1543"/>
      <c r="K762" s="1543"/>
      <c r="L762" s="1543"/>
      <c r="M762" s="1543"/>
      <c r="N762" s="1543"/>
      <c r="O762" s="1543"/>
      <c r="P762" s="1543"/>
      <c r="Q762" s="1543"/>
      <c r="R762" s="1543"/>
      <c r="S762" s="1543"/>
      <c r="T762" s="1543"/>
      <c r="U762" s="1543"/>
      <c r="V762" s="1543"/>
      <c r="W762" s="1543"/>
      <c r="X762" s="1543"/>
      <c r="Y762" s="1543"/>
      <c r="Z762" s="1543"/>
      <c r="AA762" s="1543"/>
      <c r="AB762" s="1543"/>
      <c r="AC762" s="1543"/>
      <c r="AD762" s="1543"/>
      <c r="AE762" s="1543"/>
      <c r="AF762" s="1543"/>
      <c r="AG762" s="1543"/>
      <c r="AH762" s="1543"/>
      <c r="AI762" s="1543"/>
      <c r="AJ762" s="1543"/>
      <c r="AK762" s="1543"/>
      <c r="AL762" s="1543"/>
      <c r="AM762" s="1543"/>
      <c r="AN762" s="1543"/>
      <c r="AO762" s="1543"/>
      <c r="AP762" s="1543"/>
      <c r="AQ762" s="1543"/>
      <c r="AR762" s="1543"/>
      <c r="AS762" s="1543"/>
      <c r="AT762" s="1543"/>
      <c r="AU762" s="1543"/>
      <c r="AV762" s="1543"/>
      <c r="AW762" s="1543"/>
      <c r="AX762" s="1543"/>
      <c r="AY762" s="1543"/>
      <c r="AZ762" s="1543"/>
      <c r="BA762" s="1543"/>
      <c r="BB762" s="1543"/>
      <c r="BC762" s="1543"/>
      <c r="BD762" s="1543"/>
      <c r="BE762" s="1604"/>
      <c r="BF762" s="695"/>
    </row>
    <row r="763" spans="1:58" x14ac:dyDescent="0.45">
      <c r="A763" s="695"/>
      <c r="B763" s="1062"/>
      <c r="C763" s="837" t="s">
        <v>52</v>
      </c>
      <c r="D763" s="837"/>
      <c r="E763" s="837"/>
      <c r="F763" s="837"/>
      <c r="G763" s="1066"/>
      <c r="H763" s="1067">
        <f>IF(H$757&gt;$D761,0,1/$D761)</f>
        <v>0.04</v>
      </c>
      <c r="I763" s="1067">
        <f t="shared" ref="I763:BE763" si="254">IF(I$757&gt;$D761,0,1/$D761)</f>
        <v>0.04</v>
      </c>
      <c r="J763" s="1067">
        <f t="shared" si="254"/>
        <v>0.04</v>
      </c>
      <c r="K763" s="1067">
        <f t="shared" si="254"/>
        <v>0.04</v>
      </c>
      <c r="L763" s="1067">
        <f t="shared" si="254"/>
        <v>0.04</v>
      </c>
      <c r="M763" s="1067">
        <f t="shared" si="254"/>
        <v>0.04</v>
      </c>
      <c r="N763" s="1067">
        <f t="shared" si="254"/>
        <v>0.04</v>
      </c>
      <c r="O763" s="1067">
        <f t="shared" si="254"/>
        <v>0.04</v>
      </c>
      <c r="P763" s="1067">
        <f t="shared" si="254"/>
        <v>0.04</v>
      </c>
      <c r="Q763" s="1067">
        <f t="shared" si="254"/>
        <v>0.04</v>
      </c>
      <c r="R763" s="1067">
        <f t="shared" si="254"/>
        <v>0.04</v>
      </c>
      <c r="S763" s="1067">
        <f t="shared" si="254"/>
        <v>0.04</v>
      </c>
      <c r="T763" s="1067">
        <f t="shared" si="254"/>
        <v>0.04</v>
      </c>
      <c r="U763" s="1067">
        <f t="shared" si="254"/>
        <v>0.04</v>
      </c>
      <c r="V763" s="1067">
        <f t="shared" si="254"/>
        <v>0.04</v>
      </c>
      <c r="W763" s="1067">
        <f t="shared" si="254"/>
        <v>0.04</v>
      </c>
      <c r="X763" s="1067">
        <f t="shared" si="254"/>
        <v>0.04</v>
      </c>
      <c r="Y763" s="1067">
        <f t="shared" si="254"/>
        <v>0.04</v>
      </c>
      <c r="Z763" s="1067">
        <f t="shared" si="254"/>
        <v>0.04</v>
      </c>
      <c r="AA763" s="1067">
        <f t="shared" si="254"/>
        <v>0.04</v>
      </c>
      <c r="AB763" s="1067">
        <f t="shared" si="254"/>
        <v>0.04</v>
      </c>
      <c r="AC763" s="1067">
        <f t="shared" si="254"/>
        <v>0.04</v>
      </c>
      <c r="AD763" s="1067">
        <f t="shared" si="254"/>
        <v>0.04</v>
      </c>
      <c r="AE763" s="1067">
        <f t="shared" si="254"/>
        <v>0.04</v>
      </c>
      <c r="AF763" s="1067">
        <f t="shared" si="254"/>
        <v>0.04</v>
      </c>
      <c r="AG763" s="1067">
        <f t="shared" si="254"/>
        <v>0</v>
      </c>
      <c r="AH763" s="1067">
        <f t="shared" si="254"/>
        <v>0</v>
      </c>
      <c r="AI763" s="1067">
        <f t="shared" si="254"/>
        <v>0</v>
      </c>
      <c r="AJ763" s="1067">
        <f t="shared" si="254"/>
        <v>0</v>
      </c>
      <c r="AK763" s="1067">
        <f t="shared" si="254"/>
        <v>0</v>
      </c>
      <c r="AL763" s="1067">
        <f t="shared" si="254"/>
        <v>0</v>
      </c>
      <c r="AM763" s="1067">
        <f t="shared" si="254"/>
        <v>0</v>
      </c>
      <c r="AN763" s="1067">
        <f t="shared" si="254"/>
        <v>0</v>
      </c>
      <c r="AO763" s="1067">
        <f t="shared" si="254"/>
        <v>0</v>
      </c>
      <c r="AP763" s="1067">
        <f t="shared" si="254"/>
        <v>0</v>
      </c>
      <c r="AQ763" s="1067">
        <f t="shared" si="254"/>
        <v>0</v>
      </c>
      <c r="AR763" s="1067">
        <f t="shared" si="254"/>
        <v>0</v>
      </c>
      <c r="AS763" s="1067">
        <f t="shared" si="254"/>
        <v>0</v>
      </c>
      <c r="AT763" s="1067">
        <f t="shared" si="254"/>
        <v>0</v>
      </c>
      <c r="AU763" s="1067">
        <f t="shared" si="254"/>
        <v>0</v>
      </c>
      <c r="AV763" s="1067">
        <f t="shared" si="254"/>
        <v>0</v>
      </c>
      <c r="AW763" s="1067">
        <f t="shared" si="254"/>
        <v>0</v>
      </c>
      <c r="AX763" s="1067">
        <f t="shared" si="254"/>
        <v>0</v>
      </c>
      <c r="AY763" s="1067">
        <f t="shared" si="254"/>
        <v>0</v>
      </c>
      <c r="AZ763" s="1067">
        <f t="shared" si="254"/>
        <v>0</v>
      </c>
      <c r="BA763" s="1067">
        <f t="shared" si="254"/>
        <v>0</v>
      </c>
      <c r="BB763" s="1067">
        <f t="shared" si="254"/>
        <v>0</v>
      </c>
      <c r="BC763" s="1067">
        <f t="shared" si="254"/>
        <v>0</v>
      </c>
      <c r="BD763" s="1067">
        <f t="shared" si="254"/>
        <v>0</v>
      </c>
      <c r="BE763" s="1068">
        <f t="shared" si="254"/>
        <v>0</v>
      </c>
      <c r="BF763" s="695"/>
    </row>
    <row r="764" spans="1:58" x14ac:dyDescent="0.45">
      <c r="A764" s="695"/>
      <c r="B764" s="1062"/>
      <c r="C764" s="837" t="s">
        <v>53</v>
      </c>
      <c r="D764" s="837"/>
      <c r="E764" s="837"/>
      <c r="F764" s="837"/>
      <c r="G764" s="1069"/>
      <c r="H764" s="1067">
        <v>0</v>
      </c>
      <c r="I764" s="1067">
        <v>0</v>
      </c>
      <c r="J764" s="1067">
        <v>0</v>
      </c>
      <c r="K764" s="1067">
        <v>0</v>
      </c>
      <c r="L764" s="1067">
        <v>0</v>
      </c>
      <c r="M764" s="1067">
        <v>0</v>
      </c>
      <c r="N764" s="1067">
        <v>0</v>
      </c>
      <c r="O764" s="1067">
        <v>0</v>
      </c>
      <c r="P764" s="1067">
        <v>0</v>
      </c>
      <c r="Q764" s="1067">
        <v>0</v>
      </c>
      <c r="R764" s="1067">
        <v>0</v>
      </c>
      <c r="S764" s="1067">
        <v>0</v>
      </c>
      <c r="T764" s="1067">
        <v>0</v>
      </c>
      <c r="U764" s="1067">
        <v>0</v>
      </c>
      <c r="V764" s="1067">
        <v>0</v>
      </c>
      <c r="W764" s="1067">
        <v>0</v>
      </c>
      <c r="X764" s="1067">
        <v>0</v>
      </c>
      <c r="Y764" s="1067">
        <v>0</v>
      </c>
      <c r="Z764" s="1067">
        <v>0</v>
      </c>
      <c r="AA764" s="1067">
        <v>0</v>
      </c>
      <c r="AB764" s="1067">
        <v>0</v>
      </c>
      <c r="AC764" s="1067">
        <v>0</v>
      </c>
      <c r="AD764" s="1067">
        <v>0</v>
      </c>
      <c r="AE764" s="1067">
        <v>0</v>
      </c>
      <c r="AF764" s="1067">
        <v>0</v>
      </c>
      <c r="AG764" s="1067">
        <v>0</v>
      </c>
      <c r="AH764" s="1067">
        <v>0</v>
      </c>
      <c r="AI764" s="1067">
        <v>0</v>
      </c>
      <c r="AJ764" s="1067">
        <v>0</v>
      </c>
      <c r="AK764" s="1067">
        <v>0</v>
      </c>
      <c r="AL764" s="1067">
        <v>0</v>
      </c>
      <c r="AM764" s="1067">
        <v>0</v>
      </c>
      <c r="AN764" s="1067">
        <v>0</v>
      </c>
      <c r="AO764" s="1067">
        <v>0</v>
      </c>
      <c r="AP764" s="1067">
        <v>0</v>
      </c>
      <c r="AQ764" s="1067">
        <v>0</v>
      </c>
      <c r="AR764" s="1067">
        <v>0</v>
      </c>
      <c r="AS764" s="1067">
        <v>0</v>
      </c>
      <c r="AT764" s="1067">
        <v>0</v>
      </c>
      <c r="AU764" s="1067">
        <v>0</v>
      </c>
      <c r="AV764" s="1067">
        <v>0</v>
      </c>
      <c r="AW764" s="1067">
        <v>0</v>
      </c>
      <c r="AX764" s="1067">
        <v>0</v>
      </c>
      <c r="AY764" s="1067">
        <v>0</v>
      </c>
      <c r="AZ764" s="1067">
        <v>0</v>
      </c>
      <c r="BA764" s="1067">
        <v>0</v>
      </c>
      <c r="BB764" s="1067">
        <v>0</v>
      </c>
      <c r="BC764" s="1067">
        <v>0</v>
      </c>
      <c r="BD764" s="1067">
        <v>0</v>
      </c>
      <c r="BE764" s="1068">
        <v>0</v>
      </c>
      <c r="BF764" s="695"/>
    </row>
    <row r="765" spans="1:58" x14ac:dyDescent="0.45">
      <c r="A765" s="695"/>
      <c r="B765" s="1062"/>
      <c r="C765" s="837"/>
      <c r="D765" s="837"/>
      <c r="E765" s="837"/>
      <c r="F765" s="837"/>
      <c r="G765" s="837"/>
      <c r="H765" s="1543"/>
      <c r="I765" s="1543"/>
      <c r="J765" s="1543"/>
      <c r="K765" s="1543"/>
      <c r="L765" s="1543"/>
      <c r="M765" s="1543"/>
      <c r="N765" s="1543"/>
      <c r="O765" s="1543"/>
      <c r="P765" s="1543"/>
      <c r="Q765" s="1543"/>
      <c r="R765" s="1543"/>
      <c r="S765" s="1543"/>
      <c r="T765" s="1543"/>
      <c r="U765" s="1543"/>
      <c r="V765" s="1543"/>
      <c r="W765" s="1543"/>
      <c r="X765" s="1543"/>
      <c r="Y765" s="1543"/>
      <c r="Z765" s="1543"/>
      <c r="AA765" s="1543"/>
      <c r="AB765" s="1543"/>
      <c r="AC765" s="1543"/>
      <c r="AD765" s="1543"/>
      <c r="AE765" s="1543"/>
      <c r="AF765" s="1543"/>
      <c r="AG765" s="1543"/>
      <c r="AH765" s="1543"/>
      <c r="AI765" s="1543"/>
      <c r="AJ765" s="1543"/>
      <c r="AK765" s="1543"/>
      <c r="AL765" s="1543"/>
      <c r="AM765" s="1543"/>
      <c r="AN765" s="1543"/>
      <c r="AO765" s="1543"/>
      <c r="AP765" s="1543"/>
      <c r="AQ765" s="1543"/>
      <c r="AR765" s="1543"/>
      <c r="AS765" s="1543"/>
      <c r="AT765" s="1543"/>
      <c r="AU765" s="1543"/>
      <c r="AV765" s="1543"/>
      <c r="AW765" s="1543"/>
      <c r="AX765" s="1543"/>
      <c r="AY765" s="1543"/>
      <c r="AZ765" s="1543"/>
      <c r="BA765" s="1543"/>
      <c r="BB765" s="1543"/>
      <c r="BC765" s="1543"/>
      <c r="BD765" s="1543"/>
      <c r="BE765" s="1604"/>
      <c r="BF765" s="695"/>
    </row>
    <row r="766" spans="1:58" ht="13.15" x14ac:dyDescent="0.45">
      <c r="A766" s="695"/>
      <c r="B766" s="1062"/>
      <c r="C766" s="837"/>
      <c r="D766" s="837"/>
      <c r="E766" s="837"/>
      <c r="F766" s="1070" t="s">
        <v>54</v>
      </c>
      <c r="G766" s="1070" t="s">
        <v>55</v>
      </c>
      <c r="H766" s="837"/>
      <c r="I766" s="837"/>
      <c r="J766" s="837"/>
      <c r="K766" s="837"/>
      <c r="L766" s="837"/>
      <c r="M766" s="837"/>
      <c r="N766" s="837"/>
      <c r="O766" s="837"/>
      <c r="P766" s="837"/>
      <c r="Q766" s="837"/>
      <c r="R766" s="837"/>
      <c r="S766" s="837"/>
      <c r="T766" s="837"/>
      <c r="U766" s="837"/>
      <c r="V766" s="837"/>
      <c r="W766" s="837"/>
      <c r="X766" s="837"/>
      <c r="Y766" s="837"/>
      <c r="Z766" s="837"/>
      <c r="AA766" s="837"/>
      <c r="AB766" s="837"/>
      <c r="AC766" s="837"/>
      <c r="AD766" s="837"/>
      <c r="AE766" s="837"/>
      <c r="AF766" s="837"/>
      <c r="AG766" s="837"/>
      <c r="AH766" s="837"/>
      <c r="AI766" s="837"/>
      <c r="AJ766" s="837"/>
      <c r="AK766" s="837"/>
      <c r="AL766" s="837"/>
      <c r="AM766" s="837"/>
      <c r="AN766" s="837"/>
      <c r="AO766" s="837"/>
      <c r="AP766" s="837"/>
      <c r="AQ766" s="837"/>
      <c r="AR766" s="837"/>
      <c r="AS766" s="837"/>
      <c r="AT766" s="837"/>
      <c r="AU766" s="837"/>
      <c r="AV766" s="837"/>
      <c r="AW766" s="837"/>
      <c r="AX766" s="837"/>
      <c r="AY766" s="837"/>
      <c r="AZ766" s="837"/>
      <c r="BA766" s="837"/>
      <c r="BB766" s="837"/>
      <c r="BC766" s="837"/>
      <c r="BD766" s="837"/>
      <c r="BE766" s="1071"/>
      <c r="BF766" s="695"/>
    </row>
    <row r="767" spans="1:58" x14ac:dyDescent="0.45">
      <c r="A767" s="695"/>
      <c r="B767" s="1062"/>
      <c r="C767" s="837" t="s">
        <v>50</v>
      </c>
      <c r="D767" s="837"/>
      <c r="E767" s="837"/>
      <c r="F767" s="1067">
        <f>'II. Inputs, Baseline Energy Mix'!$N$122</f>
        <v>1</v>
      </c>
      <c r="G767" s="1543">
        <f>IF('II. Inputs, Baseline Energy Mix'!$N$19&gt;0, F767*'II. Inputs, Baseline Energy Mix'!$N$20*'II. Inputs, Baseline Energy Mix'!$N$21,0)</f>
        <v>643697</v>
      </c>
      <c r="H767" s="1543">
        <f>$G$767*H763</f>
        <v>25747.88</v>
      </c>
      <c r="I767" s="1543">
        <f t="shared" ref="I767:BE767" si="255">$G$767*I763</f>
        <v>25747.88</v>
      </c>
      <c r="J767" s="1543">
        <f t="shared" si="255"/>
        <v>25747.88</v>
      </c>
      <c r="K767" s="1543">
        <f t="shared" si="255"/>
        <v>25747.88</v>
      </c>
      <c r="L767" s="1543">
        <f t="shared" si="255"/>
        <v>25747.88</v>
      </c>
      <c r="M767" s="1543">
        <f t="shared" si="255"/>
        <v>25747.88</v>
      </c>
      <c r="N767" s="1543">
        <f t="shared" si="255"/>
        <v>25747.88</v>
      </c>
      <c r="O767" s="1543">
        <f t="shared" si="255"/>
        <v>25747.88</v>
      </c>
      <c r="P767" s="1543">
        <f t="shared" si="255"/>
        <v>25747.88</v>
      </c>
      <c r="Q767" s="1543">
        <f t="shared" si="255"/>
        <v>25747.88</v>
      </c>
      <c r="R767" s="1543">
        <f t="shared" si="255"/>
        <v>25747.88</v>
      </c>
      <c r="S767" s="1543">
        <f t="shared" si="255"/>
        <v>25747.88</v>
      </c>
      <c r="T767" s="1543">
        <f t="shared" si="255"/>
        <v>25747.88</v>
      </c>
      <c r="U767" s="1543">
        <f t="shared" si="255"/>
        <v>25747.88</v>
      </c>
      <c r="V767" s="1543">
        <f t="shared" si="255"/>
        <v>25747.88</v>
      </c>
      <c r="W767" s="1543">
        <f t="shared" si="255"/>
        <v>25747.88</v>
      </c>
      <c r="X767" s="1543">
        <f t="shared" si="255"/>
        <v>25747.88</v>
      </c>
      <c r="Y767" s="1543">
        <f t="shared" si="255"/>
        <v>25747.88</v>
      </c>
      <c r="Z767" s="1543">
        <f t="shared" si="255"/>
        <v>25747.88</v>
      </c>
      <c r="AA767" s="1543">
        <f t="shared" si="255"/>
        <v>25747.88</v>
      </c>
      <c r="AB767" s="1543">
        <f t="shared" si="255"/>
        <v>25747.88</v>
      </c>
      <c r="AC767" s="1543">
        <f t="shared" si="255"/>
        <v>25747.88</v>
      </c>
      <c r="AD767" s="1543">
        <f t="shared" si="255"/>
        <v>25747.88</v>
      </c>
      <c r="AE767" s="1543">
        <f t="shared" si="255"/>
        <v>25747.88</v>
      </c>
      <c r="AF767" s="1543">
        <f t="shared" si="255"/>
        <v>25747.88</v>
      </c>
      <c r="AG767" s="1543">
        <f t="shared" si="255"/>
        <v>0</v>
      </c>
      <c r="AH767" s="1543">
        <f t="shared" si="255"/>
        <v>0</v>
      </c>
      <c r="AI767" s="1543">
        <f t="shared" si="255"/>
        <v>0</v>
      </c>
      <c r="AJ767" s="1543">
        <f t="shared" si="255"/>
        <v>0</v>
      </c>
      <c r="AK767" s="1543">
        <f t="shared" si="255"/>
        <v>0</v>
      </c>
      <c r="AL767" s="1543">
        <f t="shared" si="255"/>
        <v>0</v>
      </c>
      <c r="AM767" s="1543">
        <f t="shared" si="255"/>
        <v>0</v>
      </c>
      <c r="AN767" s="1543">
        <f t="shared" si="255"/>
        <v>0</v>
      </c>
      <c r="AO767" s="1543">
        <f t="shared" si="255"/>
        <v>0</v>
      </c>
      <c r="AP767" s="1543">
        <f t="shared" si="255"/>
        <v>0</v>
      </c>
      <c r="AQ767" s="1543">
        <f t="shared" si="255"/>
        <v>0</v>
      </c>
      <c r="AR767" s="1543">
        <f t="shared" si="255"/>
        <v>0</v>
      </c>
      <c r="AS767" s="1543">
        <f t="shared" si="255"/>
        <v>0</v>
      </c>
      <c r="AT767" s="1543">
        <f t="shared" si="255"/>
        <v>0</v>
      </c>
      <c r="AU767" s="1543">
        <f t="shared" si="255"/>
        <v>0</v>
      </c>
      <c r="AV767" s="1543">
        <f t="shared" si="255"/>
        <v>0</v>
      </c>
      <c r="AW767" s="1543">
        <f t="shared" si="255"/>
        <v>0</v>
      </c>
      <c r="AX767" s="1543">
        <f t="shared" si="255"/>
        <v>0</v>
      </c>
      <c r="AY767" s="1543">
        <f t="shared" si="255"/>
        <v>0</v>
      </c>
      <c r="AZ767" s="1543">
        <f t="shared" si="255"/>
        <v>0</v>
      </c>
      <c r="BA767" s="1543">
        <f t="shared" si="255"/>
        <v>0</v>
      </c>
      <c r="BB767" s="1543">
        <f t="shared" si="255"/>
        <v>0</v>
      </c>
      <c r="BC767" s="1543">
        <f t="shared" si="255"/>
        <v>0</v>
      </c>
      <c r="BD767" s="1543">
        <f t="shared" si="255"/>
        <v>0</v>
      </c>
      <c r="BE767" s="1604">
        <f t="shared" si="255"/>
        <v>0</v>
      </c>
      <c r="BF767" s="695"/>
    </row>
    <row r="768" spans="1:58" x14ac:dyDescent="0.45">
      <c r="A768" s="695"/>
      <c r="B768" s="1062"/>
      <c r="C768" s="844" t="s">
        <v>16</v>
      </c>
      <c r="D768" s="844"/>
      <c r="E768" s="844"/>
      <c r="F768" s="1072">
        <f>'II. Inputs, Baseline Energy Mix'!$N$123</f>
        <v>0</v>
      </c>
      <c r="G768" s="1545">
        <f>IF('II. Inputs, Baseline Energy Mix'!$N$19&gt;0, F768*'II. Inputs, Baseline Energy Mix'!$N$20*'II. Inputs, Baseline Energy Mix'!$N$21,0)</f>
        <v>0</v>
      </c>
      <c r="H768" s="1545">
        <f>$G$768*H764</f>
        <v>0</v>
      </c>
      <c r="I768" s="1545">
        <f t="shared" ref="I768:BE768" si="256">$G$768*I764</f>
        <v>0</v>
      </c>
      <c r="J768" s="1545">
        <f t="shared" si="256"/>
        <v>0</v>
      </c>
      <c r="K768" s="1545">
        <f t="shared" si="256"/>
        <v>0</v>
      </c>
      <c r="L768" s="1545">
        <f t="shared" si="256"/>
        <v>0</v>
      </c>
      <c r="M768" s="1545">
        <f t="shared" si="256"/>
        <v>0</v>
      </c>
      <c r="N768" s="1545">
        <f t="shared" si="256"/>
        <v>0</v>
      </c>
      <c r="O768" s="1545">
        <f t="shared" si="256"/>
        <v>0</v>
      </c>
      <c r="P768" s="1545">
        <f t="shared" si="256"/>
        <v>0</v>
      </c>
      <c r="Q768" s="1545">
        <f t="shared" si="256"/>
        <v>0</v>
      </c>
      <c r="R768" s="1545">
        <f t="shared" si="256"/>
        <v>0</v>
      </c>
      <c r="S768" s="1545">
        <f t="shared" si="256"/>
        <v>0</v>
      </c>
      <c r="T768" s="1545">
        <f t="shared" si="256"/>
        <v>0</v>
      </c>
      <c r="U768" s="1545">
        <f t="shared" si="256"/>
        <v>0</v>
      </c>
      <c r="V768" s="1545">
        <f t="shared" si="256"/>
        <v>0</v>
      </c>
      <c r="W768" s="1545">
        <f t="shared" si="256"/>
        <v>0</v>
      </c>
      <c r="X768" s="1545">
        <f t="shared" si="256"/>
        <v>0</v>
      </c>
      <c r="Y768" s="1545">
        <f t="shared" si="256"/>
        <v>0</v>
      </c>
      <c r="Z768" s="1545">
        <f t="shared" si="256"/>
        <v>0</v>
      </c>
      <c r="AA768" s="1545">
        <f t="shared" si="256"/>
        <v>0</v>
      </c>
      <c r="AB768" s="1545">
        <f t="shared" si="256"/>
        <v>0</v>
      </c>
      <c r="AC768" s="1545">
        <f t="shared" si="256"/>
        <v>0</v>
      </c>
      <c r="AD768" s="1545">
        <f t="shared" si="256"/>
        <v>0</v>
      </c>
      <c r="AE768" s="1545">
        <f t="shared" si="256"/>
        <v>0</v>
      </c>
      <c r="AF768" s="1545">
        <f t="shared" si="256"/>
        <v>0</v>
      </c>
      <c r="AG768" s="1545">
        <f t="shared" si="256"/>
        <v>0</v>
      </c>
      <c r="AH768" s="1545">
        <f t="shared" si="256"/>
        <v>0</v>
      </c>
      <c r="AI768" s="1545">
        <f t="shared" si="256"/>
        <v>0</v>
      </c>
      <c r="AJ768" s="1545">
        <f t="shared" si="256"/>
        <v>0</v>
      </c>
      <c r="AK768" s="1545">
        <f t="shared" si="256"/>
        <v>0</v>
      </c>
      <c r="AL768" s="1545">
        <f t="shared" si="256"/>
        <v>0</v>
      </c>
      <c r="AM768" s="1545">
        <f t="shared" si="256"/>
        <v>0</v>
      </c>
      <c r="AN768" s="1545">
        <f t="shared" si="256"/>
        <v>0</v>
      </c>
      <c r="AO768" s="1545">
        <f t="shared" si="256"/>
        <v>0</v>
      </c>
      <c r="AP768" s="1545">
        <f t="shared" si="256"/>
        <v>0</v>
      </c>
      <c r="AQ768" s="1545">
        <f t="shared" si="256"/>
        <v>0</v>
      </c>
      <c r="AR768" s="1545">
        <f t="shared" si="256"/>
        <v>0</v>
      </c>
      <c r="AS768" s="1545">
        <f t="shared" si="256"/>
        <v>0</v>
      </c>
      <c r="AT768" s="1545">
        <f t="shared" si="256"/>
        <v>0</v>
      </c>
      <c r="AU768" s="1545">
        <f t="shared" si="256"/>
        <v>0</v>
      </c>
      <c r="AV768" s="1545">
        <f t="shared" si="256"/>
        <v>0</v>
      </c>
      <c r="AW768" s="1545">
        <f t="shared" si="256"/>
        <v>0</v>
      </c>
      <c r="AX768" s="1545">
        <f t="shared" si="256"/>
        <v>0</v>
      </c>
      <c r="AY768" s="1545">
        <f t="shared" si="256"/>
        <v>0</v>
      </c>
      <c r="AZ768" s="1545">
        <f t="shared" si="256"/>
        <v>0</v>
      </c>
      <c r="BA768" s="1545">
        <f t="shared" si="256"/>
        <v>0</v>
      </c>
      <c r="BB768" s="1545">
        <f t="shared" si="256"/>
        <v>0</v>
      </c>
      <c r="BC768" s="1545">
        <f t="shared" si="256"/>
        <v>0</v>
      </c>
      <c r="BD768" s="1545">
        <f t="shared" si="256"/>
        <v>0</v>
      </c>
      <c r="BE768" s="1605">
        <f t="shared" si="256"/>
        <v>0</v>
      </c>
      <c r="BF768" s="695"/>
    </row>
    <row r="769" spans="1:58" x14ac:dyDescent="0.45">
      <c r="A769" s="695"/>
      <c r="B769" s="1062"/>
      <c r="C769" s="837" t="s">
        <v>56</v>
      </c>
      <c r="D769" s="837"/>
      <c r="E769" s="837"/>
      <c r="F769" s="837"/>
      <c r="G769" s="1543">
        <f>G767+G768</f>
        <v>643697</v>
      </c>
      <c r="H769" s="1543">
        <f>H767+H768</f>
        <v>25747.88</v>
      </c>
      <c r="I769" s="1543">
        <f t="shared" ref="I769:BE769" si="257">I767+I768</f>
        <v>25747.88</v>
      </c>
      <c r="J769" s="1543">
        <f t="shared" si="257"/>
        <v>25747.88</v>
      </c>
      <c r="K769" s="1543">
        <f t="shared" si="257"/>
        <v>25747.88</v>
      </c>
      <c r="L769" s="1543">
        <f t="shared" si="257"/>
        <v>25747.88</v>
      </c>
      <c r="M769" s="1543">
        <f t="shared" si="257"/>
        <v>25747.88</v>
      </c>
      <c r="N769" s="1543">
        <f t="shared" si="257"/>
        <v>25747.88</v>
      </c>
      <c r="O769" s="1543">
        <f t="shared" si="257"/>
        <v>25747.88</v>
      </c>
      <c r="P769" s="1543">
        <f t="shared" si="257"/>
        <v>25747.88</v>
      </c>
      <c r="Q769" s="1543">
        <f t="shared" si="257"/>
        <v>25747.88</v>
      </c>
      <c r="R769" s="1543">
        <f t="shared" si="257"/>
        <v>25747.88</v>
      </c>
      <c r="S769" s="1543">
        <f t="shared" si="257"/>
        <v>25747.88</v>
      </c>
      <c r="T769" s="1543">
        <f t="shared" si="257"/>
        <v>25747.88</v>
      </c>
      <c r="U769" s="1543">
        <f t="shared" si="257"/>
        <v>25747.88</v>
      </c>
      <c r="V769" s="1543">
        <f t="shared" si="257"/>
        <v>25747.88</v>
      </c>
      <c r="W769" s="1543">
        <f t="shared" si="257"/>
        <v>25747.88</v>
      </c>
      <c r="X769" s="1543">
        <f t="shared" si="257"/>
        <v>25747.88</v>
      </c>
      <c r="Y769" s="1543">
        <f t="shared" si="257"/>
        <v>25747.88</v>
      </c>
      <c r="Z769" s="1543">
        <f t="shared" si="257"/>
        <v>25747.88</v>
      </c>
      <c r="AA769" s="1543">
        <f t="shared" si="257"/>
        <v>25747.88</v>
      </c>
      <c r="AB769" s="1543">
        <f t="shared" si="257"/>
        <v>25747.88</v>
      </c>
      <c r="AC769" s="1543">
        <f t="shared" si="257"/>
        <v>25747.88</v>
      </c>
      <c r="AD769" s="1543">
        <f t="shared" si="257"/>
        <v>25747.88</v>
      </c>
      <c r="AE769" s="1543">
        <f t="shared" si="257"/>
        <v>25747.88</v>
      </c>
      <c r="AF769" s="1543">
        <f t="shared" si="257"/>
        <v>25747.88</v>
      </c>
      <c r="AG769" s="1543">
        <f t="shared" si="257"/>
        <v>0</v>
      </c>
      <c r="AH769" s="1543">
        <f t="shared" si="257"/>
        <v>0</v>
      </c>
      <c r="AI769" s="1543">
        <f t="shared" si="257"/>
        <v>0</v>
      </c>
      <c r="AJ769" s="1543">
        <f t="shared" si="257"/>
        <v>0</v>
      </c>
      <c r="AK769" s="1543">
        <f t="shared" si="257"/>
        <v>0</v>
      </c>
      <c r="AL769" s="1543">
        <f t="shared" si="257"/>
        <v>0</v>
      </c>
      <c r="AM769" s="1543">
        <f t="shared" si="257"/>
        <v>0</v>
      </c>
      <c r="AN769" s="1543">
        <f t="shared" si="257"/>
        <v>0</v>
      </c>
      <c r="AO769" s="1543">
        <f t="shared" si="257"/>
        <v>0</v>
      </c>
      <c r="AP769" s="1543">
        <f t="shared" si="257"/>
        <v>0</v>
      </c>
      <c r="AQ769" s="1543">
        <f t="shared" si="257"/>
        <v>0</v>
      </c>
      <c r="AR769" s="1543">
        <f t="shared" si="257"/>
        <v>0</v>
      </c>
      <c r="AS769" s="1543">
        <f t="shared" si="257"/>
        <v>0</v>
      </c>
      <c r="AT769" s="1543">
        <f t="shared" si="257"/>
        <v>0</v>
      </c>
      <c r="AU769" s="1543">
        <f t="shared" si="257"/>
        <v>0</v>
      </c>
      <c r="AV769" s="1543">
        <f t="shared" si="257"/>
        <v>0</v>
      </c>
      <c r="AW769" s="1543">
        <f t="shared" si="257"/>
        <v>0</v>
      </c>
      <c r="AX769" s="1543">
        <f t="shared" si="257"/>
        <v>0</v>
      </c>
      <c r="AY769" s="1543">
        <f t="shared" si="257"/>
        <v>0</v>
      </c>
      <c r="AZ769" s="1543">
        <f t="shared" si="257"/>
        <v>0</v>
      </c>
      <c r="BA769" s="1543">
        <f t="shared" si="257"/>
        <v>0</v>
      </c>
      <c r="BB769" s="1543">
        <f t="shared" si="257"/>
        <v>0</v>
      </c>
      <c r="BC769" s="1543">
        <f t="shared" si="257"/>
        <v>0</v>
      </c>
      <c r="BD769" s="1543">
        <f t="shared" si="257"/>
        <v>0</v>
      </c>
      <c r="BE769" s="1604">
        <f t="shared" si="257"/>
        <v>0</v>
      </c>
      <c r="BF769" s="695"/>
    </row>
    <row r="770" spans="1:58" x14ac:dyDescent="0.45">
      <c r="A770" s="695"/>
      <c r="B770" s="1062"/>
      <c r="C770" s="837"/>
      <c r="D770" s="837"/>
      <c r="E770" s="837"/>
      <c r="F770" s="837"/>
      <c r="G770" s="837"/>
      <c r="H770" s="1543"/>
      <c r="I770" s="1543"/>
      <c r="J770" s="1543"/>
      <c r="K770" s="1543"/>
      <c r="L770" s="1543"/>
      <c r="M770" s="1543"/>
      <c r="N770" s="1543"/>
      <c r="O770" s="1543"/>
      <c r="P770" s="1543"/>
      <c r="Q770" s="1543"/>
      <c r="R770" s="1543"/>
      <c r="S770" s="1543"/>
      <c r="T770" s="1543"/>
      <c r="U770" s="1543"/>
      <c r="V770" s="1543"/>
      <c r="W770" s="1543"/>
      <c r="X770" s="1543"/>
      <c r="Y770" s="1543"/>
      <c r="Z770" s="1543"/>
      <c r="AA770" s="1543"/>
      <c r="AB770" s="1543"/>
      <c r="AC770" s="1543"/>
      <c r="AD770" s="1543"/>
      <c r="AE770" s="1543"/>
      <c r="AF770" s="1543"/>
      <c r="AG770" s="1543"/>
      <c r="AH770" s="1543"/>
      <c r="AI770" s="1543"/>
      <c r="AJ770" s="1543"/>
      <c r="AK770" s="1543"/>
      <c r="AL770" s="1543"/>
      <c r="AM770" s="1543"/>
      <c r="AN770" s="1543"/>
      <c r="AO770" s="1543"/>
      <c r="AP770" s="1543"/>
      <c r="AQ770" s="1543"/>
      <c r="AR770" s="1543"/>
      <c r="AS770" s="1543"/>
      <c r="AT770" s="1543"/>
      <c r="AU770" s="1543"/>
      <c r="AV770" s="1543"/>
      <c r="AW770" s="1543"/>
      <c r="AX770" s="1543"/>
      <c r="AY770" s="1543"/>
      <c r="AZ770" s="1543"/>
      <c r="BA770" s="1543"/>
      <c r="BB770" s="1543"/>
      <c r="BC770" s="1543"/>
      <c r="BD770" s="1543"/>
      <c r="BE770" s="1604"/>
      <c r="BF770" s="695"/>
    </row>
    <row r="771" spans="1:58" x14ac:dyDescent="0.45">
      <c r="A771" s="695"/>
      <c r="B771" s="1073"/>
      <c r="C771" s="844"/>
      <c r="D771" s="844"/>
      <c r="E771" s="844"/>
      <c r="F771" s="844"/>
      <c r="G771" s="844"/>
      <c r="H771" s="1545"/>
      <c r="I771" s="1545"/>
      <c r="J771" s="1545"/>
      <c r="K771" s="1545"/>
      <c r="L771" s="1545"/>
      <c r="M771" s="1545"/>
      <c r="N771" s="1545"/>
      <c r="O771" s="1545"/>
      <c r="P771" s="1545"/>
      <c r="Q771" s="1545"/>
      <c r="R771" s="1545"/>
      <c r="S771" s="1545"/>
      <c r="T771" s="1545"/>
      <c r="U771" s="1545"/>
      <c r="V771" s="1545"/>
      <c r="W771" s="1545"/>
      <c r="X771" s="1545"/>
      <c r="Y771" s="1545"/>
      <c r="Z771" s="1545"/>
      <c r="AA771" s="1545"/>
      <c r="AB771" s="1545"/>
      <c r="AC771" s="1545"/>
      <c r="AD771" s="1545"/>
      <c r="AE771" s="1545"/>
      <c r="AF771" s="1545"/>
      <c r="AG771" s="1545"/>
      <c r="AH771" s="1545"/>
      <c r="AI771" s="1545"/>
      <c r="AJ771" s="1545"/>
      <c r="AK771" s="1545"/>
      <c r="AL771" s="1545"/>
      <c r="AM771" s="1545"/>
      <c r="AN771" s="1545"/>
      <c r="AO771" s="1545"/>
      <c r="AP771" s="1545"/>
      <c r="AQ771" s="1545"/>
      <c r="AR771" s="1545"/>
      <c r="AS771" s="1545"/>
      <c r="AT771" s="1545"/>
      <c r="AU771" s="1545"/>
      <c r="AV771" s="1545"/>
      <c r="AW771" s="1545"/>
      <c r="AX771" s="1545"/>
      <c r="AY771" s="1545"/>
      <c r="AZ771" s="1545"/>
      <c r="BA771" s="1545"/>
      <c r="BB771" s="1545"/>
      <c r="BC771" s="1545"/>
      <c r="BD771" s="1545"/>
      <c r="BE771" s="1605"/>
      <c r="BF771" s="695"/>
    </row>
    <row r="772" spans="1:58" x14ac:dyDescent="0.45">
      <c r="A772" s="695"/>
      <c r="B772" s="695"/>
      <c r="C772" s="695"/>
      <c r="D772" s="695"/>
      <c r="E772" s="695"/>
      <c r="F772" s="695"/>
      <c r="G772" s="695"/>
      <c r="H772" s="1548"/>
      <c r="I772" s="1548"/>
      <c r="J772" s="1548"/>
      <c r="K772" s="1548"/>
      <c r="L772" s="1548"/>
      <c r="M772" s="1548"/>
      <c r="N772" s="1548"/>
      <c r="O772" s="1548"/>
      <c r="P772" s="1548"/>
      <c r="Q772" s="1548"/>
      <c r="R772" s="1548"/>
      <c r="S772" s="1548"/>
      <c r="T772" s="1548"/>
      <c r="U772" s="1548"/>
      <c r="V772" s="1548"/>
      <c r="W772" s="1548"/>
      <c r="X772" s="1548"/>
      <c r="Y772" s="1548"/>
      <c r="Z772" s="1548"/>
      <c r="AA772" s="1548"/>
      <c r="AB772" s="1548"/>
      <c r="AC772" s="1548"/>
      <c r="AD772" s="1548"/>
      <c r="AE772" s="1548"/>
      <c r="AF772" s="1548"/>
      <c r="AG772" s="1548"/>
      <c r="AH772" s="1548"/>
      <c r="AI772" s="1548"/>
      <c r="AJ772" s="1548"/>
      <c r="AK772" s="1548"/>
      <c r="AL772" s="1548"/>
      <c r="AM772" s="1548"/>
      <c r="AN772" s="1548"/>
      <c r="AO772" s="1548"/>
      <c r="AP772" s="1548"/>
      <c r="AQ772" s="1548"/>
      <c r="AR772" s="1548"/>
      <c r="AS772" s="1548"/>
      <c r="AT772" s="1548"/>
      <c r="AU772" s="1548"/>
      <c r="AV772" s="1548"/>
      <c r="AW772" s="1548"/>
      <c r="AX772" s="1548"/>
      <c r="AY772" s="1548"/>
      <c r="AZ772" s="1548"/>
      <c r="BA772" s="1548"/>
      <c r="BB772" s="1548"/>
      <c r="BC772" s="1548"/>
      <c r="BD772" s="1548"/>
      <c r="BE772" s="1548"/>
      <c r="BF772" s="695"/>
    </row>
    <row r="773" spans="1:58" ht="13.15" x14ac:dyDescent="0.45">
      <c r="A773" s="695"/>
      <c r="B773" s="1074"/>
      <c r="C773" s="1075" t="str">
        <f>'II. Inputs, Baseline Energy Mix'!O18</f>
        <v>Technology #2</v>
      </c>
      <c r="D773" s="1076"/>
      <c r="E773" s="1076"/>
      <c r="F773" s="1076"/>
      <c r="G773" s="1076"/>
      <c r="H773" s="1076"/>
      <c r="I773" s="1606"/>
      <c r="J773" s="1606"/>
      <c r="K773" s="1606"/>
      <c r="L773" s="1606"/>
      <c r="M773" s="1606"/>
      <c r="N773" s="1606"/>
      <c r="O773" s="1606"/>
      <c r="P773" s="1606"/>
      <c r="Q773" s="1606"/>
      <c r="R773" s="1606"/>
      <c r="S773" s="1606"/>
      <c r="T773" s="1606"/>
      <c r="U773" s="1606"/>
      <c r="V773" s="1606"/>
      <c r="W773" s="1606"/>
      <c r="X773" s="1606"/>
      <c r="Y773" s="1606"/>
      <c r="Z773" s="1606"/>
      <c r="AA773" s="1606"/>
      <c r="AB773" s="1606"/>
      <c r="AC773" s="1606"/>
      <c r="AD773" s="1606"/>
      <c r="AE773" s="1606"/>
      <c r="AF773" s="1606"/>
      <c r="AG773" s="1606"/>
      <c r="AH773" s="1606"/>
      <c r="AI773" s="1606"/>
      <c r="AJ773" s="1606"/>
      <c r="AK773" s="1606"/>
      <c r="AL773" s="1606"/>
      <c r="AM773" s="1606"/>
      <c r="AN773" s="1606"/>
      <c r="AO773" s="1606"/>
      <c r="AP773" s="1606"/>
      <c r="AQ773" s="1606"/>
      <c r="AR773" s="1606"/>
      <c r="AS773" s="1606"/>
      <c r="AT773" s="1606"/>
      <c r="AU773" s="1606"/>
      <c r="AV773" s="1606"/>
      <c r="AW773" s="1606"/>
      <c r="AX773" s="1606"/>
      <c r="AY773" s="1606"/>
      <c r="AZ773" s="1606"/>
      <c r="BA773" s="1606"/>
      <c r="BB773" s="1606"/>
      <c r="BC773" s="1606"/>
      <c r="BD773" s="1606"/>
      <c r="BE773" s="1607"/>
      <c r="BF773" s="695"/>
    </row>
    <row r="774" spans="1:58" x14ac:dyDescent="0.45">
      <c r="A774" s="695"/>
      <c r="B774" s="1077"/>
      <c r="C774" s="1078"/>
      <c r="D774" s="1078"/>
      <c r="E774" s="1078"/>
      <c r="F774" s="1078"/>
      <c r="G774" s="1078"/>
      <c r="H774" s="1078"/>
      <c r="I774" s="1608"/>
      <c r="J774" s="1608"/>
      <c r="K774" s="1608"/>
      <c r="L774" s="1608"/>
      <c r="M774" s="1608"/>
      <c r="N774" s="1608"/>
      <c r="O774" s="1608"/>
      <c r="P774" s="1608"/>
      <c r="Q774" s="1608"/>
      <c r="R774" s="1608"/>
      <c r="S774" s="1608"/>
      <c r="T774" s="1608"/>
      <c r="U774" s="1608"/>
      <c r="V774" s="1608"/>
      <c r="W774" s="1608"/>
      <c r="X774" s="1608"/>
      <c r="Y774" s="1608"/>
      <c r="Z774" s="1608"/>
      <c r="AA774" s="1608"/>
      <c r="AB774" s="1608"/>
      <c r="AC774" s="1608"/>
      <c r="AD774" s="1608"/>
      <c r="AE774" s="1608"/>
      <c r="AF774" s="1608"/>
      <c r="AG774" s="1608"/>
      <c r="AH774" s="1608"/>
      <c r="AI774" s="1608"/>
      <c r="AJ774" s="1608"/>
      <c r="AK774" s="1608"/>
      <c r="AL774" s="1608"/>
      <c r="AM774" s="1608"/>
      <c r="AN774" s="1608"/>
      <c r="AO774" s="1608"/>
      <c r="AP774" s="1608"/>
      <c r="AQ774" s="1608"/>
      <c r="AR774" s="1608"/>
      <c r="AS774" s="1608"/>
      <c r="AT774" s="1608"/>
      <c r="AU774" s="1608"/>
      <c r="AV774" s="1608"/>
      <c r="AW774" s="1608"/>
      <c r="AX774" s="1608"/>
      <c r="AY774" s="1608"/>
      <c r="AZ774" s="1608"/>
      <c r="BA774" s="1608"/>
      <c r="BB774" s="1608"/>
      <c r="BC774" s="1608"/>
      <c r="BD774" s="1608"/>
      <c r="BE774" s="1609"/>
      <c r="BF774" s="695"/>
    </row>
    <row r="775" spans="1:58" x14ac:dyDescent="0.45">
      <c r="A775" s="695"/>
      <c r="B775" s="1077"/>
      <c r="C775" s="1079" t="s">
        <v>57</v>
      </c>
      <c r="D775" s="1080">
        <f>'II. Inputs, Baseline Energy Mix'!$O$22</f>
        <v>0</v>
      </c>
      <c r="E775" s="1081" t="s">
        <v>18</v>
      </c>
      <c r="F775" s="1078"/>
      <c r="G775" s="1078"/>
      <c r="H775" s="1078"/>
      <c r="I775" s="1608"/>
      <c r="J775" s="1608"/>
      <c r="K775" s="1608"/>
      <c r="L775" s="1608"/>
      <c r="M775" s="1608"/>
      <c r="N775" s="1608"/>
      <c r="O775" s="1608"/>
      <c r="P775" s="1608"/>
      <c r="Q775" s="1608"/>
      <c r="R775" s="1608"/>
      <c r="S775" s="1608"/>
      <c r="T775" s="1608"/>
      <c r="U775" s="1608"/>
      <c r="V775" s="1608"/>
      <c r="W775" s="1608"/>
      <c r="X775" s="1608"/>
      <c r="Y775" s="1608"/>
      <c r="Z775" s="1608"/>
      <c r="AA775" s="1608"/>
      <c r="AB775" s="1608"/>
      <c r="AC775" s="1608"/>
      <c r="AD775" s="1608"/>
      <c r="AE775" s="1608"/>
      <c r="AF775" s="1608"/>
      <c r="AG775" s="1608"/>
      <c r="AH775" s="1608"/>
      <c r="AI775" s="1608"/>
      <c r="AJ775" s="1608"/>
      <c r="AK775" s="1608"/>
      <c r="AL775" s="1608"/>
      <c r="AM775" s="1608"/>
      <c r="AN775" s="1608"/>
      <c r="AO775" s="1608"/>
      <c r="AP775" s="1608"/>
      <c r="AQ775" s="1608"/>
      <c r="AR775" s="1608"/>
      <c r="AS775" s="1608"/>
      <c r="AT775" s="1608"/>
      <c r="AU775" s="1608"/>
      <c r="AV775" s="1608"/>
      <c r="AW775" s="1608"/>
      <c r="AX775" s="1608"/>
      <c r="AY775" s="1608"/>
      <c r="AZ775" s="1608"/>
      <c r="BA775" s="1608"/>
      <c r="BB775" s="1608"/>
      <c r="BC775" s="1608"/>
      <c r="BD775" s="1608"/>
      <c r="BE775" s="1609"/>
      <c r="BF775" s="695"/>
    </row>
    <row r="776" spans="1:58" x14ac:dyDescent="0.45">
      <c r="A776" s="695"/>
      <c r="B776" s="1077"/>
      <c r="C776" s="1078"/>
      <c r="D776" s="1078"/>
      <c r="E776" s="1078"/>
      <c r="F776" s="1078"/>
      <c r="G776" s="1078"/>
      <c r="H776" s="1078"/>
      <c r="I776" s="1608"/>
      <c r="J776" s="1608"/>
      <c r="K776" s="1608"/>
      <c r="L776" s="1608"/>
      <c r="M776" s="1608"/>
      <c r="N776" s="1608"/>
      <c r="O776" s="1608"/>
      <c r="P776" s="1608"/>
      <c r="Q776" s="1608"/>
      <c r="R776" s="1608"/>
      <c r="S776" s="1608"/>
      <c r="T776" s="1608"/>
      <c r="U776" s="1608"/>
      <c r="V776" s="1608"/>
      <c r="W776" s="1608"/>
      <c r="X776" s="1608"/>
      <c r="Y776" s="1608"/>
      <c r="Z776" s="1608"/>
      <c r="AA776" s="1608"/>
      <c r="AB776" s="1608"/>
      <c r="AC776" s="1608"/>
      <c r="AD776" s="1608"/>
      <c r="AE776" s="1608"/>
      <c r="AF776" s="1608"/>
      <c r="AG776" s="1608"/>
      <c r="AH776" s="1608"/>
      <c r="AI776" s="1608"/>
      <c r="AJ776" s="1608"/>
      <c r="AK776" s="1608"/>
      <c r="AL776" s="1608"/>
      <c r="AM776" s="1608"/>
      <c r="AN776" s="1608"/>
      <c r="AO776" s="1608"/>
      <c r="AP776" s="1608"/>
      <c r="AQ776" s="1608"/>
      <c r="AR776" s="1608"/>
      <c r="AS776" s="1608"/>
      <c r="AT776" s="1608"/>
      <c r="AU776" s="1608"/>
      <c r="AV776" s="1608"/>
      <c r="AW776" s="1608"/>
      <c r="AX776" s="1608"/>
      <c r="AY776" s="1608"/>
      <c r="AZ776" s="1608"/>
      <c r="BA776" s="1608"/>
      <c r="BB776" s="1608"/>
      <c r="BC776" s="1608"/>
      <c r="BD776" s="1608"/>
      <c r="BE776" s="1609"/>
      <c r="BF776" s="695"/>
    </row>
    <row r="777" spans="1:58" x14ac:dyDescent="0.45">
      <c r="A777" s="695"/>
      <c r="B777" s="1077"/>
      <c r="C777" s="1078" t="s">
        <v>52</v>
      </c>
      <c r="D777" s="1078"/>
      <c r="E777" s="1078"/>
      <c r="F777" s="1078"/>
      <c r="G777" s="1082"/>
      <c r="H777" s="1083">
        <f>IF(H$757&gt;$D$775,0,1/$D$775)</f>
        <v>0</v>
      </c>
      <c r="I777" s="1083">
        <f t="shared" ref="I777:BE777" si="258">IF(I$757&gt;$D$775,0,1/$D$775)</f>
        <v>0</v>
      </c>
      <c r="J777" s="1083">
        <f t="shared" si="258"/>
        <v>0</v>
      </c>
      <c r="K777" s="1083">
        <f t="shared" si="258"/>
        <v>0</v>
      </c>
      <c r="L777" s="1083">
        <f t="shared" si="258"/>
        <v>0</v>
      </c>
      <c r="M777" s="1083">
        <f t="shared" si="258"/>
        <v>0</v>
      </c>
      <c r="N777" s="1083">
        <f t="shared" si="258"/>
        <v>0</v>
      </c>
      <c r="O777" s="1083">
        <f t="shared" si="258"/>
        <v>0</v>
      </c>
      <c r="P777" s="1083">
        <f t="shared" si="258"/>
        <v>0</v>
      </c>
      <c r="Q777" s="1083">
        <f t="shared" si="258"/>
        <v>0</v>
      </c>
      <c r="R777" s="1083">
        <f t="shared" si="258"/>
        <v>0</v>
      </c>
      <c r="S777" s="1083">
        <f t="shared" si="258"/>
        <v>0</v>
      </c>
      <c r="T777" s="1083">
        <f t="shared" si="258"/>
        <v>0</v>
      </c>
      <c r="U777" s="1083">
        <f t="shared" si="258"/>
        <v>0</v>
      </c>
      <c r="V777" s="1083">
        <f t="shared" si="258"/>
        <v>0</v>
      </c>
      <c r="W777" s="1083">
        <f t="shared" si="258"/>
        <v>0</v>
      </c>
      <c r="X777" s="1083">
        <f t="shared" si="258"/>
        <v>0</v>
      </c>
      <c r="Y777" s="1083">
        <f t="shared" si="258"/>
        <v>0</v>
      </c>
      <c r="Z777" s="1083">
        <f t="shared" si="258"/>
        <v>0</v>
      </c>
      <c r="AA777" s="1083">
        <f t="shared" si="258"/>
        <v>0</v>
      </c>
      <c r="AB777" s="1083">
        <f t="shared" si="258"/>
        <v>0</v>
      </c>
      <c r="AC777" s="1083">
        <f t="shared" si="258"/>
        <v>0</v>
      </c>
      <c r="AD777" s="1083">
        <f t="shared" si="258"/>
        <v>0</v>
      </c>
      <c r="AE777" s="1083">
        <f t="shared" si="258"/>
        <v>0</v>
      </c>
      <c r="AF777" s="1083">
        <f t="shared" si="258"/>
        <v>0</v>
      </c>
      <c r="AG777" s="1083">
        <f t="shared" si="258"/>
        <v>0</v>
      </c>
      <c r="AH777" s="1083">
        <f t="shared" si="258"/>
        <v>0</v>
      </c>
      <c r="AI777" s="1083">
        <f t="shared" si="258"/>
        <v>0</v>
      </c>
      <c r="AJ777" s="1083">
        <f t="shared" si="258"/>
        <v>0</v>
      </c>
      <c r="AK777" s="1083">
        <f t="shared" si="258"/>
        <v>0</v>
      </c>
      <c r="AL777" s="1083">
        <f t="shared" si="258"/>
        <v>0</v>
      </c>
      <c r="AM777" s="1083">
        <f t="shared" si="258"/>
        <v>0</v>
      </c>
      <c r="AN777" s="1083">
        <f t="shared" si="258"/>
        <v>0</v>
      </c>
      <c r="AO777" s="1083">
        <f t="shared" si="258"/>
        <v>0</v>
      </c>
      <c r="AP777" s="1083">
        <f t="shared" si="258"/>
        <v>0</v>
      </c>
      <c r="AQ777" s="1083">
        <f t="shared" si="258"/>
        <v>0</v>
      </c>
      <c r="AR777" s="1083">
        <f t="shared" si="258"/>
        <v>0</v>
      </c>
      <c r="AS777" s="1083">
        <f t="shared" si="258"/>
        <v>0</v>
      </c>
      <c r="AT777" s="1083">
        <f t="shared" si="258"/>
        <v>0</v>
      </c>
      <c r="AU777" s="1083">
        <f t="shared" si="258"/>
        <v>0</v>
      </c>
      <c r="AV777" s="1083">
        <f t="shared" si="258"/>
        <v>0</v>
      </c>
      <c r="AW777" s="1083">
        <f t="shared" si="258"/>
        <v>0</v>
      </c>
      <c r="AX777" s="1083">
        <f t="shared" si="258"/>
        <v>0</v>
      </c>
      <c r="AY777" s="1083">
        <f t="shared" si="258"/>
        <v>0</v>
      </c>
      <c r="AZ777" s="1083">
        <f t="shared" si="258"/>
        <v>0</v>
      </c>
      <c r="BA777" s="1083">
        <f t="shared" si="258"/>
        <v>0</v>
      </c>
      <c r="BB777" s="1083">
        <f t="shared" si="258"/>
        <v>0</v>
      </c>
      <c r="BC777" s="1083">
        <f t="shared" si="258"/>
        <v>0</v>
      </c>
      <c r="BD777" s="1083">
        <f t="shared" si="258"/>
        <v>0</v>
      </c>
      <c r="BE777" s="1084">
        <f t="shared" si="258"/>
        <v>0</v>
      </c>
      <c r="BF777" s="695"/>
    </row>
    <row r="778" spans="1:58" x14ac:dyDescent="0.45">
      <c r="A778" s="695"/>
      <c r="B778" s="1077"/>
      <c r="C778" s="1078" t="s">
        <v>53</v>
      </c>
      <c r="D778" s="1078"/>
      <c r="E778" s="1078"/>
      <c r="F778" s="1078"/>
      <c r="G778" s="1085"/>
      <c r="H778" s="1086">
        <v>0</v>
      </c>
      <c r="I778" s="1086">
        <v>0</v>
      </c>
      <c r="J778" s="1086">
        <v>0</v>
      </c>
      <c r="K778" s="1086">
        <v>0</v>
      </c>
      <c r="L778" s="1086">
        <v>0</v>
      </c>
      <c r="M778" s="1086">
        <v>0</v>
      </c>
      <c r="N778" s="1086">
        <v>0</v>
      </c>
      <c r="O778" s="1086">
        <v>0</v>
      </c>
      <c r="P778" s="1086">
        <v>0</v>
      </c>
      <c r="Q778" s="1086">
        <v>0</v>
      </c>
      <c r="R778" s="1086">
        <v>0</v>
      </c>
      <c r="S778" s="1086">
        <v>0</v>
      </c>
      <c r="T778" s="1086">
        <v>0</v>
      </c>
      <c r="U778" s="1086">
        <v>0</v>
      </c>
      <c r="V778" s="1086">
        <v>0</v>
      </c>
      <c r="W778" s="1086">
        <v>0</v>
      </c>
      <c r="X778" s="1086">
        <v>0</v>
      </c>
      <c r="Y778" s="1086">
        <v>0</v>
      </c>
      <c r="Z778" s="1086">
        <v>0</v>
      </c>
      <c r="AA778" s="1086">
        <v>0</v>
      </c>
      <c r="AB778" s="1086">
        <v>0</v>
      </c>
      <c r="AC778" s="1086">
        <v>0</v>
      </c>
      <c r="AD778" s="1086">
        <v>0</v>
      </c>
      <c r="AE778" s="1086">
        <v>0</v>
      </c>
      <c r="AF778" s="1086">
        <v>0</v>
      </c>
      <c r="AG778" s="1086">
        <v>0</v>
      </c>
      <c r="AH778" s="1086">
        <v>0</v>
      </c>
      <c r="AI778" s="1086">
        <v>0</v>
      </c>
      <c r="AJ778" s="1086">
        <v>0</v>
      </c>
      <c r="AK778" s="1086">
        <v>0</v>
      </c>
      <c r="AL778" s="1086">
        <v>0</v>
      </c>
      <c r="AM778" s="1086">
        <v>0</v>
      </c>
      <c r="AN778" s="1086">
        <v>0</v>
      </c>
      <c r="AO778" s="1086">
        <v>0</v>
      </c>
      <c r="AP778" s="1086">
        <v>0</v>
      </c>
      <c r="AQ778" s="1086">
        <v>0</v>
      </c>
      <c r="AR778" s="1086">
        <v>0</v>
      </c>
      <c r="AS778" s="1086">
        <v>0</v>
      </c>
      <c r="AT778" s="1086">
        <v>0</v>
      </c>
      <c r="AU778" s="1086">
        <v>0</v>
      </c>
      <c r="AV778" s="1086">
        <v>0</v>
      </c>
      <c r="AW778" s="1086">
        <v>0</v>
      </c>
      <c r="AX778" s="1086">
        <v>0</v>
      </c>
      <c r="AY778" s="1086">
        <v>0</v>
      </c>
      <c r="AZ778" s="1086">
        <v>0</v>
      </c>
      <c r="BA778" s="1086">
        <v>0</v>
      </c>
      <c r="BB778" s="1086">
        <v>0</v>
      </c>
      <c r="BC778" s="1086">
        <v>0</v>
      </c>
      <c r="BD778" s="1086">
        <v>0</v>
      </c>
      <c r="BE778" s="1087">
        <v>0</v>
      </c>
      <c r="BF778" s="695"/>
    </row>
    <row r="779" spans="1:58" x14ac:dyDescent="0.45">
      <c r="A779" s="695"/>
      <c r="B779" s="1077"/>
      <c r="C779" s="1078"/>
      <c r="D779" s="1078"/>
      <c r="E779" s="1078"/>
      <c r="F779" s="1078"/>
      <c r="G779" s="1078"/>
      <c r="H779" s="1608"/>
      <c r="I779" s="1608"/>
      <c r="J779" s="1608"/>
      <c r="K779" s="1608"/>
      <c r="L779" s="1608"/>
      <c r="M779" s="1608"/>
      <c r="N779" s="1608"/>
      <c r="O779" s="1608"/>
      <c r="P779" s="1608"/>
      <c r="Q779" s="1608"/>
      <c r="R779" s="1608"/>
      <c r="S779" s="1608"/>
      <c r="T779" s="1608"/>
      <c r="U779" s="1608"/>
      <c r="V779" s="1608"/>
      <c r="W779" s="1608"/>
      <c r="X779" s="1608"/>
      <c r="Y779" s="1608"/>
      <c r="Z779" s="1608"/>
      <c r="AA779" s="1608"/>
      <c r="AB779" s="1608"/>
      <c r="AC779" s="1608"/>
      <c r="AD779" s="1608"/>
      <c r="AE779" s="1608"/>
      <c r="AF779" s="1608"/>
      <c r="AG779" s="1608"/>
      <c r="AH779" s="1608"/>
      <c r="AI779" s="1608"/>
      <c r="AJ779" s="1608"/>
      <c r="AK779" s="1608"/>
      <c r="AL779" s="1608"/>
      <c r="AM779" s="1608"/>
      <c r="AN779" s="1608"/>
      <c r="AO779" s="1608"/>
      <c r="AP779" s="1608"/>
      <c r="AQ779" s="1608"/>
      <c r="AR779" s="1608"/>
      <c r="AS779" s="1608"/>
      <c r="AT779" s="1608"/>
      <c r="AU779" s="1608"/>
      <c r="AV779" s="1608"/>
      <c r="AW779" s="1608"/>
      <c r="AX779" s="1608"/>
      <c r="AY779" s="1608"/>
      <c r="AZ779" s="1608"/>
      <c r="BA779" s="1608"/>
      <c r="BB779" s="1608"/>
      <c r="BC779" s="1608"/>
      <c r="BD779" s="1608"/>
      <c r="BE779" s="1609"/>
      <c r="BF779" s="695"/>
    </row>
    <row r="780" spans="1:58" ht="13.15" x14ac:dyDescent="0.45">
      <c r="A780" s="695"/>
      <c r="B780" s="1077"/>
      <c r="C780" s="1078"/>
      <c r="D780" s="1078"/>
      <c r="E780" s="1078"/>
      <c r="F780" s="1088" t="s">
        <v>54</v>
      </c>
      <c r="G780" s="1088" t="s">
        <v>55</v>
      </c>
      <c r="H780" s="1078"/>
      <c r="I780" s="1078"/>
      <c r="J780" s="1078"/>
      <c r="K780" s="1078"/>
      <c r="L780" s="1078"/>
      <c r="M780" s="1078"/>
      <c r="N780" s="1078"/>
      <c r="O780" s="1078"/>
      <c r="P780" s="1078"/>
      <c r="Q780" s="1078"/>
      <c r="R780" s="1078"/>
      <c r="S780" s="1078"/>
      <c r="T780" s="1078"/>
      <c r="U780" s="1078"/>
      <c r="V780" s="1078"/>
      <c r="W780" s="1078"/>
      <c r="X780" s="1078"/>
      <c r="Y780" s="1078"/>
      <c r="Z780" s="1078"/>
      <c r="AA780" s="1078"/>
      <c r="AB780" s="1078"/>
      <c r="AC780" s="1078"/>
      <c r="AD780" s="1078"/>
      <c r="AE780" s="1078"/>
      <c r="AF780" s="1078"/>
      <c r="AG780" s="1078"/>
      <c r="AH780" s="1078"/>
      <c r="AI780" s="1078"/>
      <c r="AJ780" s="1078"/>
      <c r="AK780" s="1078"/>
      <c r="AL780" s="1078"/>
      <c r="AM780" s="1078"/>
      <c r="AN780" s="1078"/>
      <c r="AO780" s="1078"/>
      <c r="AP780" s="1078"/>
      <c r="AQ780" s="1078"/>
      <c r="AR780" s="1078"/>
      <c r="AS780" s="1078"/>
      <c r="AT780" s="1078"/>
      <c r="AU780" s="1078"/>
      <c r="AV780" s="1078"/>
      <c r="AW780" s="1078"/>
      <c r="AX780" s="1078"/>
      <c r="AY780" s="1078"/>
      <c r="AZ780" s="1078"/>
      <c r="BA780" s="1078"/>
      <c r="BB780" s="1078"/>
      <c r="BC780" s="1078"/>
      <c r="BD780" s="1078"/>
      <c r="BE780" s="1089"/>
      <c r="BF780" s="695"/>
    </row>
    <row r="781" spans="1:58" x14ac:dyDescent="0.45">
      <c r="A781" s="695"/>
      <c r="B781" s="1077"/>
      <c r="C781" s="1078" t="s">
        <v>50</v>
      </c>
      <c r="D781" s="1078"/>
      <c r="E781" s="1078"/>
      <c r="F781" s="1086">
        <f>'II. Inputs, Baseline Energy Mix'!$P$122</f>
        <v>1</v>
      </c>
      <c r="G781" s="1608">
        <f>IF('II. Inputs, Baseline Energy Mix'!$O$19&gt;0, F781*'II. Inputs, Baseline Energy Mix'!$O$20*'II. Inputs, Baseline Energy Mix'!$O$21,0)</f>
        <v>0</v>
      </c>
      <c r="H781" s="1608">
        <f>$G$781*H777</f>
        <v>0</v>
      </c>
      <c r="I781" s="1608">
        <f t="shared" ref="I781:BE781" si="259">$G$781*I777</f>
        <v>0</v>
      </c>
      <c r="J781" s="1608">
        <f t="shared" si="259"/>
        <v>0</v>
      </c>
      <c r="K781" s="1608">
        <f t="shared" si="259"/>
        <v>0</v>
      </c>
      <c r="L781" s="1608">
        <f t="shared" si="259"/>
        <v>0</v>
      </c>
      <c r="M781" s="1608">
        <f t="shared" si="259"/>
        <v>0</v>
      </c>
      <c r="N781" s="1608">
        <f t="shared" si="259"/>
        <v>0</v>
      </c>
      <c r="O781" s="1608">
        <f t="shared" si="259"/>
        <v>0</v>
      </c>
      <c r="P781" s="1608">
        <f t="shared" si="259"/>
        <v>0</v>
      </c>
      <c r="Q781" s="1608">
        <f t="shared" si="259"/>
        <v>0</v>
      </c>
      <c r="R781" s="1608">
        <f t="shared" si="259"/>
        <v>0</v>
      </c>
      <c r="S781" s="1608">
        <f t="shared" si="259"/>
        <v>0</v>
      </c>
      <c r="T781" s="1608">
        <f t="shared" si="259"/>
        <v>0</v>
      </c>
      <c r="U781" s="1608">
        <f t="shared" si="259"/>
        <v>0</v>
      </c>
      <c r="V781" s="1608">
        <f t="shared" si="259"/>
        <v>0</v>
      </c>
      <c r="W781" s="1608">
        <f t="shared" si="259"/>
        <v>0</v>
      </c>
      <c r="X781" s="1608">
        <f t="shared" si="259"/>
        <v>0</v>
      </c>
      <c r="Y781" s="1608">
        <f t="shared" si="259"/>
        <v>0</v>
      </c>
      <c r="Z781" s="1608">
        <f t="shared" si="259"/>
        <v>0</v>
      </c>
      <c r="AA781" s="1608">
        <f t="shared" si="259"/>
        <v>0</v>
      </c>
      <c r="AB781" s="1608">
        <f t="shared" si="259"/>
        <v>0</v>
      </c>
      <c r="AC781" s="1608">
        <f t="shared" si="259"/>
        <v>0</v>
      </c>
      <c r="AD781" s="1608">
        <f t="shared" si="259"/>
        <v>0</v>
      </c>
      <c r="AE781" s="1608">
        <f t="shared" si="259"/>
        <v>0</v>
      </c>
      <c r="AF781" s="1608">
        <f t="shared" si="259"/>
        <v>0</v>
      </c>
      <c r="AG781" s="1608">
        <f t="shared" si="259"/>
        <v>0</v>
      </c>
      <c r="AH781" s="1608">
        <f t="shared" si="259"/>
        <v>0</v>
      </c>
      <c r="AI781" s="1608">
        <f t="shared" si="259"/>
        <v>0</v>
      </c>
      <c r="AJ781" s="1608">
        <f t="shared" si="259"/>
        <v>0</v>
      </c>
      <c r="AK781" s="1608">
        <f t="shared" si="259"/>
        <v>0</v>
      </c>
      <c r="AL781" s="1608">
        <f t="shared" si="259"/>
        <v>0</v>
      </c>
      <c r="AM781" s="1608">
        <f t="shared" si="259"/>
        <v>0</v>
      </c>
      <c r="AN781" s="1608">
        <f t="shared" si="259"/>
        <v>0</v>
      </c>
      <c r="AO781" s="1608">
        <f t="shared" si="259"/>
        <v>0</v>
      </c>
      <c r="AP781" s="1608">
        <f t="shared" si="259"/>
        <v>0</v>
      </c>
      <c r="AQ781" s="1608">
        <f t="shared" si="259"/>
        <v>0</v>
      </c>
      <c r="AR781" s="1608">
        <f t="shared" si="259"/>
        <v>0</v>
      </c>
      <c r="AS781" s="1608">
        <f t="shared" si="259"/>
        <v>0</v>
      </c>
      <c r="AT781" s="1608">
        <f t="shared" si="259"/>
        <v>0</v>
      </c>
      <c r="AU781" s="1608">
        <f t="shared" si="259"/>
        <v>0</v>
      </c>
      <c r="AV781" s="1608">
        <f t="shared" si="259"/>
        <v>0</v>
      </c>
      <c r="AW781" s="1608">
        <f t="shared" si="259"/>
        <v>0</v>
      </c>
      <c r="AX781" s="1608">
        <f t="shared" si="259"/>
        <v>0</v>
      </c>
      <c r="AY781" s="1608">
        <f t="shared" si="259"/>
        <v>0</v>
      </c>
      <c r="AZ781" s="1608">
        <f t="shared" si="259"/>
        <v>0</v>
      </c>
      <c r="BA781" s="1608">
        <f t="shared" si="259"/>
        <v>0</v>
      </c>
      <c r="BB781" s="1608">
        <f t="shared" si="259"/>
        <v>0</v>
      </c>
      <c r="BC781" s="1608">
        <f t="shared" si="259"/>
        <v>0</v>
      </c>
      <c r="BD781" s="1608">
        <f t="shared" si="259"/>
        <v>0</v>
      </c>
      <c r="BE781" s="1609">
        <f t="shared" si="259"/>
        <v>0</v>
      </c>
      <c r="BF781" s="695"/>
    </row>
    <row r="782" spans="1:58" x14ac:dyDescent="0.45">
      <c r="A782" s="695"/>
      <c r="B782" s="1077"/>
      <c r="C782" s="1090" t="s">
        <v>16</v>
      </c>
      <c r="D782" s="1090"/>
      <c r="E782" s="1090"/>
      <c r="F782" s="1091">
        <f>'II. Inputs, Baseline Energy Mix'!$P$123</f>
        <v>0</v>
      </c>
      <c r="G782" s="1610">
        <f>IF('II. Inputs, Baseline Energy Mix'!$O$19&gt;0, F782*'II. Inputs, Baseline Energy Mix'!$O$20*'II. Inputs, Baseline Energy Mix'!$O$21,0)</f>
        <v>0</v>
      </c>
      <c r="H782" s="1610">
        <f>$G$782*H778</f>
        <v>0</v>
      </c>
      <c r="I782" s="1610">
        <f t="shared" ref="I782:BE782" si="260">$G$782*I778</f>
        <v>0</v>
      </c>
      <c r="J782" s="1610">
        <f t="shared" si="260"/>
        <v>0</v>
      </c>
      <c r="K782" s="1610">
        <f t="shared" si="260"/>
        <v>0</v>
      </c>
      <c r="L782" s="1610">
        <f t="shared" si="260"/>
        <v>0</v>
      </c>
      <c r="M782" s="1610">
        <f t="shared" si="260"/>
        <v>0</v>
      </c>
      <c r="N782" s="1610">
        <f t="shared" si="260"/>
        <v>0</v>
      </c>
      <c r="O782" s="1610">
        <f t="shared" si="260"/>
        <v>0</v>
      </c>
      <c r="P782" s="1610">
        <f t="shared" si="260"/>
        <v>0</v>
      </c>
      <c r="Q782" s="1610">
        <f t="shared" si="260"/>
        <v>0</v>
      </c>
      <c r="R782" s="1610">
        <f t="shared" si="260"/>
        <v>0</v>
      </c>
      <c r="S782" s="1610">
        <f t="shared" si="260"/>
        <v>0</v>
      </c>
      <c r="T782" s="1610">
        <f t="shared" si="260"/>
        <v>0</v>
      </c>
      <c r="U782" s="1610">
        <f t="shared" si="260"/>
        <v>0</v>
      </c>
      <c r="V782" s="1610">
        <f t="shared" si="260"/>
        <v>0</v>
      </c>
      <c r="W782" s="1610">
        <f t="shared" si="260"/>
        <v>0</v>
      </c>
      <c r="X782" s="1610">
        <f t="shared" si="260"/>
        <v>0</v>
      </c>
      <c r="Y782" s="1610">
        <f t="shared" si="260"/>
        <v>0</v>
      </c>
      <c r="Z782" s="1610">
        <f t="shared" si="260"/>
        <v>0</v>
      </c>
      <c r="AA782" s="1610">
        <f t="shared" si="260"/>
        <v>0</v>
      </c>
      <c r="AB782" s="1610">
        <f t="shared" si="260"/>
        <v>0</v>
      </c>
      <c r="AC782" s="1610">
        <f t="shared" si="260"/>
        <v>0</v>
      </c>
      <c r="AD782" s="1610">
        <f t="shared" si="260"/>
        <v>0</v>
      </c>
      <c r="AE782" s="1610">
        <f t="shared" si="260"/>
        <v>0</v>
      </c>
      <c r="AF782" s="1610">
        <f t="shared" si="260"/>
        <v>0</v>
      </c>
      <c r="AG782" s="1610">
        <f t="shared" si="260"/>
        <v>0</v>
      </c>
      <c r="AH782" s="1610">
        <f t="shared" si="260"/>
        <v>0</v>
      </c>
      <c r="AI782" s="1610">
        <f t="shared" si="260"/>
        <v>0</v>
      </c>
      <c r="AJ782" s="1610">
        <f t="shared" si="260"/>
        <v>0</v>
      </c>
      <c r="AK782" s="1610">
        <f t="shared" si="260"/>
        <v>0</v>
      </c>
      <c r="AL782" s="1610">
        <f t="shared" si="260"/>
        <v>0</v>
      </c>
      <c r="AM782" s="1610">
        <f t="shared" si="260"/>
        <v>0</v>
      </c>
      <c r="AN782" s="1610">
        <f t="shared" si="260"/>
        <v>0</v>
      </c>
      <c r="AO782" s="1610">
        <f t="shared" si="260"/>
        <v>0</v>
      </c>
      <c r="AP782" s="1610">
        <f t="shared" si="260"/>
        <v>0</v>
      </c>
      <c r="AQ782" s="1610">
        <f t="shared" si="260"/>
        <v>0</v>
      </c>
      <c r="AR782" s="1610">
        <f t="shared" si="260"/>
        <v>0</v>
      </c>
      <c r="AS782" s="1610">
        <f t="shared" si="260"/>
        <v>0</v>
      </c>
      <c r="AT782" s="1610">
        <f t="shared" si="260"/>
        <v>0</v>
      </c>
      <c r="AU782" s="1610">
        <f t="shared" si="260"/>
        <v>0</v>
      </c>
      <c r="AV782" s="1610">
        <f t="shared" si="260"/>
        <v>0</v>
      </c>
      <c r="AW782" s="1610">
        <f t="shared" si="260"/>
        <v>0</v>
      </c>
      <c r="AX782" s="1610">
        <f t="shared" si="260"/>
        <v>0</v>
      </c>
      <c r="AY782" s="1610">
        <f t="shared" si="260"/>
        <v>0</v>
      </c>
      <c r="AZ782" s="1610">
        <f t="shared" si="260"/>
        <v>0</v>
      </c>
      <c r="BA782" s="1610">
        <f t="shared" si="260"/>
        <v>0</v>
      </c>
      <c r="BB782" s="1610">
        <f t="shared" si="260"/>
        <v>0</v>
      </c>
      <c r="BC782" s="1610">
        <f t="shared" si="260"/>
        <v>0</v>
      </c>
      <c r="BD782" s="1610">
        <f t="shared" si="260"/>
        <v>0</v>
      </c>
      <c r="BE782" s="1611">
        <f t="shared" si="260"/>
        <v>0</v>
      </c>
      <c r="BF782" s="695"/>
    </row>
    <row r="783" spans="1:58" x14ac:dyDescent="0.45">
      <c r="A783" s="695"/>
      <c r="B783" s="1077"/>
      <c r="C783" s="1078" t="s">
        <v>56</v>
      </c>
      <c r="D783" s="1078"/>
      <c r="E783" s="1078"/>
      <c r="F783" s="1078"/>
      <c r="G783" s="1608">
        <f>G781+G782</f>
        <v>0</v>
      </c>
      <c r="H783" s="1608">
        <f>H781+H782</f>
        <v>0</v>
      </c>
      <c r="I783" s="1608">
        <f t="shared" ref="I783:BE783" si="261">I781+I782</f>
        <v>0</v>
      </c>
      <c r="J783" s="1608">
        <f t="shared" si="261"/>
        <v>0</v>
      </c>
      <c r="K783" s="1608">
        <f t="shared" si="261"/>
        <v>0</v>
      </c>
      <c r="L783" s="1608">
        <f t="shared" si="261"/>
        <v>0</v>
      </c>
      <c r="M783" s="1608">
        <f t="shared" si="261"/>
        <v>0</v>
      </c>
      <c r="N783" s="1608">
        <f t="shared" si="261"/>
        <v>0</v>
      </c>
      <c r="O783" s="1608">
        <f t="shared" si="261"/>
        <v>0</v>
      </c>
      <c r="P783" s="1608">
        <f t="shared" si="261"/>
        <v>0</v>
      </c>
      <c r="Q783" s="1608">
        <f t="shared" si="261"/>
        <v>0</v>
      </c>
      <c r="R783" s="1608">
        <f t="shared" si="261"/>
        <v>0</v>
      </c>
      <c r="S783" s="1608">
        <f t="shared" si="261"/>
        <v>0</v>
      </c>
      <c r="T783" s="1608">
        <f t="shared" si="261"/>
        <v>0</v>
      </c>
      <c r="U783" s="1608">
        <f t="shared" si="261"/>
        <v>0</v>
      </c>
      <c r="V783" s="1608">
        <f t="shared" si="261"/>
        <v>0</v>
      </c>
      <c r="W783" s="1608">
        <f t="shared" si="261"/>
        <v>0</v>
      </c>
      <c r="X783" s="1608">
        <f t="shared" si="261"/>
        <v>0</v>
      </c>
      <c r="Y783" s="1608">
        <f t="shared" si="261"/>
        <v>0</v>
      </c>
      <c r="Z783" s="1608">
        <f t="shared" si="261"/>
        <v>0</v>
      </c>
      <c r="AA783" s="1608">
        <f t="shared" si="261"/>
        <v>0</v>
      </c>
      <c r="AB783" s="1608">
        <f t="shared" si="261"/>
        <v>0</v>
      </c>
      <c r="AC783" s="1608">
        <f t="shared" si="261"/>
        <v>0</v>
      </c>
      <c r="AD783" s="1608">
        <f t="shared" si="261"/>
        <v>0</v>
      </c>
      <c r="AE783" s="1608">
        <f t="shared" si="261"/>
        <v>0</v>
      </c>
      <c r="AF783" s="1608">
        <f t="shared" si="261"/>
        <v>0</v>
      </c>
      <c r="AG783" s="1608">
        <f t="shared" si="261"/>
        <v>0</v>
      </c>
      <c r="AH783" s="1608">
        <f t="shared" si="261"/>
        <v>0</v>
      </c>
      <c r="AI783" s="1608">
        <f t="shared" si="261"/>
        <v>0</v>
      </c>
      <c r="AJ783" s="1608">
        <f t="shared" si="261"/>
        <v>0</v>
      </c>
      <c r="AK783" s="1608">
        <f t="shared" si="261"/>
        <v>0</v>
      </c>
      <c r="AL783" s="1608">
        <f t="shared" si="261"/>
        <v>0</v>
      </c>
      <c r="AM783" s="1608">
        <f t="shared" si="261"/>
        <v>0</v>
      </c>
      <c r="AN783" s="1608">
        <f t="shared" si="261"/>
        <v>0</v>
      </c>
      <c r="AO783" s="1608">
        <f t="shared" si="261"/>
        <v>0</v>
      </c>
      <c r="AP783" s="1608">
        <f t="shared" si="261"/>
        <v>0</v>
      </c>
      <c r="AQ783" s="1608">
        <f t="shared" si="261"/>
        <v>0</v>
      </c>
      <c r="AR783" s="1608">
        <f t="shared" si="261"/>
        <v>0</v>
      </c>
      <c r="AS783" s="1608">
        <f t="shared" si="261"/>
        <v>0</v>
      </c>
      <c r="AT783" s="1608">
        <f t="shared" si="261"/>
        <v>0</v>
      </c>
      <c r="AU783" s="1608">
        <f t="shared" si="261"/>
        <v>0</v>
      </c>
      <c r="AV783" s="1608">
        <f t="shared" si="261"/>
        <v>0</v>
      </c>
      <c r="AW783" s="1608">
        <f t="shared" si="261"/>
        <v>0</v>
      </c>
      <c r="AX783" s="1608">
        <f t="shared" si="261"/>
        <v>0</v>
      </c>
      <c r="AY783" s="1608">
        <f t="shared" si="261"/>
        <v>0</v>
      </c>
      <c r="AZ783" s="1608">
        <f t="shared" si="261"/>
        <v>0</v>
      </c>
      <c r="BA783" s="1608">
        <f t="shared" si="261"/>
        <v>0</v>
      </c>
      <c r="BB783" s="1608">
        <f t="shared" si="261"/>
        <v>0</v>
      </c>
      <c r="BC783" s="1608">
        <f t="shared" si="261"/>
        <v>0</v>
      </c>
      <c r="BD783" s="1608">
        <f t="shared" si="261"/>
        <v>0</v>
      </c>
      <c r="BE783" s="1609">
        <f t="shared" si="261"/>
        <v>0</v>
      </c>
      <c r="BF783" s="695"/>
    </row>
    <row r="784" spans="1:58" x14ac:dyDescent="0.45">
      <c r="A784" s="1175"/>
      <c r="B784" s="1077"/>
      <c r="C784" s="1078"/>
      <c r="D784" s="1078"/>
      <c r="E784" s="1078"/>
      <c r="F784" s="1078"/>
      <c r="G784" s="1078"/>
      <c r="H784" s="1078"/>
      <c r="I784" s="1078"/>
      <c r="J784" s="1078"/>
      <c r="K784" s="1078"/>
      <c r="L784" s="1078"/>
      <c r="M784" s="1078"/>
      <c r="N784" s="1078"/>
      <c r="O784" s="1078"/>
      <c r="P784" s="1078"/>
      <c r="Q784" s="1078"/>
      <c r="R784" s="1078"/>
      <c r="S784" s="1078"/>
      <c r="T784" s="1078"/>
      <c r="U784" s="1078"/>
      <c r="V784" s="1078"/>
      <c r="W784" s="1078"/>
      <c r="X784" s="1078"/>
      <c r="Y784" s="1078"/>
      <c r="Z784" s="1078"/>
      <c r="AA784" s="1078"/>
      <c r="AB784" s="1078"/>
      <c r="AC784" s="1078"/>
      <c r="AD784" s="1078"/>
      <c r="AE784" s="1078"/>
      <c r="AF784" s="1078"/>
      <c r="AG784" s="1078"/>
      <c r="AH784" s="1078"/>
      <c r="AI784" s="1078"/>
      <c r="AJ784" s="1078"/>
      <c r="AK784" s="1078"/>
      <c r="AL784" s="1078"/>
      <c r="AM784" s="1078"/>
      <c r="AN784" s="1078"/>
      <c r="AO784" s="1078"/>
      <c r="AP784" s="1078"/>
      <c r="AQ784" s="1078"/>
      <c r="AR784" s="1078"/>
      <c r="AS784" s="1078"/>
      <c r="AT784" s="1078"/>
      <c r="AU784" s="1078"/>
      <c r="AV784" s="1078"/>
      <c r="AW784" s="1078"/>
      <c r="AX784" s="1078"/>
      <c r="AY784" s="1078"/>
      <c r="AZ784" s="1078"/>
      <c r="BA784" s="1078"/>
      <c r="BB784" s="1078"/>
      <c r="BC784" s="1078"/>
      <c r="BD784" s="1078"/>
      <c r="BE784" s="1089"/>
      <c r="BF784" s="695"/>
    </row>
    <row r="785" spans="1:58" x14ac:dyDescent="0.45">
      <c r="A785" s="695"/>
      <c r="B785" s="1092"/>
      <c r="C785" s="1090"/>
      <c r="D785" s="1090"/>
      <c r="E785" s="1090"/>
      <c r="F785" s="1090"/>
      <c r="G785" s="1090"/>
      <c r="H785" s="1090"/>
      <c r="I785" s="1090"/>
      <c r="J785" s="1090"/>
      <c r="K785" s="1090"/>
      <c r="L785" s="1090"/>
      <c r="M785" s="1090"/>
      <c r="N785" s="1090"/>
      <c r="O785" s="1090"/>
      <c r="P785" s="1090"/>
      <c r="Q785" s="1090"/>
      <c r="R785" s="1090"/>
      <c r="S785" s="1090"/>
      <c r="T785" s="1090"/>
      <c r="U785" s="1090"/>
      <c r="V785" s="1090"/>
      <c r="W785" s="1090"/>
      <c r="X785" s="1090"/>
      <c r="Y785" s="1090"/>
      <c r="Z785" s="1090"/>
      <c r="AA785" s="1090"/>
      <c r="AB785" s="1090"/>
      <c r="AC785" s="1090"/>
      <c r="AD785" s="1090"/>
      <c r="AE785" s="1090"/>
      <c r="AF785" s="1090"/>
      <c r="AG785" s="1090"/>
      <c r="AH785" s="1090"/>
      <c r="AI785" s="1090"/>
      <c r="AJ785" s="1090"/>
      <c r="AK785" s="1090"/>
      <c r="AL785" s="1090"/>
      <c r="AM785" s="1090"/>
      <c r="AN785" s="1090"/>
      <c r="AO785" s="1090"/>
      <c r="AP785" s="1090"/>
      <c r="AQ785" s="1090"/>
      <c r="AR785" s="1090"/>
      <c r="AS785" s="1090"/>
      <c r="AT785" s="1090"/>
      <c r="AU785" s="1090"/>
      <c r="AV785" s="1090"/>
      <c r="AW785" s="1090"/>
      <c r="AX785" s="1090"/>
      <c r="AY785" s="1090"/>
      <c r="AZ785" s="1090"/>
      <c r="BA785" s="1090"/>
      <c r="BB785" s="1090"/>
      <c r="BC785" s="1090"/>
      <c r="BD785" s="1090"/>
      <c r="BE785" s="1093"/>
      <c r="BF785" s="695"/>
    </row>
    <row r="786" spans="1:58" x14ac:dyDescent="0.45">
      <c r="A786" s="695"/>
      <c r="B786" s="695"/>
      <c r="C786" s="695"/>
      <c r="D786" s="695"/>
      <c r="E786" s="695"/>
      <c r="F786" s="695"/>
      <c r="G786" s="695"/>
      <c r="H786" s="695"/>
      <c r="I786" s="695"/>
      <c r="J786" s="695"/>
      <c r="K786" s="695"/>
      <c r="L786" s="695"/>
      <c r="M786" s="695"/>
      <c r="N786" s="695"/>
      <c r="O786" s="695"/>
      <c r="P786" s="695"/>
      <c r="Q786" s="695"/>
      <c r="R786" s="695"/>
      <c r="S786" s="695"/>
      <c r="T786" s="695"/>
      <c r="U786" s="695"/>
      <c r="V786" s="695"/>
      <c r="W786" s="695"/>
      <c r="X786" s="695"/>
      <c r="Y786" s="695"/>
      <c r="Z786" s="695"/>
      <c r="AA786" s="695"/>
      <c r="AB786" s="695"/>
      <c r="AC786" s="695"/>
      <c r="AD786" s="695"/>
      <c r="AE786" s="695"/>
      <c r="AF786" s="695"/>
      <c r="AG786" s="695"/>
      <c r="AH786" s="695"/>
      <c r="AI786" s="695"/>
      <c r="AJ786" s="695"/>
      <c r="AK786" s="695"/>
      <c r="AL786" s="695"/>
      <c r="AM786" s="695"/>
      <c r="AN786" s="695"/>
      <c r="AO786" s="695"/>
      <c r="AP786" s="695"/>
      <c r="AQ786" s="695"/>
      <c r="AR786" s="695"/>
      <c r="AS786" s="695"/>
      <c r="AT786" s="695"/>
      <c r="AU786" s="695"/>
      <c r="AV786" s="695"/>
      <c r="AW786" s="695"/>
      <c r="AX786" s="695"/>
      <c r="AY786" s="695"/>
      <c r="AZ786" s="695"/>
      <c r="BA786" s="695"/>
      <c r="BB786" s="695"/>
      <c r="BC786" s="695"/>
      <c r="BD786" s="695"/>
      <c r="BE786" s="695"/>
      <c r="BF786" s="695"/>
    </row>
    <row r="787" spans="1:58" ht="13.15" x14ac:dyDescent="0.45">
      <c r="A787" s="695"/>
      <c r="B787" s="1094"/>
      <c r="C787" s="1095" t="str">
        <f>'II. Inputs, Baseline Energy Mix'!P18</f>
        <v>Technology #3</v>
      </c>
      <c r="D787" s="1096"/>
      <c r="E787" s="1096"/>
      <c r="F787" s="1096"/>
      <c r="G787" s="1096"/>
      <c r="H787" s="1096"/>
      <c r="I787" s="1096"/>
      <c r="J787" s="1096"/>
      <c r="K787" s="1096"/>
      <c r="L787" s="1096"/>
      <c r="M787" s="1096"/>
      <c r="N787" s="1096"/>
      <c r="O787" s="1096"/>
      <c r="P787" s="1096"/>
      <c r="Q787" s="1096"/>
      <c r="R787" s="1096"/>
      <c r="S787" s="1096"/>
      <c r="T787" s="1096"/>
      <c r="U787" s="1096"/>
      <c r="V787" s="1096"/>
      <c r="W787" s="1096"/>
      <c r="X787" s="1096"/>
      <c r="Y787" s="1096"/>
      <c r="Z787" s="1096"/>
      <c r="AA787" s="1096"/>
      <c r="AB787" s="1096"/>
      <c r="AC787" s="1096"/>
      <c r="AD787" s="1096"/>
      <c r="AE787" s="1096"/>
      <c r="AF787" s="1096"/>
      <c r="AG787" s="1096"/>
      <c r="AH787" s="1096"/>
      <c r="AI787" s="1096"/>
      <c r="AJ787" s="1096"/>
      <c r="AK787" s="1096"/>
      <c r="AL787" s="1096"/>
      <c r="AM787" s="1096"/>
      <c r="AN787" s="1096"/>
      <c r="AO787" s="1096"/>
      <c r="AP787" s="1096"/>
      <c r="AQ787" s="1096"/>
      <c r="AR787" s="1096"/>
      <c r="AS787" s="1096"/>
      <c r="AT787" s="1096"/>
      <c r="AU787" s="1096"/>
      <c r="AV787" s="1096"/>
      <c r="AW787" s="1096"/>
      <c r="AX787" s="1096"/>
      <c r="AY787" s="1096"/>
      <c r="AZ787" s="1096"/>
      <c r="BA787" s="1096"/>
      <c r="BB787" s="1096"/>
      <c r="BC787" s="1096"/>
      <c r="BD787" s="1096"/>
      <c r="BE787" s="1097"/>
      <c r="BF787" s="695"/>
    </row>
    <row r="788" spans="1:58" x14ac:dyDescent="0.45">
      <c r="A788" s="695"/>
      <c r="B788" s="1098"/>
      <c r="C788" s="1099"/>
      <c r="D788" s="1099"/>
      <c r="E788" s="1099"/>
      <c r="F788" s="1099"/>
      <c r="G788" s="1099"/>
      <c r="H788" s="1099"/>
      <c r="I788" s="1099"/>
      <c r="J788" s="1099"/>
      <c r="K788" s="1099"/>
      <c r="L788" s="1099"/>
      <c r="M788" s="1099"/>
      <c r="N788" s="1099"/>
      <c r="O788" s="1099"/>
      <c r="P788" s="1099"/>
      <c r="Q788" s="1099"/>
      <c r="R788" s="1099"/>
      <c r="S788" s="1099"/>
      <c r="T788" s="1099"/>
      <c r="U788" s="1099"/>
      <c r="V788" s="1099"/>
      <c r="W788" s="1099"/>
      <c r="X788" s="1099"/>
      <c r="Y788" s="1099"/>
      <c r="Z788" s="1099"/>
      <c r="AA788" s="1099"/>
      <c r="AB788" s="1099"/>
      <c r="AC788" s="1099"/>
      <c r="AD788" s="1099"/>
      <c r="AE788" s="1099"/>
      <c r="AF788" s="1099"/>
      <c r="AG788" s="1099"/>
      <c r="AH788" s="1099"/>
      <c r="AI788" s="1099"/>
      <c r="AJ788" s="1099"/>
      <c r="AK788" s="1099"/>
      <c r="AL788" s="1099"/>
      <c r="AM788" s="1099"/>
      <c r="AN788" s="1099"/>
      <c r="AO788" s="1099"/>
      <c r="AP788" s="1099"/>
      <c r="AQ788" s="1099"/>
      <c r="AR788" s="1099"/>
      <c r="AS788" s="1099"/>
      <c r="AT788" s="1099"/>
      <c r="AU788" s="1099"/>
      <c r="AV788" s="1099"/>
      <c r="AW788" s="1099"/>
      <c r="AX788" s="1099"/>
      <c r="AY788" s="1099"/>
      <c r="AZ788" s="1099"/>
      <c r="BA788" s="1099"/>
      <c r="BB788" s="1099"/>
      <c r="BC788" s="1099"/>
      <c r="BD788" s="1099"/>
      <c r="BE788" s="1100"/>
      <c r="BF788" s="695"/>
    </row>
    <row r="789" spans="1:58" x14ac:dyDescent="0.45">
      <c r="A789" s="695"/>
      <c r="B789" s="1098"/>
      <c r="C789" s="1101" t="s">
        <v>57</v>
      </c>
      <c r="D789" s="1102">
        <f>'II. Inputs, Baseline Energy Mix'!$P$22</f>
        <v>0</v>
      </c>
      <c r="E789" s="1103" t="s">
        <v>18</v>
      </c>
      <c r="F789" s="1099"/>
      <c r="G789" s="1099"/>
      <c r="H789" s="1099"/>
      <c r="I789" s="1099"/>
      <c r="J789" s="1099"/>
      <c r="K789" s="1099"/>
      <c r="L789" s="1099"/>
      <c r="M789" s="1099"/>
      <c r="N789" s="1099"/>
      <c r="O789" s="1099"/>
      <c r="P789" s="1099"/>
      <c r="Q789" s="1099"/>
      <c r="R789" s="1099"/>
      <c r="S789" s="1099"/>
      <c r="T789" s="1099"/>
      <c r="U789" s="1099"/>
      <c r="V789" s="1099"/>
      <c r="W789" s="1099"/>
      <c r="X789" s="1099"/>
      <c r="Y789" s="1099"/>
      <c r="Z789" s="1099"/>
      <c r="AA789" s="1099"/>
      <c r="AB789" s="1099"/>
      <c r="AC789" s="1099"/>
      <c r="AD789" s="1099"/>
      <c r="AE789" s="1099"/>
      <c r="AF789" s="1099"/>
      <c r="AG789" s="1099"/>
      <c r="AH789" s="1099"/>
      <c r="AI789" s="1099"/>
      <c r="AJ789" s="1099"/>
      <c r="AK789" s="1099"/>
      <c r="AL789" s="1099"/>
      <c r="AM789" s="1099"/>
      <c r="AN789" s="1099"/>
      <c r="AO789" s="1099"/>
      <c r="AP789" s="1099"/>
      <c r="AQ789" s="1099"/>
      <c r="AR789" s="1099"/>
      <c r="AS789" s="1099"/>
      <c r="AT789" s="1099"/>
      <c r="AU789" s="1099"/>
      <c r="AV789" s="1099"/>
      <c r="AW789" s="1099"/>
      <c r="AX789" s="1099"/>
      <c r="AY789" s="1099"/>
      <c r="AZ789" s="1099"/>
      <c r="BA789" s="1099"/>
      <c r="BB789" s="1099"/>
      <c r="BC789" s="1099"/>
      <c r="BD789" s="1099"/>
      <c r="BE789" s="1100"/>
      <c r="BF789" s="695"/>
    </row>
    <row r="790" spans="1:58" x14ac:dyDescent="0.45">
      <c r="A790" s="695"/>
      <c r="B790" s="1098"/>
      <c r="C790" s="1099"/>
      <c r="D790" s="1099"/>
      <c r="E790" s="1099"/>
      <c r="F790" s="1099"/>
      <c r="G790" s="1099"/>
      <c r="H790" s="1099"/>
      <c r="I790" s="1099"/>
      <c r="J790" s="1099"/>
      <c r="K790" s="1099"/>
      <c r="L790" s="1099"/>
      <c r="M790" s="1099"/>
      <c r="N790" s="1099"/>
      <c r="O790" s="1099"/>
      <c r="P790" s="1099"/>
      <c r="Q790" s="1099"/>
      <c r="R790" s="1099"/>
      <c r="S790" s="1099"/>
      <c r="T790" s="1099"/>
      <c r="U790" s="1099"/>
      <c r="V790" s="1099"/>
      <c r="W790" s="1099"/>
      <c r="X790" s="1099"/>
      <c r="Y790" s="1099"/>
      <c r="Z790" s="1099"/>
      <c r="AA790" s="1099"/>
      <c r="AB790" s="1099"/>
      <c r="AC790" s="1099"/>
      <c r="AD790" s="1099"/>
      <c r="AE790" s="1099"/>
      <c r="AF790" s="1099"/>
      <c r="AG790" s="1099"/>
      <c r="AH790" s="1099"/>
      <c r="AI790" s="1099"/>
      <c r="AJ790" s="1099"/>
      <c r="AK790" s="1099"/>
      <c r="AL790" s="1099"/>
      <c r="AM790" s="1099"/>
      <c r="AN790" s="1099"/>
      <c r="AO790" s="1099"/>
      <c r="AP790" s="1099"/>
      <c r="AQ790" s="1099"/>
      <c r="AR790" s="1099"/>
      <c r="AS790" s="1099"/>
      <c r="AT790" s="1099"/>
      <c r="AU790" s="1099"/>
      <c r="AV790" s="1099"/>
      <c r="AW790" s="1099"/>
      <c r="AX790" s="1099"/>
      <c r="AY790" s="1099"/>
      <c r="AZ790" s="1099"/>
      <c r="BA790" s="1099"/>
      <c r="BB790" s="1099"/>
      <c r="BC790" s="1099"/>
      <c r="BD790" s="1099"/>
      <c r="BE790" s="1100"/>
      <c r="BF790" s="695"/>
    </row>
    <row r="791" spans="1:58" x14ac:dyDescent="0.45">
      <c r="A791" s="695"/>
      <c r="B791" s="1098"/>
      <c r="C791" s="1099" t="s">
        <v>52</v>
      </c>
      <c r="D791" s="1099"/>
      <c r="E791" s="1099"/>
      <c r="F791" s="1099"/>
      <c r="G791" s="1104"/>
      <c r="H791" s="1105">
        <f>IF($H757&gt;$D$789,0,1/$D$789)</f>
        <v>0</v>
      </c>
      <c r="I791" s="1105">
        <f t="shared" ref="I791:BE791" si="262">IF($H757&gt;$D$789,0,1/$D$789)</f>
        <v>0</v>
      </c>
      <c r="J791" s="1105">
        <f t="shared" si="262"/>
        <v>0</v>
      </c>
      <c r="K791" s="1105">
        <f t="shared" si="262"/>
        <v>0</v>
      </c>
      <c r="L791" s="1105">
        <f t="shared" si="262"/>
        <v>0</v>
      </c>
      <c r="M791" s="1105">
        <f t="shared" si="262"/>
        <v>0</v>
      </c>
      <c r="N791" s="1105">
        <f t="shared" si="262"/>
        <v>0</v>
      </c>
      <c r="O791" s="1105">
        <f t="shared" si="262"/>
        <v>0</v>
      </c>
      <c r="P791" s="1105">
        <f t="shared" si="262"/>
        <v>0</v>
      </c>
      <c r="Q791" s="1105">
        <f t="shared" si="262"/>
        <v>0</v>
      </c>
      <c r="R791" s="1105">
        <f t="shared" si="262"/>
        <v>0</v>
      </c>
      <c r="S791" s="1105">
        <f t="shared" si="262"/>
        <v>0</v>
      </c>
      <c r="T791" s="1105">
        <f t="shared" si="262"/>
        <v>0</v>
      </c>
      <c r="U791" s="1105">
        <f t="shared" si="262"/>
        <v>0</v>
      </c>
      <c r="V791" s="1105">
        <f t="shared" si="262"/>
        <v>0</v>
      </c>
      <c r="W791" s="1105">
        <f t="shared" si="262"/>
        <v>0</v>
      </c>
      <c r="X791" s="1105">
        <f t="shared" si="262"/>
        <v>0</v>
      </c>
      <c r="Y791" s="1105">
        <f t="shared" si="262"/>
        <v>0</v>
      </c>
      <c r="Z791" s="1105">
        <f t="shared" si="262"/>
        <v>0</v>
      </c>
      <c r="AA791" s="1105">
        <f t="shared" si="262"/>
        <v>0</v>
      </c>
      <c r="AB791" s="1105">
        <f t="shared" si="262"/>
        <v>0</v>
      </c>
      <c r="AC791" s="1105">
        <f t="shared" si="262"/>
        <v>0</v>
      </c>
      <c r="AD791" s="1105">
        <f t="shared" si="262"/>
        <v>0</v>
      </c>
      <c r="AE791" s="1105">
        <f t="shared" si="262"/>
        <v>0</v>
      </c>
      <c r="AF791" s="1105">
        <f t="shared" si="262"/>
        <v>0</v>
      </c>
      <c r="AG791" s="1105">
        <f t="shared" si="262"/>
        <v>0</v>
      </c>
      <c r="AH791" s="1105">
        <f t="shared" si="262"/>
        <v>0</v>
      </c>
      <c r="AI791" s="1105">
        <f t="shared" si="262"/>
        <v>0</v>
      </c>
      <c r="AJ791" s="1105">
        <f t="shared" si="262"/>
        <v>0</v>
      </c>
      <c r="AK791" s="1105">
        <f t="shared" si="262"/>
        <v>0</v>
      </c>
      <c r="AL791" s="1105">
        <f t="shared" si="262"/>
        <v>0</v>
      </c>
      <c r="AM791" s="1105">
        <f t="shared" si="262"/>
        <v>0</v>
      </c>
      <c r="AN791" s="1105">
        <f t="shared" si="262"/>
        <v>0</v>
      </c>
      <c r="AO791" s="1105">
        <f t="shared" si="262"/>
        <v>0</v>
      </c>
      <c r="AP791" s="1105">
        <f t="shared" si="262"/>
        <v>0</v>
      </c>
      <c r="AQ791" s="1105">
        <f t="shared" si="262"/>
        <v>0</v>
      </c>
      <c r="AR791" s="1105">
        <f t="shared" si="262"/>
        <v>0</v>
      </c>
      <c r="AS791" s="1105">
        <f t="shared" si="262"/>
        <v>0</v>
      </c>
      <c r="AT791" s="1105">
        <f t="shared" si="262"/>
        <v>0</v>
      </c>
      <c r="AU791" s="1105">
        <f t="shared" si="262"/>
        <v>0</v>
      </c>
      <c r="AV791" s="1105">
        <f t="shared" si="262"/>
        <v>0</v>
      </c>
      <c r="AW791" s="1105">
        <f t="shared" si="262"/>
        <v>0</v>
      </c>
      <c r="AX791" s="1105">
        <f t="shared" si="262"/>
        <v>0</v>
      </c>
      <c r="AY791" s="1105">
        <f t="shared" si="262"/>
        <v>0</v>
      </c>
      <c r="AZ791" s="1105">
        <f t="shared" si="262"/>
        <v>0</v>
      </c>
      <c r="BA791" s="1105">
        <f t="shared" si="262"/>
        <v>0</v>
      </c>
      <c r="BB791" s="1105">
        <f t="shared" si="262"/>
        <v>0</v>
      </c>
      <c r="BC791" s="1105">
        <f t="shared" si="262"/>
        <v>0</v>
      </c>
      <c r="BD791" s="1105">
        <f t="shared" si="262"/>
        <v>0</v>
      </c>
      <c r="BE791" s="1106">
        <f t="shared" si="262"/>
        <v>0</v>
      </c>
      <c r="BF791" s="695"/>
    </row>
    <row r="792" spans="1:58" x14ac:dyDescent="0.45">
      <c r="A792" s="695"/>
      <c r="B792" s="1098"/>
      <c r="C792" s="1099" t="s">
        <v>53</v>
      </c>
      <c r="D792" s="1099"/>
      <c r="E792" s="1099"/>
      <c r="F792" s="1099"/>
      <c r="G792" s="1107"/>
      <c r="H792" s="1105">
        <v>0</v>
      </c>
      <c r="I792" s="1105">
        <v>0</v>
      </c>
      <c r="J792" s="1105">
        <v>0</v>
      </c>
      <c r="K792" s="1105">
        <v>0</v>
      </c>
      <c r="L792" s="1105">
        <v>0</v>
      </c>
      <c r="M792" s="1105">
        <v>0</v>
      </c>
      <c r="N792" s="1105">
        <v>0</v>
      </c>
      <c r="O792" s="1105">
        <v>0</v>
      </c>
      <c r="P792" s="1105">
        <v>0</v>
      </c>
      <c r="Q792" s="1105">
        <v>0</v>
      </c>
      <c r="R792" s="1105">
        <v>0</v>
      </c>
      <c r="S792" s="1105">
        <v>0</v>
      </c>
      <c r="T792" s="1105">
        <v>0</v>
      </c>
      <c r="U792" s="1105">
        <v>0</v>
      </c>
      <c r="V792" s="1105">
        <v>0</v>
      </c>
      <c r="W792" s="1105">
        <v>0</v>
      </c>
      <c r="X792" s="1105">
        <v>0</v>
      </c>
      <c r="Y792" s="1105">
        <v>0</v>
      </c>
      <c r="Z792" s="1105">
        <v>0</v>
      </c>
      <c r="AA792" s="1105">
        <v>0</v>
      </c>
      <c r="AB792" s="1105">
        <v>0</v>
      </c>
      <c r="AC792" s="1105">
        <v>0</v>
      </c>
      <c r="AD792" s="1105">
        <v>0</v>
      </c>
      <c r="AE792" s="1105">
        <v>0</v>
      </c>
      <c r="AF792" s="1105">
        <v>0</v>
      </c>
      <c r="AG792" s="1105">
        <v>0</v>
      </c>
      <c r="AH792" s="1105">
        <v>0</v>
      </c>
      <c r="AI792" s="1105">
        <v>0</v>
      </c>
      <c r="AJ792" s="1105">
        <v>0</v>
      </c>
      <c r="AK792" s="1105">
        <v>0</v>
      </c>
      <c r="AL792" s="1105">
        <v>0</v>
      </c>
      <c r="AM792" s="1105">
        <v>0</v>
      </c>
      <c r="AN792" s="1105">
        <v>0</v>
      </c>
      <c r="AO792" s="1105">
        <v>0</v>
      </c>
      <c r="AP792" s="1105">
        <v>0</v>
      </c>
      <c r="AQ792" s="1105">
        <v>0</v>
      </c>
      <c r="AR792" s="1105">
        <v>0</v>
      </c>
      <c r="AS792" s="1105">
        <v>0</v>
      </c>
      <c r="AT792" s="1105">
        <v>0</v>
      </c>
      <c r="AU792" s="1105">
        <v>0</v>
      </c>
      <c r="AV792" s="1105">
        <v>0</v>
      </c>
      <c r="AW792" s="1105">
        <v>0</v>
      </c>
      <c r="AX792" s="1105">
        <v>0</v>
      </c>
      <c r="AY792" s="1105">
        <v>0</v>
      </c>
      <c r="AZ792" s="1105">
        <v>0</v>
      </c>
      <c r="BA792" s="1105">
        <v>0</v>
      </c>
      <c r="BB792" s="1105">
        <v>0</v>
      </c>
      <c r="BC792" s="1105">
        <v>0</v>
      </c>
      <c r="BD792" s="1105">
        <v>0</v>
      </c>
      <c r="BE792" s="1106">
        <v>0</v>
      </c>
      <c r="BF792" s="695"/>
    </row>
    <row r="793" spans="1:58" x14ac:dyDescent="0.45">
      <c r="A793" s="695"/>
      <c r="B793" s="1098"/>
      <c r="C793" s="1099"/>
      <c r="D793" s="1099"/>
      <c r="E793" s="1099"/>
      <c r="F793" s="1099"/>
      <c r="G793" s="1099"/>
      <c r="H793" s="1099"/>
      <c r="I793" s="1099"/>
      <c r="J793" s="1099"/>
      <c r="K793" s="1099"/>
      <c r="L793" s="1099"/>
      <c r="M793" s="1099"/>
      <c r="N793" s="1099"/>
      <c r="O793" s="1099"/>
      <c r="P793" s="1099"/>
      <c r="Q793" s="1099"/>
      <c r="R793" s="1099"/>
      <c r="S793" s="1099"/>
      <c r="T793" s="1099"/>
      <c r="U793" s="1099"/>
      <c r="V793" s="1099"/>
      <c r="W793" s="1099"/>
      <c r="X793" s="1099"/>
      <c r="Y793" s="1099"/>
      <c r="Z793" s="1099"/>
      <c r="AA793" s="1099"/>
      <c r="AB793" s="1099"/>
      <c r="AC793" s="1099"/>
      <c r="AD793" s="1099"/>
      <c r="AE793" s="1099"/>
      <c r="AF793" s="1099"/>
      <c r="AG793" s="1099"/>
      <c r="AH793" s="1099"/>
      <c r="AI793" s="1099"/>
      <c r="AJ793" s="1099"/>
      <c r="AK793" s="1099"/>
      <c r="AL793" s="1099"/>
      <c r="AM793" s="1099"/>
      <c r="AN793" s="1099"/>
      <c r="AO793" s="1099"/>
      <c r="AP793" s="1099"/>
      <c r="AQ793" s="1099"/>
      <c r="AR793" s="1099"/>
      <c r="AS793" s="1099"/>
      <c r="AT793" s="1099"/>
      <c r="AU793" s="1099"/>
      <c r="AV793" s="1099"/>
      <c r="AW793" s="1099"/>
      <c r="AX793" s="1099"/>
      <c r="AY793" s="1099"/>
      <c r="AZ793" s="1099"/>
      <c r="BA793" s="1099"/>
      <c r="BB793" s="1099"/>
      <c r="BC793" s="1099"/>
      <c r="BD793" s="1099"/>
      <c r="BE793" s="1100"/>
      <c r="BF793" s="695"/>
    </row>
    <row r="794" spans="1:58" ht="13.15" x14ac:dyDescent="0.45">
      <c r="A794" s="695"/>
      <c r="B794" s="1098"/>
      <c r="C794" s="1099"/>
      <c r="D794" s="1099"/>
      <c r="E794" s="1099"/>
      <c r="F794" s="1108" t="s">
        <v>54</v>
      </c>
      <c r="G794" s="1108" t="s">
        <v>55</v>
      </c>
      <c r="H794" s="1099"/>
      <c r="I794" s="1099"/>
      <c r="J794" s="1099"/>
      <c r="K794" s="1099"/>
      <c r="L794" s="1099"/>
      <c r="M794" s="1099"/>
      <c r="N794" s="1099"/>
      <c r="O794" s="1099"/>
      <c r="P794" s="1099"/>
      <c r="Q794" s="1099"/>
      <c r="R794" s="1099"/>
      <c r="S794" s="1099"/>
      <c r="T794" s="1099"/>
      <c r="U794" s="1099"/>
      <c r="V794" s="1099"/>
      <c r="W794" s="1099"/>
      <c r="X794" s="1099"/>
      <c r="Y794" s="1099"/>
      <c r="Z794" s="1099"/>
      <c r="AA794" s="1099"/>
      <c r="AB794" s="1099"/>
      <c r="AC794" s="1099"/>
      <c r="AD794" s="1099"/>
      <c r="AE794" s="1099"/>
      <c r="AF794" s="1099"/>
      <c r="AG794" s="1099"/>
      <c r="AH794" s="1099"/>
      <c r="AI794" s="1099"/>
      <c r="AJ794" s="1099"/>
      <c r="AK794" s="1099"/>
      <c r="AL794" s="1099"/>
      <c r="AM794" s="1099"/>
      <c r="AN794" s="1099"/>
      <c r="AO794" s="1099"/>
      <c r="AP794" s="1099"/>
      <c r="AQ794" s="1099"/>
      <c r="AR794" s="1099"/>
      <c r="AS794" s="1099"/>
      <c r="AT794" s="1099"/>
      <c r="AU794" s="1099"/>
      <c r="AV794" s="1099"/>
      <c r="AW794" s="1099"/>
      <c r="AX794" s="1099"/>
      <c r="AY794" s="1099"/>
      <c r="AZ794" s="1099"/>
      <c r="BA794" s="1099"/>
      <c r="BB794" s="1099"/>
      <c r="BC794" s="1099"/>
      <c r="BD794" s="1099"/>
      <c r="BE794" s="1100"/>
      <c r="BF794" s="695"/>
    </row>
    <row r="795" spans="1:58" x14ac:dyDescent="0.45">
      <c r="A795" s="695"/>
      <c r="B795" s="1098"/>
      <c r="C795" s="1099" t="s">
        <v>50</v>
      </c>
      <c r="D795" s="1099"/>
      <c r="E795" s="1099"/>
      <c r="F795" s="1105">
        <f>'II. Inputs, Baseline Energy Mix'!$P$122</f>
        <v>1</v>
      </c>
      <c r="G795" s="1612">
        <f>IF('II. Inputs, Baseline Energy Mix'!$P$19&gt;0, F795*'II. Inputs, Baseline Energy Mix'!$P$20*'II. Inputs, Baseline Energy Mix'!$P$21,0)</f>
        <v>0</v>
      </c>
      <c r="H795" s="1612">
        <f>$G$795*H791</f>
        <v>0</v>
      </c>
      <c r="I795" s="1612">
        <f t="shared" ref="I795:BE795" si="263">$G$795*I791</f>
        <v>0</v>
      </c>
      <c r="J795" s="1612">
        <f t="shared" si="263"/>
        <v>0</v>
      </c>
      <c r="K795" s="1612">
        <f t="shared" si="263"/>
        <v>0</v>
      </c>
      <c r="L795" s="1612">
        <f t="shared" si="263"/>
        <v>0</v>
      </c>
      <c r="M795" s="1612">
        <f t="shared" si="263"/>
        <v>0</v>
      </c>
      <c r="N795" s="1612">
        <f t="shared" si="263"/>
        <v>0</v>
      </c>
      <c r="O795" s="1612">
        <f t="shared" si="263"/>
        <v>0</v>
      </c>
      <c r="P795" s="1612">
        <f t="shared" si="263"/>
        <v>0</v>
      </c>
      <c r="Q795" s="1612">
        <f t="shared" si="263"/>
        <v>0</v>
      </c>
      <c r="R795" s="1612">
        <f t="shared" si="263"/>
        <v>0</v>
      </c>
      <c r="S795" s="1612">
        <f t="shared" si="263"/>
        <v>0</v>
      </c>
      <c r="T795" s="1612">
        <f t="shared" si="263"/>
        <v>0</v>
      </c>
      <c r="U795" s="1612">
        <f t="shared" si="263"/>
        <v>0</v>
      </c>
      <c r="V795" s="1612">
        <f t="shared" si="263"/>
        <v>0</v>
      </c>
      <c r="W795" s="1612">
        <f t="shared" si="263"/>
        <v>0</v>
      </c>
      <c r="X795" s="1612">
        <f t="shared" si="263"/>
        <v>0</v>
      </c>
      <c r="Y795" s="1612">
        <f t="shared" si="263"/>
        <v>0</v>
      </c>
      <c r="Z795" s="1612">
        <f t="shared" si="263"/>
        <v>0</v>
      </c>
      <c r="AA795" s="1612">
        <f t="shared" si="263"/>
        <v>0</v>
      </c>
      <c r="AB795" s="1612">
        <f t="shared" si="263"/>
        <v>0</v>
      </c>
      <c r="AC795" s="1612">
        <f t="shared" si="263"/>
        <v>0</v>
      </c>
      <c r="AD795" s="1612">
        <f t="shared" si="263"/>
        <v>0</v>
      </c>
      <c r="AE795" s="1612">
        <f t="shared" si="263"/>
        <v>0</v>
      </c>
      <c r="AF795" s="1612">
        <f t="shared" si="263"/>
        <v>0</v>
      </c>
      <c r="AG795" s="1612">
        <f t="shared" si="263"/>
        <v>0</v>
      </c>
      <c r="AH795" s="1612">
        <f t="shared" si="263"/>
        <v>0</v>
      </c>
      <c r="AI795" s="1612">
        <f t="shared" si="263"/>
        <v>0</v>
      </c>
      <c r="AJ795" s="1612">
        <f t="shared" si="263"/>
        <v>0</v>
      </c>
      <c r="AK795" s="1612">
        <f t="shared" si="263"/>
        <v>0</v>
      </c>
      <c r="AL795" s="1612">
        <f t="shared" si="263"/>
        <v>0</v>
      </c>
      <c r="AM795" s="1612">
        <f t="shared" si="263"/>
        <v>0</v>
      </c>
      <c r="AN795" s="1612">
        <f t="shared" si="263"/>
        <v>0</v>
      </c>
      <c r="AO795" s="1612">
        <f t="shared" si="263"/>
        <v>0</v>
      </c>
      <c r="AP795" s="1612">
        <f t="shared" si="263"/>
        <v>0</v>
      </c>
      <c r="AQ795" s="1612">
        <f t="shared" si="263"/>
        <v>0</v>
      </c>
      <c r="AR795" s="1612">
        <f t="shared" si="263"/>
        <v>0</v>
      </c>
      <c r="AS795" s="1612">
        <f t="shared" si="263"/>
        <v>0</v>
      </c>
      <c r="AT795" s="1612">
        <f t="shared" si="263"/>
        <v>0</v>
      </c>
      <c r="AU795" s="1612">
        <f t="shared" si="263"/>
        <v>0</v>
      </c>
      <c r="AV795" s="1612">
        <f t="shared" si="263"/>
        <v>0</v>
      </c>
      <c r="AW795" s="1612">
        <f t="shared" si="263"/>
        <v>0</v>
      </c>
      <c r="AX795" s="1612">
        <f t="shared" si="263"/>
        <v>0</v>
      </c>
      <c r="AY795" s="1612">
        <f t="shared" si="263"/>
        <v>0</v>
      </c>
      <c r="AZ795" s="1612">
        <f t="shared" si="263"/>
        <v>0</v>
      </c>
      <c r="BA795" s="1612">
        <f t="shared" si="263"/>
        <v>0</v>
      </c>
      <c r="BB795" s="1612">
        <f t="shared" si="263"/>
        <v>0</v>
      </c>
      <c r="BC795" s="1612">
        <f t="shared" si="263"/>
        <v>0</v>
      </c>
      <c r="BD795" s="1612">
        <f t="shared" si="263"/>
        <v>0</v>
      </c>
      <c r="BE795" s="1613">
        <f t="shared" si="263"/>
        <v>0</v>
      </c>
      <c r="BF795" s="695"/>
    </row>
    <row r="796" spans="1:58" x14ac:dyDescent="0.45">
      <c r="A796" s="695"/>
      <c r="B796" s="1098"/>
      <c r="C796" s="1109" t="s">
        <v>16</v>
      </c>
      <c r="D796" s="1109"/>
      <c r="E796" s="1109"/>
      <c r="F796" s="1110">
        <f>'II. Inputs, Baseline Energy Mix'!$P$123</f>
        <v>0</v>
      </c>
      <c r="G796" s="1614">
        <f>IF('II. Inputs, Baseline Energy Mix'!$P$19&gt;0, F796*'II. Inputs, Baseline Energy Mix'!$P$20*'II. Inputs, Baseline Energy Mix'!$P$21,0)</f>
        <v>0</v>
      </c>
      <c r="H796" s="1614">
        <f>$G$796*H792</f>
        <v>0</v>
      </c>
      <c r="I796" s="1614">
        <f t="shared" ref="I796:BE796" si="264">$G$796*I792</f>
        <v>0</v>
      </c>
      <c r="J796" s="1614">
        <f t="shared" si="264"/>
        <v>0</v>
      </c>
      <c r="K796" s="1614">
        <f t="shared" si="264"/>
        <v>0</v>
      </c>
      <c r="L796" s="1614">
        <f t="shared" si="264"/>
        <v>0</v>
      </c>
      <c r="M796" s="1614">
        <f t="shared" si="264"/>
        <v>0</v>
      </c>
      <c r="N796" s="1614">
        <f t="shared" si="264"/>
        <v>0</v>
      </c>
      <c r="O796" s="1614">
        <f t="shared" si="264"/>
        <v>0</v>
      </c>
      <c r="P796" s="1614">
        <f t="shared" si="264"/>
        <v>0</v>
      </c>
      <c r="Q796" s="1614">
        <f t="shared" si="264"/>
        <v>0</v>
      </c>
      <c r="R796" s="1614">
        <f t="shared" si="264"/>
        <v>0</v>
      </c>
      <c r="S796" s="1614">
        <f t="shared" si="264"/>
        <v>0</v>
      </c>
      <c r="T796" s="1614">
        <f t="shared" si="264"/>
        <v>0</v>
      </c>
      <c r="U796" s="1614">
        <f t="shared" si="264"/>
        <v>0</v>
      </c>
      <c r="V796" s="1614">
        <f t="shared" si="264"/>
        <v>0</v>
      </c>
      <c r="W796" s="1614">
        <f t="shared" si="264"/>
        <v>0</v>
      </c>
      <c r="X796" s="1614">
        <f t="shared" si="264"/>
        <v>0</v>
      </c>
      <c r="Y796" s="1614">
        <f t="shared" si="264"/>
        <v>0</v>
      </c>
      <c r="Z796" s="1614">
        <f t="shared" si="264"/>
        <v>0</v>
      </c>
      <c r="AA796" s="1614">
        <f t="shared" si="264"/>
        <v>0</v>
      </c>
      <c r="AB796" s="1614">
        <f t="shared" si="264"/>
        <v>0</v>
      </c>
      <c r="AC796" s="1614">
        <f t="shared" si="264"/>
        <v>0</v>
      </c>
      <c r="AD796" s="1614">
        <f t="shared" si="264"/>
        <v>0</v>
      </c>
      <c r="AE796" s="1614">
        <f t="shared" si="264"/>
        <v>0</v>
      </c>
      <c r="AF796" s="1614">
        <f t="shared" si="264"/>
        <v>0</v>
      </c>
      <c r="AG796" s="1614">
        <f t="shared" si="264"/>
        <v>0</v>
      </c>
      <c r="AH796" s="1614">
        <f t="shared" si="264"/>
        <v>0</v>
      </c>
      <c r="AI796" s="1614">
        <f t="shared" si="264"/>
        <v>0</v>
      </c>
      <c r="AJ796" s="1614">
        <f t="shared" si="264"/>
        <v>0</v>
      </c>
      <c r="AK796" s="1614">
        <f t="shared" si="264"/>
        <v>0</v>
      </c>
      <c r="AL796" s="1614">
        <f t="shared" si="264"/>
        <v>0</v>
      </c>
      <c r="AM796" s="1614">
        <f t="shared" si="264"/>
        <v>0</v>
      </c>
      <c r="AN796" s="1614">
        <f t="shared" si="264"/>
        <v>0</v>
      </c>
      <c r="AO796" s="1614">
        <f t="shared" si="264"/>
        <v>0</v>
      </c>
      <c r="AP796" s="1614">
        <f t="shared" si="264"/>
        <v>0</v>
      </c>
      <c r="AQ796" s="1614">
        <f t="shared" si="264"/>
        <v>0</v>
      </c>
      <c r="AR796" s="1614">
        <f t="shared" si="264"/>
        <v>0</v>
      </c>
      <c r="AS796" s="1614">
        <f t="shared" si="264"/>
        <v>0</v>
      </c>
      <c r="AT796" s="1614">
        <f t="shared" si="264"/>
        <v>0</v>
      </c>
      <c r="AU796" s="1614">
        <f t="shared" si="264"/>
        <v>0</v>
      </c>
      <c r="AV796" s="1614">
        <f t="shared" si="264"/>
        <v>0</v>
      </c>
      <c r="AW796" s="1614">
        <f t="shared" si="264"/>
        <v>0</v>
      </c>
      <c r="AX796" s="1614">
        <f t="shared" si="264"/>
        <v>0</v>
      </c>
      <c r="AY796" s="1614">
        <f t="shared" si="264"/>
        <v>0</v>
      </c>
      <c r="AZ796" s="1614">
        <f t="shared" si="264"/>
        <v>0</v>
      </c>
      <c r="BA796" s="1614">
        <f t="shared" si="264"/>
        <v>0</v>
      </c>
      <c r="BB796" s="1614">
        <f t="shared" si="264"/>
        <v>0</v>
      </c>
      <c r="BC796" s="1614">
        <f t="shared" si="264"/>
        <v>0</v>
      </c>
      <c r="BD796" s="1614">
        <f t="shared" si="264"/>
        <v>0</v>
      </c>
      <c r="BE796" s="1615">
        <f t="shared" si="264"/>
        <v>0</v>
      </c>
      <c r="BF796" s="695"/>
    </row>
    <row r="797" spans="1:58" x14ac:dyDescent="0.45">
      <c r="A797" s="695"/>
      <c r="B797" s="1098"/>
      <c r="C797" s="1099" t="s">
        <v>56</v>
      </c>
      <c r="D797" s="1099"/>
      <c r="E797" s="1099"/>
      <c r="F797" s="1099"/>
      <c r="G797" s="1612">
        <f>G795+G796</f>
        <v>0</v>
      </c>
      <c r="H797" s="1612">
        <f>H795+H796</f>
        <v>0</v>
      </c>
      <c r="I797" s="1612">
        <f t="shared" ref="I797:BE797" si="265">I795+I796</f>
        <v>0</v>
      </c>
      <c r="J797" s="1612">
        <f t="shared" si="265"/>
        <v>0</v>
      </c>
      <c r="K797" s="1612">
        <f t="shared" si="265"/>
        <v>0</v>
      </c>
      <c r="L797" s="1612">
        <f t="shared" si="265"/>
        <v>0</v>
      </c>
      <c r="M797" s="1612">
        <f t="shared" si="265"/>
        <v>0</v>
      </c>
      <c r="N797" s="1612">
        <f t="shared" si="265"/>
        <v>0</v>
      </c>
      <c r="O797" s="1612">
        <f t="shared" si="265"/>
        <v>0</v>
      </c>
      <c r="P797" s="1612">
        <f t="shared" si="265"/>
        <v>0</v>
      </c>
      <c r="Q797" s="1612">
        <f t="shared" si="265"/>
        <v>0</v>
      </c>
      <c r="R797" s="1612">
        <f t="shared" si="265"/>
        <v>0</v>
      </c>
      <c r="S797" s="1612">
        <f t="shared" si="265"/>
        <v>0</v>
      </c>
      <c r="T797" s="1612">
        <f t="shared" si="265"/>
        <v>0</v>
      </c>
      <c r="U797" s="1612">
        <f t="shared" si="265"/>
        <v>0</v>
      </c>
      <c r="V797" s="1612">
        <f t="shared" si="265"/>
        <v>0</v>
      </c>
      <c r="W797" s="1612">
        <f t="shared" si="265"/>
        <v>0</v>
      </c>
      <c r="X797" s="1612">
        <f t="shared" si="265"/>
        <v>0</v>
      </c>
      <c r="Y797" s="1612">
        <f t="shared" si="265"/>
        <v>0</v>
      </c>
      <c r="Z797" s="1612">
        <f t="shared" si="265"/>
        <v>0</v>
      </c>
      <c r="AA797" s="1612">
        <f t="shared" si="265"/>
        <v>0</v>
      </c>
      <c r="AB797" s="1612">
        <f t="shared" si="265"/>
        <v>0</v>
      </c>
      <c r="AC797" s="1612">
        <f t="shared" si="265"/>
        <v>0</v>
      </c>
      <c r="AD797" s="1612">
        <f t="shared" si="265"/>
        <v>0</v>
      </c>
      <c r="AE797" s="1612">
        <f t="shared" si="265"/>
        <v>0</v>
      </c>
      <c r="AF797" s="1612">
        <f t="shared" si="265"/>
        <v>0</v>
      </c>
      <c r="AG797" s="1612">
        <f t="shared" si="265"/>
        <v>0</v>
      </c>
      <c r="AH797" s="1612">
        <f t="shared" si="265"/>
        <v>0</v>
      </c>
      <c r="AI797" s="1612">
        <f t="shared" si="265"/>
        <v>0</v>
      </c>
      <c r="AJ797" s="1612">
        <f t="shared" si="265"/>
        <v>0</v>
      </c>
      <c r="AK797" s="1612">
        <f t="shared" si="265"/>
        <v>0</v>
      </c>
      <c r="AL797" s="1612">
        <f t="shared" si="265"/>
        <v>0</v>
      </c>
      <c r="AM797" s="1612">
        <f t="shared" si="265"/>
        <v>0</v>
      </c>
      <c r="AN797" s="1612">
        <f t="shared" si="265"/>
        <v>0</v>
      </c>
      <c r="AO797" s="1612">
        <f t="shared" si="265"/>
        <v>0</v>
      </c>
      <c r="AP797" s="1612">
        <f t="shared" si="265"/>
        <v>0</v>
      </c>
      <c r="AQ797" s="1612">
        <f t="shared" si="265"/>
        <v>0</v>
      </c>
      <c r="AR797" s="1612">
        <f t="shared" si="265"/>
        <v>0</v>
      </c>
      <c r="AS797" s="1612">
        <f t="shared" si="265"/>
        <v>0</v>
      </c>
      <c r="AT797" s="1612">
        <f t="shared" si="265"/>
        <v>0</v>
      </c>
      <c r="AU797" s="1612">
        <f t="shared" si="265"/>
        <v>0</v>
      </c>
      <c r="AV797" s="1612">
        <f t="shared" si="265"/>
        <v>0</v>
      </c>
      <c r="AW797" s="1612">
        <f t="shared" si="265"/>
        <v>0</v>
      </c>
      <c r="AX797" s="1612">
        <f t="shared" si="265"/>
        <v>0</v>
      </c>
      <c r="AY797" s="1612">
        <f t="shared" si="265"/>
        <v>0</v>
      </c>
      <c r="AZ797" s="1612">
        <f t="shared" si="265"/>
        <v>0</v>
      </c>
      <c r="BA797" s="1612">
        <f t="shared" si="265"/>
        <v>0</v>
      </c>
      <c r="BB797" s="1612">
        <f t="shared" si="265"/>
        <v>0</v>
      </c>
      <c r="BC797" s="1612">
        <f t="shared" si="265"/>
        <v>0</v>
      </c>
      <c r="BD797" s="1612">
        <f t="shared" si="265"/>
        <v>0</v>
      </c>
      <c r="BE797" s="1613">
        <f t="shared" si="265"/>
        <v>0</v>
      </c>
      <c r="BF797" s="695"/>
    </row>
    <row r="798" spans="1:58" x14ac:dyDescent="0.45">
      <c r="A798" s="695"/>
      <c r="B798" s="1098"/>
      <c r="C798" s="1099"/>
      <c r="D798" s="1099"/>
      <c r="E798" s="1099"/>
      <c r="F798" s="1099"/>
      <c r="G798" s="1099"/>
      <c r="H798" s="1099"/>
      <c r="I798" s="1099"/>
      <c r="J798" s="1099"/>
      <c r="K798" s="1099"/>
      <c r="L798" s="1099"/>
      <c r="M798" s="1099"/>
      <c r="N798" s="1099"/>
      <c r="O798" s="1099"/>
      <c r="P798" s="1099"/>
      <c r="Q798" s="1099"/>
      <c r="R798" s="1099"/>
      <c r="S798" s="1099"/>
      <c r="T798" s="1099"/>
      <c r="U798" s="1099"/>
      <c r="V798" s="1099"/>
      <c r="W798" s="1099"/>
      <c r="X798" s="1099"/>
      <c r="Y798" s="1099"/>
      <c r="Z798" s="1099"/>
      <c r="AA798" s="1099"/>
      <c r="AB798" s="1099"/>
      <c r="AC798" s="1099"/>
      <c r="AD798" s="1099"/>
      <c r="AE798" s="1099"/>
      <c r="AF798" s="1099"/>
      <c r="AG798" s="1099"/>
      <c r="AH798" s="1099"/>
      <c r="AI798" s="1099"/>
      <c r="AJ798" s="1099"/>
      <c r="AK798" s="1099"/>
      <c r="AL798" s="1099"/>
      <c r="AM798" s="1099"/>
      <c r="AN798" s="1099"/>
      <c r="AO798" s="1099"/>
      <c r="AP798" s="1099"/>
      <c r="AQ798" s="1099"/>
      <c r="AR798" s="1099"/>
      <c r="AS798" s="1099"/>
      <c r="AT798" s="1099"/>
      <c r="AU798" s="1099"/>
      <c r="AV798" s="1099"/>
      <c r="AW798" s="1099"/>
      <c r="AX798" s="1099"/>
      <c r="AY798" s="1099"/>
      <c r="AZ798" s="1099"/>
      <c r="BA798" s="1099"/>
      <c r="BB798" s="1099"/>
      <c r="BC798" s="1099"/>
      <c r="BD798" s="1099"/>
      <c r="BE798" s="1100"/>
      <c r="BF798" s="695"/>
    </row>
    <row r="799" spans="1:58" x14ac:dyDescent="0.45">
      <c r="A799" s="695"/>
      <c r="B799" s="1111"/>
      <c r="C799" s="1109"/>
      <c r="D799" s="1109"/>
      <c r="E799" s="1109"/>
      <c r="F799" s="1109"/>
      <c r="G799" s="1109"/>
      <c r="H799" s="1109"/>
      <c r="I799" s="1109"/>
      <c r="J799" s="1109"/>
      <c r="K799" s="1109"/>
      <c r="L799" s="1109"/>
      <c r="M799" s="1109"/>
      <c r="N799" s="1109"/>
      <c r="O799" s="1109"/>
      <c r="P799" s="1109"/>
      <c r="Q799" s="1109"/>
      <c r="R799" s="1109"/>
      <c r="S799" s="1109"/>
      <c r="T799" s="1109"/>
      <c r="U799" s="1109"/>
      <c r="V799" s="1109"/>
      <c r="W799" s="1109"/>
      <c r="X799" s="1109"/>
      <c r="Y799" s="1109"/>
      <c r="Z799" s="1109"/>
      <c r="AA799" s="1109"/>
      <c r="AB799" s="1109"/>
      <c r="AC799" s="1109"/>
      <c r="AD799" s="1109"/>
      <c r="AE799" s="1109"/>
      <c r="AF799" s="1109"/>
      <c r="AG799" s="1109"/>
      <c r="AH799" s="1109"/>
      <c r="AI799" s="1109"/>
      <c r="AJ799" s="1109"/>
      <c r="AK799" s="1109"/>
      <c r="AL799" s="1109"/>
      <c r="AM799" s="1109"/>
      <c r="AN799" s="1109"/>
      <c r="AO799" s="1109"/>
      <c r="AP799" s="1109"/>
      <c r="AQ799" s="1109"/>
      <c r="AR799" s="1109"/>
      <c r="AS799" s="1109"/>
      <c r="AT799" s="1109"/>
      <c r="AU799" s="1109"/>
      <c r="AV799" s="1109"/>
      <c r="AW799" s="1109"/>
      <c r="AX799" s="1109"/>
      <c r="AY799" s="1109"/>
      <c r="AZ799" s="1109"/>
      <c r="BA799" s="1109"/>
      <c r="BB799" s="1109"/>
      <c r="BC799" s="1109"/>
      <c r="BD799" s="1109"/>
      <c r="BE799" s="1112"/>
      <c r="BF799" s="695"/>
    </row>
    <row r="800" spans="1:58" x14ac:dyDescent="0.45">
      <c r="A800" s="695"/>
      <c r="B800" s="695"/>
      <c r="C800" s="695"/>
      <c r="D800" s="695"/>
      <c r="E800" s="695"/>
      <c r="F800" s="695"/>
      <c r="G800" s="695"/>
      <c r="H800" s="695"/>
      <c r="I800" s="695"/>
      <c r="J800" s="695"/>
      <c r="K800" s="695"/>
      <c r="L800" s="695"/>
      <c r="M800" s="695"/>
      <c r="N800" s="695"/>
      <c r="O800" s="695"/>
      <c r="P800" s="695"/>
      <c r="Q800" s="695"/>
      <c r="R800" s="695"/>
      <c r="S800" s="695"/>
      <c r="T800" s="695"/>
      <c r="U800" s="695"/>
      <c r="V800" s="695"/>
      <c r="W800" s="695"/>
      <c r="X800" s="695"/>
      <c r="Y800" s="695"/>
      <c r="Z800" s="695"/>
      <c r="AA800" s="695"/>
      <c r="AB800" s="695"/>
      <c r="AC800" s="695"/>
      <c r="AD800" s="695"/>
      <c r="AE800" s="695"/>
      <c r="AF800" s="695"/>
      <c r="AG800" s="695"/>
      <c r="AH800" s="695"/>
      <c r="AI800" s="695"/>
      <c r="AJ800" s="695"/>
      <c r="AK800" s="695"/>
      <c r="AL800" s="695"/>
      <c r="AM800" s="695"/>
      <c r="AN800" s="695"/>
      <c r="AO800" s="695"/>
      <c r="AP800" s="695"/>
      <c r="AQ800" s="695"/>
      <c r="AR800" s="695"/>
      <c r="AS800" s="695"/>
      <c r="AT800" s="695"/>
      <c r="AU800" s="695"/>
      <c r="AV800" s="695"/>
      <c r="AW800" s="695"/>
      <c r="AX800" s="695"/>
      <c r="AY800" s="695"/>
      <c r="AZ800" s="695"/>
      <c r="BA800" s="695"/>
      <c r="BB800" s="695"/>
      <c r="BC800" s="695"/>
      <c r="BD800" s="695"/>
      <c r="BE800" s="695"/>
      <c r="BF800" s="695"/>
    </row>
    <row r="801" spans="1:58" ht="13.15" x14ac:dyDescent="0.45">
      <c r="A801" s="695"/>
      <c r="B801" s="1113"/>
      <c r="C801" s="1114" t="str">
        <f>'II. Inputs, Baseline Energy Mix'!$Q$18</f>
        <v>Technology #4</v>
      </c>
      <c r="D801" s="1115"/>
      <c r="E801" s="1115"/>
      <c r="F801" s="1115"/>
      <c r="G801" s="1115"/>
      <c r="H801" s="1115"/>
      <c r="I801" s="1115"/>
      <c r="J801" s="1115"/>
      <c r="K801" s="1115"/>
      <c r="L801" s="1115"/>
      <c r="M801" s="1115"/>
      <c r="N801" s="1115"/>
      <c r="O801" s="1115"/>
      <c r="P801" s="1115"/>
      <c r="Q801" s="1115"/>
      <c r="R801" s="1115"/>
      <c r="S801" s="1115"/>
      <c r="T801" s="1115"/>
      <c r="U801" s="1115"/>
      <c r="V801" s="1115"/>
      <c r="W801" s="1115"/>
      <c r="X801" s="1115"/>
      <c r="Y801" s="1115"/>
      <c r="Z801" s="1115"/>
      <c r="AA801" s="1115"/>
      <c r="AB801" s="1115"/>
      <c r="AC801" s="1115"/>
      <c r="AD801" s="1115"/>
      <c r="AE801" s="1115"/>
      <c r="AF801" s="1115"/>
      <c r="AG801" s="1115"/>
      <c r="AH801" s="1115"/>
      <c r="AI801" s="1115"/>
      <c r="AJ801" s="1115"/>
      <c r="AK801" s="1115"/>
      <c r="AL801" s="1115"/>
      <c r="AM801" s="1115"/>
      <c r="AN801" s="1115"/>
      <c r="AO801" s="1115"/>
      <c r="AP801" s="1115"/>
      <c r="AQ801" s="1115"/>
      <c r="AR801" s="1115"/>
      <c r="AS801" s="1115"/>
      <c r="AT801" s="1115"/>
      <c r="AU801" s="1115"/>
      <c r="AV801" s="1115"/>
      <c r="AW801" s="1115"/>
      <c r="AX801" s="1115"/>
      <c r="AY801" s="1115"/>
      <c r="AZ801" s="1115"/>
      <c r="BA801" s="1115"/>
      <c r="BB801" s="1115"/>
      <c r="BC801" s="1115"/>
      <c r="BD801" s="1115"/>
      <c r="BE801" s="1116"/>
      <c r="BF801" s="695"/>
    </row>
    <row r="802" spans="1:58" x14ac:dyDescent="0.45">
      <c r="A802" s="695"/>
      <c r="B802" s="1117"/>
      <c r="C802" s="1118"/>
      <c r="D802" s="1118"/>
      <c r="E802" s="1118"/>
      <c r="F802" s="1118"/>
      <c r="G802" s="1118"/>
      <c r="H802" s="1118"/>
      <c r="I802" s="1118"/>
      <c r="J802" s="1118"/>
      <c r="K802" s="1118"/>
      <c r="L802" s="1118"/>
      <c r="M802" s="1118"/>
      <c r="N802" s="1118"/>
      <c r="O802" s="1118"/>
      <c r="P802" s="1118"/>
      <c r="Q802" s="1118"/>
      <c r="R802" s="1118"/>
      <c r="S802" s="1118"/>
      <c r="T802" s="1118"/>
      <c r="U802" s="1118"/>
      <c r="V802" s="1118"/>
      <c r="W802" s="1118"/>
      <c r="X802" s="1118"/>
      <c r="Y802" s="1118"/>
      <c r="Z802" s="1118"/>
      <c r="AA802" s="1118"/>
      <c r="AB802" s="1118"/>
      <c r="AC802" s="1118"/>
      <c r="AD802" s="1118"/>
      <c r="AE802" s="1118"/>
      <c r="AF802" s="1118"/>
      <c r="AG802" s="1118"/>
      <c r="AH802" s="1118"/>
      <c r="AI802" s="1118"/>
      <c r="AJ802" s="1118"/>
      <c r="AK802" s="1118"/>
      <c r="AL802" s="1118"/>
      <c r="AM802" s="1118"/>
      <c r="AN802" s="1118"/>
      <c r="AO802" s="1118"/>
      <c r="AP802" s="1118"/>
      <c r="AQ802" s="1118"/>
      <c r="AR802" s="1118"/>
      <c r="AS802" s="1118"/>
      <c r="AT802" s="1118"/>
      <c r="AU802" s="1118"/>
      <c r="AV802" s="1118"/>
      <c r="AW802" s="1118"/>
      <c r="AX802" s="1118"/>
      <c r="AY802" s="1118"/>
      <c r="AZ802" s="1118"/>
      <c r="BA802" s="1118"/>
      <c r="BB802" s="1118"/>
      <c r="BC802" s="1118"/>
      <c r="BD802" s="1118"/>
      <c r="BE802" s="1119"/>
      <c r="BF802" s="695"/>
    </row>
    <row r="803" spans="1:58" x14ac:dyDescent="0.45">
      <c r="A803" s="695"/>
      <c r="B803" s="1117"/>
      <c r="C803" s="1120" t="s">
        <v>57</v>
      </c>
      <c r="D803" s="1121">
        <f>'II. Inputs, Baseline Energy Mix'!$Q$22</f>
        <v>0</v>
      </c>
      <c r="E803" s="1122" t="s">
        <v>18</v>
      </c>
      <c r="F803" s="1118"/>
      <c r="G803" s="1118"/>
      <c r="H803" s="1118"/>
      <c r="I803" s="1118"/>
      <c r="J803" s="1118"/>
      <c r="K803" s="1118"/>
      <c r="L803" s="1118"/>
      <c r="M803" s="1118"/>
      <c r="N803" s="1118"/>
      <c r="O803" s="1118"/>
      <c r="P803" s="1118"/>
      <c r="Q803" s="1118"/>
      <c r="R803" s="1118"/>
      <c r="S803" s="1118"/>
      <c r="T803" s="1118"/>
      <c r="U803" s="1118"/>
      <c r="V803" s="1118"/>
      <c r="W803" s="1118"/>
      <c r="X803" s="1118"/>
      <c r="Y803" s="1118"/>
      <c r="Z803" s="1118"/>
      <c r="AA803" s="1118"/>
      <c r="AB803" s="1118"/>
      <c r="AC803" s="1118"/>
      <c r="AD803" s="1118"/>
      <c r="AE803" s="1118"/>
      <c r="AF803" s="1118"/>
      <c r="AG803" s="1118"/>
      <c r="AH803" s="1118"/>
      <c r="AI803" s="1118"/>
      <c r="AJ803" s="1118"/>
      <c r="AK803" s="1118"/>
      <c r="AL803" s="1118"/>
      <c r="AM803" s="1118"/>
      <c r="AN803" s="1118"/>
      <c r="AO803" s="1118"/>
      <c r="AP803" s="1118"/>
      <c r="AQ803" s="1118"/>
      <c r="AR803" s="1118"/>
      <c r="AS803" s="1118"/>
      <c r="AT803" s="1118"/>
      <c r="AU803" s="1118"/>
      <c r="AV803" s="1118"/>
      <c r="AW803" s="1118"/>
      <c r="AX803" s="1118"/>
      <c r="AY803" s="1118"/>
      <c r="AZ803" s="1118"/>
      <c r="BA803" s="1118"/>
      <c r="BB803" s="1118"/>
      <c r="BC803" s="1118"/>
      <c r="BD803" s="1118"/>
      <c r="BE803" s="1119"/>
      <c r="BF803" s="695"/>
    </row>
    <row r="804" spans="1:58" x14ac:dyDescent="0.45">
      <c r="A804" s="695"/>
      <c r="B804" s="1117"/>
      <c r="C804" s="1118"/>
      <c r="D804" s="1118"/>
      <c r="E804" s="1118"/>
      <c r="F804" s="1118"/>
      <c r="G804" s="1118"/>
      <c r="H804" s="1118"/>
      <c r="I804" s="1118"/>
      <c r="J804" s="1118"/>
      <c r="K804" s="1118"/>
      <c r="L804" s="1118"/>
      <c r="M804" s="1118"/>
      <c r="N804" s="1118"/>
      <c r="O804" s="1118"/>
      <c r="P804" s="1118"/>
      <c r="Q804" s="1118"/>
      <c r="R804" s="1118"/>
      <c r="S804" s="1118"/>
      <c r="T804" s="1118"/>
      <c r="U804" s="1118"/>
      <c r="V804" s="1118"/>
      <c r="W804" s="1118"/>
      <c r="X804" s="1118"/>
      <c r="Y804" s="1118"/>
      <c r="Z804" s="1118"/>
      <c r="AA804" s="1118"/>
      <c r="AB804" s="1118"/>
      <c r="AC804" s="1118"/>
      <c r="AD804" s="1118"/>
      <c r="AE804" s="1118"/>
      <c r="AF804" s="1118"/>
      <c r="AG804" s="1118"/>
      <c r="AH804" s="1118"/>
      <c r="AI804" s="1118"/>
      <c r="AJ804" s="1118"/>
      <c r="AK804" s="1118"/>
      <c r="AL804" s="1118"/>
      <c r="AM804" s="1118"/>
      <c r="AN804" s="1118"/>
      <c r="AO804" s="1118"/>
      <c r="AP804" s="1118"/>
      <c r="AQ804" s="1118"/>
      <c r="AR804" s="1118"/>
      <c r="AS804" s="1118"/>
      <c r="AT804" s="1118"/>
      <c r="AU804" s="1118"/>
      <c r="AV804" s="1118"/>
      <c r="AW804" s="1118"/>
      <c r="AX804" s="1118"/>
      <c r="AY804" s="1118"/>
      <c r="AZ804" s="1118"/>
      <c r="BA804" s="1118"/>
      <c r="BB804" s="1118"/>
      <c r="BC804" s="1118"/>
      <c r="BD804" s="1118"/>
      <c r="BE804" s="1119"/>
      <c r="BF804" s="695"/>
    </row>
    <row r="805" spans="1:58" x14ac:dyDescent="0.45">
      <c r="A805" s="695"/>
      <c r="B805" s="1117"/>
      <c r="C805" s="1118" t="s">
        <v>52</v>
      </c>
      <c r="D805" s="1118"/>
      <c r="E805" s="1118"/>
      <c r="F805" s="1118"/>
      <c r="G805" s="1123"/>
      <c r="H805" s="1124">
        <f>IF(H$757&gt;$D$803,0,1/$D$803)</f>
        <v>0</v>
      </c>
      <c r="I805" s="1124">
        <f t="shared" ref="I805:BE805" si="266">IF(I$757&gt;$D$803,0,1/$D$803)</f>
        <v>0</v>
      </c>
      <c r="J805" s="1124">
        <f t="shared" si="266"/>
        <v>0</v>
      </c>
      <c r="K805" s="1124">
        <f t="shared" si="266"/>
        <v>0</v>
      </c>
      <c r="L805" s="1124">
        <f t="shared" si="266"/>
        <v>0</v>
      </c>
      <c r="M805" s="1124">
        <f t="shared" si="266"/>
        <v>0</v>
      </c>
      <c r="N805" s="1124">
        <f t="shared" si="266"/>
        <v>0</v>
      </c>
      <c r="O805" s="1124">
        <f t="shared" si="266"/>
        <v>0</v>
      </c>
      <c r="P805" s="1124">
        <f t="shared" si="266"/>
        <v>0</v>
      </c>
      <c r="Q805" s="1124">
        <f t="shared" si="266"/>
        <v>0</v>
      </c>
      <c r="R805" s="1124">
        <f t="shared" si="266"/>
        <v>0</v>
      </c>
      <c r="S805" s="1124">
        <f t="shared" si="266"/>
        <v>0</v>
      </c>
      <c r="T805" s="1124">
        <f t="shared" si="266"/>
        <v>0</v>
      </c>
      <c r="U805" s="1124">
        <f t="shared" si="266"/>
        <v>0</v>
      </c>
      <c r="V805" s="1124">
        <f t="shared" si="266"/>
        <v>0</v>
      </c>
      <c r="W805" s="1124">
        <f t="shared" si="266"/>
        <v>0</v>
      </c>
      <c r="X805" s="1124">
        <f t="shared" si="266"/>
        <v>0</v>
      </c>
      <c r="Y805" s="1124">
        <f t="shared" si="266"/>
        <v>0</v>
      </c>
      <c r="Z805" s="1124">
        <f t="shared" si="266"/>
        <v>0</v>
      </c>
      <c r="AA805" s="1124">
        <f t="shared" si="266"/>
        <v>0</v>
      </c>
      <c r="AB805" s="1124">
        <f t="shared" si="266"/>
        <v>0</v>
      </c>
      <c r="AC805" s="1124">
        <f t="shared" si="266"/>
        <v>0</v>
      </c>
      <c r="AD805" s="1124">
        <f t="shared" si="266"/>
        <v>0</v>
      </c>
      <c r="AE805" s="1124">
        <f t="shared" si="266"/>
        <v>0</v>
      </c>
      <c r="AF805" s="1124">
        <f t="shared" si="266"/>
        <v>0</v>
      </c>
      <c r="AG805" s="1124">
        <f t="shared" si="266"/>
        <v>0</v>
      </c>
      <c r="AH805" s="1124">
        <f t="shared" si="266"/>
        <v>0</v>
      </c>
      <c r="AI805" s="1124">
        <f t="shared" si="266"/>
        <v>0</v>
      </c>
      <c r="AJ805" s="1124">
        <f t="shared" si="266"/>
        <v>0</v>
      </c>
      <c r="AK805" s="1124">
        <f t="shared" si="266"/>
        <v>0</v>
      </c>
      <c r="AL805" s="1124">
        <f t="shared" si="266"/>
        <v>0</v>
      </c>
      <c r="AM805" s="1124">
        <f t="shared" si="266"/>
        <v>0</v>
      </c>
      <c r="AN805" s="1124">
        <f t="shared" si="266"/>
        <v>0</v>
      </c>
      <c r="AO805" s="1124">
        <f t="shared" si="266"/>
        <v>0</v>
      </c>
      <c r="AP805" s="1124">
        <f t="shared" si="266"/>
        <v>0</v>
      </c>
      <c r="AQ805" s="1124">
        <f t="shared" si="266"/>
        <v>0</v>
      </c>
      <c r="AR805" s="1124">
        <f t="shared" si="266"/>
        <v>0</v>
      </c>
      <c r="AS805" s="1124">
        <f t="shared" si="266"/>
        <v>0</v>
      </c>
      <c r="AT805" s="1124">
        <f t="shared" si="266"/>
        <v>0</v>
      </c>
      <c r="AU805" s="1124">
        <f t="shared" si="266"/>
        <v>0</v>
      </c>
      <c r="AV805" s="1124">
        <f t="shared" si="266"/>
        <v>0</v>
      </c>
      <c r="AW805" s="1124">
        <f t="shared" si="266"/>
        <v>0</v>
      </c>
      <c r="AX805" s="1124">
        <f t="shared" si="266"/>
        <v>0</v>
      </c>
      <c r="AY805" s="1124">
        <f t="shared" si="266"/>
        <v>0</v>
      </c>
      <c r="AZ805" s="1124">
        <f t="shared" si="266"/>
        <v>0</v>
      </c>
      <c r="BA805" s="1124">
        <f t="shared" si="266"/>
        <v>0</v>
      </c>
      <c r="BB805" s="1124">
        <f t="shared" si="266"/>
        <v>0</v>
      </c>
      <c r="BC805" s="1124">
        <f t="shared" si="266"/>
        <v>0</v>
      </c>
      <c r="BD805" s="1124">
        <f t="shared" si="266"/>
        <v>0</v>
      </c>
      <c r="BE805" s="1125">
        <f t="shared" si="266"/>
        <v>0</v>
      </c>
      <c r="BF805" s="695"/>
    </row>
    <row r="806" spans="1:58" x14ac:dyDescent="0.45">
      <c r="A806" s="695"/>
      <c r="B806" s="1117"/>
      <c r="C806" s="1118" t="s">
        <v>53</v>
      </c>
      <c r="D806" s="1118"/>
      <c r="E806" s="1118"/>
      <c r="F806" s="1118"/>
      <c r="G806" s="1126"/>
      <c r="H806" s="1124">
        <v>0</v>
      </c>
      <c r="I806" s="1124">
        <v>0</v>
      </c>
      <c r="J806" s="1124">
        <v>0</v>
      </c>
      <c r="K806" s="1124">
        <v>0</v>
      </c>
      <c r="L806" s="1124">
        <v>0</v>
      </c>
      <c r="M806" s="1124">
        <v>0</v>
      </c>
      <c r="N806" s="1124">
        <v>0</v>
      </c>
      <c r="O806" s="1124">
        <v>0</v>
      </c>
      <c r="P806" s="1124">
        <v>0</v>
      </c>
      <c r="Q806" s="1124">
        <v>0</v>
      </c>
      <c r="R806" s="1124">
        <v>0</v>
      </c>
      <c r="S806" s="1124">
        <v>0</v>
      </c>
      <c r="T806" s="1124">
        <v>0</v>
      </c>
      <c r="U806" s="1124">
        <v>0</v>
      </c>
      <c r="V806" s="1124">
        <v>0</v>
      </c>
      <c r="W806" s="1124">
        <v>0</v>
      </c>
      <c r="X806" s="1124">
        <v>0</v>
      </c>
      <c r="Y806" s="1124">
        <v>0</v>
      </c>
      <c r="Z806" s="1124">
        <v>0</v>
      </c>
      <c r="AA806" s="1124">
        <v>0</v>
      </c>
      <c r="AB806" s="1124">
        <v>0</v>
      </c>
      <c r="AC806" s="1124">
        <v>0</v>
      </c>
      <c r="AD806" s="1124">
        <v>0</v>
      </c>
      <c r="AE806" s="1124">
        <v>0</v>
      </c>
      <c r="AF806" s="1124">
        <v>0</v>
      </c>
      <c r="AG806" s="1124">
        <v>0</v>
      </c>
      <c r="AH806" s="1124">
        <v>0</v>
      </c>
      <c r="AI806" s="1124">
        <v>0</v>
      </c>
      <c r="AJ806" s="1124">
        <v>0</v>
      </c>
      <c r="AK806" s="1124">
        <v>0</v>
      </c>
      <c r="AL806" s="1124">
        <v>0</v>
      </c>
      <c r="AM806" s="1124">
        <v>0</v>
      </c>
      <c r="AN806" s="1124">
        <v>0</v>
      </c>
      <c r="AO806" s="1124">
        <v>0</v>
      </c>
      <c r="AP806" s="1124">
        <v>0</v>
      </c>
      <c r="AQ806" s="1124">
        <v>0</v>
      </c>
      <c r="AR806" s="1124">
        <v>0</v>
      </c>
      <c r="AS806" s="1124">
        <v>0</v>
      </c>
      <c r="AT806" s="1124">
        <v>0</v>
      </c>
      <c r="AU806" s="1124">
        <v>0</v>
      </c>
      <c r="AV806" s="1124">
        <v>0</v>
      </c>
      <c r="AW806" s="1124">
        <v>0</v>
      </c>
      <c r="AX806" s="1124">
        <v>0</v>
      </c>
      <c r="AY806" s="1124">
        <v>0</v>
      </c>
      <c r="AZ806" s="1124">
        <v>0</v>
      </c>
      <c r="BA806" s="1124">
        <v>0</v>
      </c>
      <c r="BB806" s="1124">
        <v>0</v>
      </c>
      <c r="BC806" s="1124">
        <v>0</v>
      </c>
      <c r="BD806" s="1124">
        <v>0</v>
      </c>
      <c r="BE806" s="1125">
        <v>0</v>
      </c>
      <c r="BF806" s="695"/>
    </row>
    <row r="807" spans="1:58" x14ac:dyDescent="0.45">
      <c r="A807" s="695"/>
      <c r="B807" s="1117"/>
      <c r="C807" s="1118"/>
      <c r="D807" s="1118"/>
      <c r="E807" s="1118"/>
      <c r="F807" s="1118"/>
      <c r="G807" s="1118"/>
      <c r="H807" s="1118"/>
      <c r="I807" s="1118"/>
      <c r="J807" s="1118"/>
      <c r="K807" s="1118"/>
      <c r="L807" s="1118"/>
      <c r="M807" s="1118"/>
      <c r="N807" s="1118"/>
      <c r="O807" s="1118"/>
      <c r="P807" s="1118"/>
      <c r="Q807" s="1118"/>
      <c r="R807" s="1118"/>
      <c r="S807" s="1118"/>
      <c r="T807" s="1118"/>
      <c r="U807" s="1118"/>
      <c r="V807" s="1118"/>
      <c r="W807" s="1118"/>
      <c r="X807" s="1118"/>
      <c r="Y807" s="1118"/>
      <c r="Z807" s="1118"/>
      <c r="AA807" s="1118"/>
      <c r="AB807" s="1118"/>
      <c r="AC807" s="1118"/>
      <c r="AD807" s="1118"/>
      <c r="AE807" s="1118"/>
      <c r="AF807" s="1118"/>
      <c r="AG807" s="1118"/>
      <c r="AH807" s="1118"/>
      <c r="AI807" s="1118"/>
      <c r="AJ807" s="1118"/>
      <c r="AK807" s="1118"/>
      <c r="AL807" s="1118"/>
      <c r="AM807" s="1118"/>
      <c r="AN807" s="1118"/>
      <c r="AO807" s="1118"/>
      <c r="AP807" s="1118"/>
      <c r="AQ807" s="1118"/>
      <c r="AR807" s="1118"/>
      <c r="AS807" s="1118"/>
      <c r="AT807" s="1118"/>
      <c r="AU807" s="1118"/>
      <c r="AV807" s="1118"/>
      <c r="AW807" s="1118"/>
      <c r="AX807" s="1118"/>
      <c r="AY807" s="1118"/>
      <c r="AZ807" s="1118"/>
      <c r="BA807" s="1118"/>
      <c r="BB807" s="1118"/>
      <c r="BC807" s="1118"/>
      <c r="BD807" s="1118"/>
      <c r="BE807" s="1119"/>
      <c r="BF807" s="695"/>
    </row>
    <row r="808" spans="1:58" ht="13.15" x14ac:dyDescent="0.45">
      <c r="A808" s="695"/>
      <c r="B808" s="1117"/>
      <c r="C808" s="1118"/>
      <c r="D808" s="1118"/>
      <c r="E808" s="1118"/>
      <c r="F808" s="1127" t="s">
        <v>54</v>
      </c>
      <c r="G808" s="1127" t="s">
        <v>55</v>
      </c>
      <c r="H808" s="1118"/>
      <c r="I808" s="1118"/>
      <c r="J808" s="1118"/>
      <c r="K808" s="1118"/>
      <c r="L808" s="1118"/>
      <c r="M808" s="1118"/>
      <c r="N808" s="1118"/>
      <c r="O808" s="1118"/>
      <c r="P808" s="1118"/>
      <c r="Q808" s="1118"/>
      <c r="R808" s="1118"/>
      <c r="S808" s="1118"/>
      <c r="T808" s="1118"/>
      <c r="U808" s="1118"/>
      <c r="V808" s="1118"/>
      <c r="W808" s="1118"/>
      <c r="X808" s="1118"/>
      <c r="Y808" s="1118"/>
      <c r="Z808" s="1118"/>
      <c r="AA808" s="1118"/>
      <c r="AB808" s="1118"/>
      <c r="AC808" s="1118"/>
      <c r="AD808" s="1118"/>
      <c r="AE808" s="1118"/>
      <c r="AF808" s="1118"/>
      <c r="AG808" s="1118"/>
      <c r="AH808" s="1118"/>
      <c r="AI808" s="1118"/>
      <c r="AJ808" s="1118"/>
      <c r="AK808" s="1118"/>
      <c r="AL808" s="1118"/>
      <c r="AM808" s="1118"/>
      <c r="AN808" s="1118"/>
      <c r="AO808" s="1118"/>
      <c r="AP808" s="1118"/>
      <c r="AQ808" s="1118"/>
      <c r="AR808" s="1118"/>
      <c r="AS808" s="1118"/>
      <c r="AT808" s="1118"/>
      <c r="AU808" s="1118"/>
      <c r="AV808" s="1118"/>
      <c r="AW808" s="1118"/>
      <c r="AX808" s="1118"/>
      <c r="AY808" s="1118"/>
      <c r="AZ808" s="1118"/>
      <c r="BA808" s="1118"/>
      <c r="BB808" s="1118"/>
      <c r="BC808" s="1118"/>
      <c r="BD808" s="1118"/>
      <c r="BE808" s="1119"/>
      <c r="BF808" s="695"/>
    </row>
    <row r="809" spans="1:58" x14ac:dyDescent="0.45">
      <c r="A809" s="695"/>
      <c r="B809" s="1117"/>
      <c r="C809" s="1118" t="s">
        <v>50</v>
      </c>
      <c r="D809" s="1118"/>
      <c r="E809" s="1118"/>
      <c r="F809" s="1124">
        <f>'II. Inputs, Baseline Energy Mix'!$Q$122</f>
        <v>1</v>
      </c>
      <c r="G809" s="1616">
        <f>IF('II. Inputs, Baseline Energy Mix'!$Q$19&gt;0, F809*'II. Inputs, Baseline Energy Mix'!$Q$20*'II. Inputs, Baseline Energy Mix'!$Q$21,0)</f>
        <v>0</v>
      </c>
      <c r="H809" s="1616">
        <f>$G$809*H805</f>
        <v>0</v>
      </c>
      <c r="I809" s="1616">
        <f t="shared" ref="I809:BE809" si="267">$G$809*I805</f>
        <v>0</v>
      </c>
      <c r="J809" s="1616">
        <f t="shared" si="267"/>
        <v>0</v>
      </c>
      <c r="K809" s="1616">
        <f t="shared" si="267"/>
        <v>0</v>
      </c>
      <c r="L809" s="1616">
        <f t="shared" si="267"/>
        <v>0</v>
      </c>
      <c r="M809" s="1616">
        <f t="shared" si="267"/>
        <v>0</v>
      </c>
      <c r="N809" s="1616">
        <f t="shared" si="267"/>
        <v>0</v>
      </c>
      <c r="O809" s="1616">
        <f t="shared" si="267"/>
        <v>0</v>
      </c>
      <c r="P809" s="1616">
        <f t="shared" si="267"/>
        <v>0</v>
      </c>
      <c r="Q809" s="1616">
        <f t="shared" si="267"/>
        <v>0</v>
      </c>
      <c r="R809" s="1616">
        <f t="shared" si="267"/>
        <v>0</v>
      </c>
      <c r="S809" s="1616">
        <f t="shared" si="267"/>
        <v>0</v>
      </c>
      <c r="T809" s="1616">
        <f t="shared" si="267"/>
        <v>0</v>
      </c>
      <c r="U809" s="1616">
        <f t="shared" si="267"/>
        <v>0</v>
      </c>
      <c r="V809" s="1616">
        <f t="shared" si="267"/>
        <v>0</v>
      </c>
      <c r="W809" s="1616">
        <f t="shared" si="267"/>
        <v>0</v>
      </c>
      <c r="X809" s="1616">
        <f t="shared" si="267"/>
        <v>0</v>
      </c>
      <c r="Y809" s="1616">
        <f t="shared" si="267"/>
        <v>0</v>
      </c>
      <c r="Z809" s="1616">
        <f t="shared" si="267"/>
        <v>0</v>
      </c>
      <c r="AA809" s="1616">
        <f t="shared" si="267"/>
        <v>0</v>
      </c>
      <c r="AB809" s="1616">
        <f t="shared" si="267"/>
        <v>0</v>
      </c>
      <c r="AC809" s="1616">
        <f t="shared" si="267"/>
        <v>0</v>
      </c>
      <c r="AD809" s="1616">
        <f t="shared" si="267"/>
        <v>0</v>
      </c>
      <c r="AE809" s="1616">
        <f t="shared" si="267"/>
        <v>0</v>
      </c>
      <c r="AF809" s="1616">
        <f t="shared" si="267"/>
        <v>0</v>
      </c>
      <c r="AG809" s="1616">
        <f t="shared" si="267"/>
        <v>0</v>
      </c>
      <c r="AH809" s="1616">
        <f t="shared" si="267"/>
        <v>0</v>
      </c>
      <c r="AI809" s="1616">
        <f t="shared" si="267"/>
        <v>0</v>
      </c>
      <c r="AJ809" s="1616">
        <f t="shared" si="267"/>
        <v>0</v>
      </c>
      <c r="AK809" s="1616">
        <f t="shared" si="267"/>
        <v>0</v>
      </c>
      <c r="AL809" s="1616">
        <f t="shared" si="267"/>
        <v>0</v>
      </c>
      <c r="AM809" s="1616">
        <f t="shared" si="267"/>
        <v>0</v>
      </c>
      <c r="AN809" s="1616">
        <f t="shared" si="267"/>
        <v>0</v>
      </c>
      <c r="AO809" s="1616">
        <f t="shared" si="267"/>
        <v>0</v>
      </c>
      <c r="AP809" s="1616">
        <f t="shared" si="267"/>
        <v>0</v>
      </c>
      <c r="AQ809" s="1616">
        <f t="shared" si="267"/>
        <v>0</v>
      </c>
      <c r="AR809" s="1616">
        <f t="shared" si="267"/>
        <v>0</v>
      </c>
      <c r="AS809" s="1616">
        <f t="shared" si="267"/>
        <v>0</v>
      </c>
      <c r="AT809" s="1616">
        <f t="shared" si="267"/>
        <v>0</v>
      </c>
      <c r="AU809" s="1616">
        <f t="shared" si="267"/>
        <v>0</v>
      </c>
      <c r="AV809" s="1616">
        <f t="shared" si="267"/>
        <v>0</v>
      </c>
      <c r="AW809" s="1616">
        <f t="shared" si="267"/>
        <v>0</v>
      </c>
      <c r="AX809" s="1616">
        <f t="shared" si="267"/>
        <v>0</v>
      </c>
      <c r="AY809" s="1616">
        <f t="shared" si="267"/>
        <v>0</v>
      </c>
      <c r="AZ809" s="1616">
        <f t="shared" si="267"/>
        <v>0</v>
      </c>
      <c r="BA809" s="1616">
        <f t="shared" si="267"/>
        <v>0</v>
      </c>
      <c r="BB809" s="1616">
        <f t="shared" si="267"/>
        <v>0</v>
      </c>
      <c r="BC809" s="1616">
        <f t="shared" si="267"/>
        <v>0</v>
      </c>
      <c r="BD809" s="1616">
        <f t="shared" si="267"/>
        <v>0</v>
      </c>
      <c r="BE809" s="1617">
        <f t="shared" si="267"/>
        <v>0</v>
      </c>
      <c r="BF809" s="695"/>
    </row>
    <row r="810" spans="1:58" x14ac:dyDescent="0.45">
      <c r="A810" s="695"/>
      <c r="B810" s="1117"/>
      <c r="C810" s="1128" t="s">
        <v>16</v>
      </c>
      <c r="D810" s="1128"/>
      <c r="E810" s="1128"/>
      <c r="F810" s="1129">
        <f>'II. Inputs, Baseline Energy Mix'!$Q$123</f>
        <v>0</v>
      </c>
      <c r="G810" s="1618">
        <f>IF('II. Inputs, Baseline Energy Mix'!$Q$19&gt;0, F810*'II. Inputs, Baseline Energy Mix'!$Q$20*'II. Inputs, Baseline Energy Mix'!$Q$21,0)</f>
        <v>0</v>
      </c>
      <c r="H810" s="1618">
        <f>$G$810*H806</f>
        <v>0</v>
      </c>
      <c r="I810" s="1618">
        <f t="shared" ref="I810:BE810" si="268">$G$810*I806</f>
        <v>0</v>
      </c>
      <c r="J810" s="1618">
        <f t="shared" si="268"/>
        <v>0</v>
      </c>
      <c r="K810" s="1618">
        <f t="shared" si="268"/>
        <v>0</v>
      </c>
      <c r="L810" s="1618">
        <f t="shared" si="268"/>
        <v>0</v>
      </c>
      <c r="M810" s="1618">
        <f t="shared" si="268"/>
        <v>0</v>
      </c>
      <c r="N810" s="1618">
        <f t="shared" si="268"/>
        <v>0</v>
      </c>
      <c r="O810" s="1618">
        <f t="shared" si="268"/>
        <v>0</v>
      </c>
      <c r="P810" s="1618">
        <f t="shared" si="268"/>
        <v>0</v>
      </c>
      <c r="Q810" s="1618">
        <f t="shared" si="268"/>
        <v>0</v>
      </c>
      <c r="R810" s="1618">
        <f t="shared" si="268"/>
        <v>0</v>
      </c>
      <c r="S810" s="1618">
        <f t="shared" si="268"/>
        <v>0</v>
      </c>
      <c r="T810" s="1618">
        <f t="shared" si="268"/>
        <v>0</v>
      </c>
      <c r="U810" s="1618">
        <f t="shared" si="268"/>
        <v>0</v>
      </c>
      <c r="V810" s="1618">
        <f t="shared" si="268"/>
        <v>0</v>
      </c>
      <c r="W810" s="1618">
        <f t="shared" si="268"/>
        <v>0</v>
      </c>
      <c r="X810" s="1618">
        <f t="shared" si="268"/>
        <v>0</v>
      </c>
      <c r="Y810" s="1618">
        <f t="shared" si="268"/>
        <v>0</v>
      </c>
      <c r="Z810" s="1618">
        <f t="shared" si="268"/>
        <v>0</v>
      </c>
      <c r="AA810" s="1618">
        <f t="shared" si="268"/>
        <v>0</v>
      </c>
      <c r="AB810" s="1618">
        <f t="shared" si="268"/>
        <v>0</v>
      </c>
      <c r="AC810" s="1618">
        <f t="shared" si="268"/>
        <v>0</v>
      </c>
      <c r="AD810" s="1618">
        <f t="shared" si="268"/>
        <v>0</v>
      </c>
      <c r="AE810" s="1618">
        <f t="shared" si="268"/>
        <v>0</v>
      </c>
      <c r="AF810" s="1618">
        <f t="shared" si="268"/>
        <v>0</v>
      </c>
      <c r="AG810" s="1618">
        <f t="shared" si="268"/>
        <v>0</v>
      </c>
      <c r="AH810" s="1618">
        <f t="shared" si="268"/>
        <v>0</v>
      </c>
      <c r="AI810" s="1618">
        <f t="shared" si="268"/>
        <v>0</v>
      </c>
      <c r="AJ810" s="1618">
        <f t="shared" si="268"/>
        <v>0</v>
      </c>
      <c r="AK810" s="1618">
        <f t="shared" si="268"/>
        <v>0</v>
      </c>
      <c r="AL810" s="1618">
        <f t="shared" si="268"/>
        <v>0</v>
      </c>
      <c r="AM810" s="1618">
        <f t="shared" si="268"/>
        <v>0</v>
      </c>
      <c r="AN810" s="1618">
        <f t="shared" si="268"/>
        <v>0</v>
      </c>
      <c r="AO810" s="1618">
        <f t="shared" si="268"/>
        <v>0</v>
      </c>
      <c r="AP810" s="1618">
        <f t="shared" si="268"/>
        <v>0</v>
      </c>
      <c r="AQ810" s="1618">
        <f t="shared" si="268"/>
        <v>0</v>
      </c>
      <c r="AR810" s="1618">
        <f t="shared" si="268"/>
        <v>0</v>
      </c>
      <c r="AS810" s="1618">
        <f t="shared" si="268"/>
        <v>0</v>
      </c>
      <c r="AT810" s="1618">
        <f t="shared" si="268"/>
        <v>0</v>
      </c>
      <c r="AU810" s="1618">
        <f t="shared" si="268"/>
        <v>0</v>
      </c>
      <c r="AV810" s="1618">
        <f t="shared" si="268"/>
        <v>0</v>
      </c>
      <c r="AW810" s="1618">
        <f t="shared" si="268"/>
        <v>0</v>
      </c>
      <c r="AX810" s="1618">
        <f t="shared" si="268"/>
        <v>0</v>
      </c>
      <c r="AY810" s="1618">
        <f t="shared" si="268"/>
        <v>0</v>
      </c>
      <c r="AZ810" s="1618">
        <f t="shared" si="268"/>
        <v>0</v>
      </c>
      <c r="BA810" s="1618">
        <f t="shared" si="268"/>
        <v>0</v>
      </c>
      <c r="BB810" s="1618">
        <f t="shared" si="268"/>
        <v>0</v>
      </c>
      <c r="BC810" s="1618">
        <f t="shared" si="268"/>
        <v>0</v>
      </c>
      <c r="BD810" s="1618">
        <f t="shared" si="268"/>
        <v>0</v>
      </c>
      <c r="BE810" s="1619">
        <f t="shared" si="268"/>
        <v>0</v>
      </c>
      <c r="BF810" s="695"/>
    </row>
    <row r="811" spans="1:58" x14ac:dyDescent="0.45">
      <c r="A811" s="695"/>
      <c r="B811" s="1117"/>
      <c r="C811" s="1118" t="s">
        <v>56</v>
      </c>
      <c r="D811" s="1118"/>
      <c r="E811" s="1118"/>
      <c r="F811" s="1118"/>
      <c r="G811" s="1616">
        <f>G809+G810</f>
        <v>0</v>
      </c>
      <c r="H811" s="1616">
        <f>H809+H810</f>
        <v>0</v>
      </c>
      <c r="I811" s="1616">
        <f t="shared" ref="I811:BE811" si="269">I809+I810</f>
        <v>0</v>
      </c>
      <c r="J811" s="1616">
        <f t="shared" si="269"/>
        <v>0</v>
      </c>
      <c r="K811" s="1616">
        <f t="shared" si="269"/>
        <v>0</v>
      </c>
      <c r="L811" s="1616">
        <f t="shared" si="269"/>
        <v>0</v>
      </c>
      <c r="M811" s="1616">
        <f t="shared" si="269"/>
        <v>0</v>
      </c>
      <c r="N811" s="1616">
        <f t="shared" si="269"/>
        <v>0</v>
      </c>
      <c r="O811" s="1616">
        <f t="shared" si="269"/>
        <v>0</v>
      </c>
      <c r="P811" s="1616">
        <f t="shared" si="269"/>
        <v>0</v>
      </c>
      <c r="Q811" s="1616">
        <f t="shared" si="269"/>
        <v>0</v>
      </c>
      <c r="R811" s="1616">
        <f t="shared" si="269"/>
        <v>0</v>
      </c>
      <c r="S811" s="1616">
        <f t="shared" si="269"/>
        <v>0</v>
      </c>
      <c r="T811" s="1616">
        <f t="shared" si="269"/>
        <v>0</v>
      </c>
      <c r="U811" s="1616">
        <f t="shared" si="269"/>
        <v>0</v>
      </c>
      <c r="V811" s="1616">
        <f t="shared" si="269"/>
        <v>0</v>
      </c>
      <c r="W811" s="1616">
        <f t="shared" si="269"/>
        <v>0</v>
      </c>
      <c r="X811" s="1616">
        <f t="shared" si="269"/>
        <v>0</v>
      </c>
      <c r="Y811" s="1616">
        <f t="shared" si="269"/>
        <v>0</v>
      </c>
      <c r="Z811" s="1616">
        <f t="shared" si="269"/>
        <v>0</v>
      </c>
      <c r="AA811" s="1616">
        <f t="shared" si="269"/>
        <v>0</v>
      </c>
      <c r="AB811" s="1616">
        <f t="shared" si="269"/>
        <v>0</v>
      </c>
      <c r="AC811" s="1616">
        <f t="shared" si="269"/>
        <v>0</v>
      </c>
      <c r="AD811" s="1616">
        <f t="shared" si="269"/>
        <v>0</v>
      </c>
      <c r="AE811" s="1616">
        <f t="shared" si="269"/>
        <v>0</v>
      </c>
      <c r="AF811" s="1616">
        <f t="shared" si="269"/>
        <v>0</v>
      </c>
      <c r="AG811" s="1616">
        <f t="shared" si="269"/>
        <v>0</v>
      </c>
      <c r="AH811" s="1616">
        <f t="shared" si="269"/>
        <v>0</v>
      </c>
      <c r="AI811" s="1616">
        <f t="shared" si="269"/>
        <v>0</v>
      </c>
      <c r="AJ811" s="1616">
        <f t="shared" si="269"/>
        <v>0</v>
      </c>
      <c r="AK811" s="1616">
        <f t="shared" si="269"/>
        <v>0</v>
      </c>
      <c r="AL811" s="1616">
        <f t="shared" si="269"/>
        <v>0</v>
      </c>
      <c r="AM811" s="1616">
        <f t="shared" si="269"/>
        <v>0</v>
      </c>
      <c r="AN811" s="1616">
        <f t="shared" si="269"/>
        <v>0</v>
      </c>
      <c r="AO811" s="1616">
        <f t="shared" si="269"/>
        <v>0</v>
      </c>
      <c r="AP811" s="1616">
        <f t="shared" si="269"/>
        <v>0</v>
      </c>
      <c r="AQ811" s="1616">
        <f t="shared" si="269"/>
        <v>0</v>
      </c>
      <c r="AR811" s="1616">
        <f t="shared" si="269"/>
        <v>0</v>
      </c>
      <c r="AS811" s="1616">
        <f t="shared" si="269"/>
        <v>0</v>
      </c>
      <c r="AT811" s="1616">
        <f t="shared" si="269"/>
        <v>0</v>
      </c>
      <c r="AU811" s="1616">
        <f t="shared" si="269"/>
        <v>0</v>
      </c>
      <c r="AV811" s="1616">
        <f t="shared" si="269"/>
        <v>0</v>
      </c>
      <c r="AW811" s="1616">
        <f t="shared" si="269"/>
        <v>0</v>
      </c>
      <c r="AX811" s="1616">
        <f t="shared" si="269"/>
        <v>0</v>
      </c>
      <c r="AY811" s="1616">
        <f t="shared" si="269"/>
        <v>0</v>
      </c>
      <c r="AZ811" s="1616">
        <f t="shared" si="269"/>
        <v>0</v>
      </c>
      <c r="BA811" s="1616">
        <f t="shared" si="269"/>
        <v>0</v>
      </c>
      <c r="BB811" s="1616">
        <f t="shared" si="269"/>
        <v>0</v>
      </c>
      <c r="BC811" s="1616">
        <f t="shared" si="269"/>
        <v>0</v>
      </c>
      <c r="BD811" s="1616">
        <f t="shared" si="269"/>
        <v>0</v>
      </c>
      <c r="BE811" s="1617">
        <f t="shared" si="269"/>
        <v>0</v>
      </c>
      <c r="BF811" s="695"/>
    </row>
    <row r="812" spans="1:58" x14ac:dyDescent="0.45">
      <c r="A812" s="695"/>
      <c r="B812" s="1117"/>
      <c r="C812" s="1118"/>
      <c r="D812" s="1118"/>
      <c r="E812" s="1118"/>
      <c r="F812" s="1118"/>
      <c r="G812" s="1118"/>
      <c r="H812" s="1118"/>
      <c r="I812" s="1118"/>
      <c r="J812" s="1118"/>
      <c r="K812" s="1118"/>
      <c r="L812" s="1118"/>
      <c r="M812" s="1118"/>
      <c r="N812" s="1118"/>
      <c r="O812" s="1118"/>
      <c r="P812" s="1118"/>
      <c r="Q812" s="1118"/>
      <c r="R812" s="1118"/>
      <c r="S812" s="1118"/>
      <c r="T812" s="1118"/>
      <c r="U812" s="1118"/>
      <c r="V812" s="1118"/>
      <c r="W812" s="1118"/>
      <c r="X812" s="1118"/>
      <c r="Y812" s="1118"/>
      <c r="Z812" s="1118"/>
      <c r="AA812" s="1118"/>
      <c r="AB812" s="1118"/>
      <c r="AC812" s="1118"/>
      <c r="AD812" s="1118"/>
      <c r="AE812" s="1118"/>
      <c r="AF812" s="1118"/>
      <c r="AG812" s="1118"/>
      <c r="AH812" s="1118"/>
      <c r="AI812" s="1118"/>
      <c r="AJ812" s="1118"/>
      <c r="AK812" s="1118"/>
      <c r="AL812" s="1118"/>
      <c r="AM812" s="1118"/>
      <c r="AN812" s="1118"/>
      <c r="AO812" s="1118"/>
      <c r="AP812" s="1118"/>
      <c r="AQ812" s="1118"/>
      <c r="AR812" s="1118"/>
      <c r="AS812" s="1118"/>
      <c r="AT812" s="1118"/>
      <c r="AU812" s="1118"/>
      <c r="AV812" s="1118"/>
      <c r="AW812" s="1118"/>
      <c r="AX812" s="1118"/>
      <c r="AY812" s="1118"/>
      <c r="AZ812" s="1118"/>
      <c r="BA812" s="1118"/>
      <c r="BB812" s="1118"/>
      <c r="BC812" s="1118"/>
      <c r="BD812" s="1118"/>
      <c r="BE812" s="1119"/>
      <c r="BF812" s="695"/>
    </row>
    <row r="813" spans="1:58" x14ac:dyDescent="0.45">
      <c r="A813" s="695"/>
      <c r="B813" s="1130"/>
      <c r="C813" s="1128"/>
      <c r="D813" s="1128"/>
      <c r="E813" s="1128"/>
      <c r="F813" s="1128"/>
      <c r="G813" s="1128"/>
      <c r="H813" s="1128"/>
      <c r="I813" s="1128"/>
      <c r="J813" s="1128"/>
      <c r="K813" s="1128"/>
      <c r="L813" s="1128"/>
      <c r="M813" s="1128"/>
      <c r="N813" s="1128"/>
      <c r="O813" s="1128"/>
      <c r="P813" s="1128"/>
      <c r="Q813" s="1128"/>
      <c r="R813" s="1128"/>
      <c r="S813" s="1128"/>
      <c r="T813" s="1128"/>
      <c r="U813" s="1128"/>
      <c r="V813" s="1128"/>
      <c r="W813" s="1128"/>
      <c r="X813" s="1128"/>
      <c r="Y813" s="1128"/>
      <c r="Z813" s="1128"/>
      <c r="AA813" s="1128"/>
      <c r="AB813" s="1128"/>
      <c r="AC813" s="1128"/>
      <c r="AD813" s="1128"/>
      <c r="AE813" s="1128"/>
      <c r="AF813" s="1128"/>
      <c r="AG813" s="1128"/>
      <c r="AH813" s="1128"/>
      <c r="AI813" s="1128"/>
      <c r="AJ813" s="1128"/>
      <c r="AK813" s="1128"/>
      <c r="AL813" s="1128"/>
      <c r="AM813" s="1128"/>
      <c r="AN813" s="1128"/>
      <c r="AO813" s="1128"/>
      <c r="AP813" s="1128"/>
      <c r="AQ813" s="1128"/>
      <c r="AR813" s="1128"/>
      <c r="AS813" s="1128"/>
      <c r="AT813" s="1128"/>
      <c r="AU813" s="1128"/>
      <c r="AV813" s="1128"/>
      <c r="AW813" s="1128"/>
      <c r="AX813" s="1128"/>
      <c r="AY813" s="1128"/>
      <c r="AZ813" s="1128"/>
      <c r="BA813" s="1128"/>
      <c r="BB813" s="1128"/>
      <c r="BC813" s="1128"/>
      <c r="BD813" s="1128"/>
      <c r="BE813" s="1131"/>
      <c r="BF813" s="695"/>
    </row>
    <row r="814" spans="1:58" x14ac:dyDescent="0.45">
      <c r="A814" s="695"/>
      <c r="B814" s="695"/>
      <c r="C814" s="695"/>
      <c r="D814" s="695"/>
      <c r="E814" s="695"/>
      <c r="F814" s="695"/>
      <c r="G814" s="695"/>
      <c r="H814" s="695"/>
      <c r="I814" s="695"/>
      <c r="J814" s="695"/>
      <c r="K814" s="695"/>
      <c r="L814" s="695"/>
      <c r="M814" s="695"/>
      <c r="N814" s="695"/>
      <c r="O814" s="695"/>
      <c r="P814" s="695"/>
      <c r="Q814" s="695"/>
      <c r="R814" s="695"/>
      <c r="S814" s="695"/>
      <c r="T814" s="695"/>
      <c r="U814" s="695"/>
      <c r="V814" s="695"/>
      <c r="W814" s="695"/>
      <c r="X814" s="695"/>
      <c r="Y814" s="695"/>
      <c r="Z814" s="695"/>
      <c r="AA814" s="695"/>
      <c r="AB814" s="695"/>
      <c r="AC814" s="695"/>
      <c r="AD814" s="695"/>
      <c r="AE814" s="695"/>
      <c r="AF814" s="695"/>
      <c r="AG814" s="695"/>
      <c r="AH814" s="695"/>
      <c r="AI814" s="695"/>
      <c r="AJ814" s="695"/>
      <c r="AK814" s="695"/>
      <c r="AL814" s="695"/>
      <c r="AM814" s="695"/>
      <c r="AN814" s="695"/>
      <c r="AO814" s="695"/>
      <c r="AP814" s="695"/>
      <c r="AQ814" s="695"/>
      <c r="AR814" s="695"/>
      <c r="AS814" s="695"/>
      <c r="AT814" s="695"/>
      <c r="AU814" s="695"/>
      <c r="AV814" s="695"/>
      <c r="AW814" s="695"/>
      <c r="AX814" s="695"/>
      <c r="AY814" s="695"/>
      <c r="AZ814" s="695"/>
      <c r="BA814" s="695"/>
      <c r="BB814" s="695"/>
      <c r="BC814" s="695"/>
      <c r="BD814" s="695"/>
      <c r="BE814" s="695"/>
      <c r="BF814" s="695"/>
    </row>
    <row r="815" spans="1:58" ht="13.15" x14ac:dyDescent="0.45">
      <c r="A815" s="695"/>
      <c r="B815" s="1132"/>
      <c r="C815" s="1133" t="str">
        <f>'II. Inputs, Baseline Energy Mix'!$R$18</f>
        <v>Technology #5</v>
      </c>
      <c r="D815" s="1134"/>
      <c r="E815" s="1134"/>
      <c r="F815" s="1134"/>
      <c r="G815" s="1134"/>
      <c r="H815" s="1134"/>
      <c r="I815" s="1134"/>
      <c r="J815" s="1134"/>
      <c r="K815" s="1134"/>
      <c r="L815" s="1134"/>
      <c r="M815" s="1134"/>
      <c r="N815" s="1134"/>
      <c r="O815" s="1134"/>
      <c r="P815" s="1134"/>
      <c r="Q815" s="1134"/>
      <c r="R815" s="1134"/>
      <c r="S815" s="1134"/>
      <c r="T815" s="1134"/>
      <c r="U815" s="1134"/>
      <c r="V815" s="1134"/>
      <c r="W815" s="1134"/>
      <c r="X815" s="1134"/>
      <c r="Y815" s="1134"/>
      <c r="Z815" s="1134"/>
      <c r="AA815" s="1134"/>
      <c r="AB815" s="1134"/>
      <c r="AC815" s="1134"/>
      <c r="AD815" s="1134"/>
      <c r="AE815" s="1134"/>
      <c r="AF815" s="1134"/>
      <c r="AG815" s="1134"/>
      <c r="AH815" s="1134"/>
      <c r="AI815" s="1134"/>
      <c r="AJ815" s="1134"/>
      <c r="AK815" s="1134"/>
      <c r="AL815" s="1134"/>
      <c r="AM815" s="1134"/>
      <c r="AN815" s="1134"/>
      <c r="AO815" s="1134"/>
      <c r="AP815" s="1134"/>
      <c r="AQ815" s="1134"/>
      <c r="AR815" s="1134"/>
      <c r="AS815" s="1134"/>
      <c r="AT815" s="1134"/>
      <c r="AU815" s="1134"/>
      <c r="AV815" s="1134"/>
      <c r="AW815" s="1134"/>
      <c r="AX815" s="1134"/>
      <c r="AY815" s="1134"/>
      <c r="AZ815" s="1134"/>
      <c r="BA815" s="1134"/>
      <c r="BB815" s="1134"/>
      <c r="BC815" s="1134"/>
      <c r="BD815" s="1134"/>
      <c r="BE815" s="1135"/>
      <c r="BF815" s="695"/>
    </row>
    <row r="816" spans="1:58" x14ac:dyDescent="0.45">
      <c r="A816" s="695"/>
      <c r="B816" s="1136"/>
      <c r="C816" s="1137"/>
      <c r="D816" s="1137"/>
      <c r="E816" s="1137"/>
      <c r="F816" s="1137"/>
      <c r="G816" s="1137"/>
      <c r="H816" s="1137"/>
      <c r="I816" s="1137"/>
      <c r="J816" s="1137"/>
      <c r="K816" s="1137"/>
      <c r="L816" s="1137"/>
      <c r="M816" s="1137"/>
      <c r="N816" s="1137"/>
      <c r="O816" s="1137"/>
      <c r="P816" s="1137"/>
      <c r="Q816" s="1137"/>
      <c r="R816" s="1137"/>
      <c r="S816" s="1137"/>
      <c r="T816" s="1137"/>
      <c r="U816" s="1137"/>
      <c r="V816" s="1137"/>
      <c r="W816" s="1137"/>
      <c r="X816" s="1137"/>
      <c r="Y816" s="1137"/>
      <c r="Z816" s="1137"/>
      <c r="AA816" s="1137"/>
      <c r="AB816" s="1137"/>
      <c r="AC816" s="1137"/>
      <c r="AD816" s="1137"/>
      <c r="AE816" s="1137"/>
      <c r="AF816" s="1137"/>
      <c r="AG816" s="1137"/>
      <c r="AH816" s="1137"/>
      <c r="AI816" s="1137"/>
      <c r="AJ816" s="1137"/>
      <c r="AK816" s="1137"/>
      <c r="AL816" s="1137"/>
      <c r="AM816" s="1137"/>
      <c r="AN816" s="1137"/>
      <c r="AO816" s="1137"/>
      <c r="AP816" s="1137"/>
      <c r="AQ816" s="1137"/>
      <c r="AR816" s="1137"/>
      <c r="AS816" s="1137"/>
      <c r="AT816" s="1137"/>
      <c r="AU816" s="1137"/>
      <c r="AV816" s="1137"/>
      <c r="AW816" s="1137"/>
      <c r="AX816" s="1137"/>
      <c r="AY816" s="1137"/>
      <c r="AZ816" s="1137"/>
      <c r="BA816" s="1137"/>
      <c r="BB816" s="1137"/>
      <c r="BC816" s="1137"/>
      <c r="BD816" s="1137"/>
      <c r="BE816" s="1138"/>
      <c r="BF816" s="695"/>
    </row>
    <row r="817" spans="1:58" x14ac:dyDescent="0.45">
      <c r="A817" s="695"/>
      <c r="B817" s="1136"/>
      <c r="C817" s="1139" t="s">
        <v>57</v>
      </c>
      <c r="D817" s="1140">
        <f>'II. Inputs, Baseline Energy Mix'!$R$22</f>
        <v>0</v>
      </c>
      <c r="E817" s="1141" t="s">
        <v>18</v>
      </c>
      <c r="F817" s="1137"/>
      <c r="G817" s="1137"/>
      <c r="H817" s="1137"/>
      <c r="I817" s="1137"/>
      <c r="J817" s="1137"/>
      <c r="K817" s="1137"/>
      <c r="L817" s="1137"/>
      <c r="M817" s="1137"/>
      <c r="N817" s="1137"/>
      <c r="O817" s="1137"/>
      <c r="P817" s="1137"/>
      <c r="Q817" s="1137"/>
      <c r="R817" s="1137"/>
      <c r="S817" s="1137"/>
      <c r="T817" s="1137"/>
      <c r="U817" s="1137"/>
      <c r="V817" s="1137"/>
      <c r="W817" s="1137"/>
      <c r="X817" s="1137"/>
      <c r="Y817" s="1137"/>
      <c r="Z817" s="1137"/>
      <c r="AA817" s="1137"/>
      <c r="AB817" s="1137"/>
      <c r="AC817" s="1137"/>
      <c r="AD817" s="1137"/>
      <c r="AE817" s="1137"/>
      <c r="AF817" s="1137"/>
      <c r="AG817" s="1137"/>
      <c r="AH817" s="1137"/>
      <c r="AI817" s="1137"/>
      <c r="AJ817" s="1137"/>
      <c r="AK817" s="1137"/>
      <c r="AL817" s="1137"/>
      <c r="AM817" s="1137"/>
      <c r="AN817" s="1137"/>
      <c r="AO817" s="1137"/>
      <c r="AP817" s="1137"/>
      <c r="AQ817" s="1137"/>
      <c r="AR817" s="1137"/>
      <c r="AS817" s="1137"/>
      <c r="AT817" s="1137"/>
      <c r="AU817" s="1137"/>
      <c r="AV817" s="1137"/>
      <c r="AW817" s="1137"/>
      <c r="AX817" s="1137"/>
      <c r="AY817" s="1137"/>
      <c r="AZ817" s="1137"/>
      <c r="BA817" s="1137"/>
      <c r="BB817" s="1137"/>
      <c r="BC817" s="1137"/>
      <c r="BD817" s="1137"/>
      <c r="BE817" s="1138"/>
      <c r="BF817" s="695"/>
    </row>
    <row r="818" spans="1:58" x14ac:dyDescent="0.45">
      <c r="A818" s="695"/>
      <c r="B818" s="1136"/>
      <c r="C818" s="1137"/>
      <c r="D818" s="1137"/>
      <c r="E818" s="1137"/>
      <c r="F818" s="1137"/>
      <c r="G818" s="1137"/>
      <c r="H818" s="1137"/>
      <c r="I818" s="1137"/>
      <c r="J818" s="1137"/>
      <c r="K818" s="1137"/>
      <c r="L818" s="1137"/>
      <c r="M818" s="1137"/>
      <c r="N818" s="1137"/>
      <c r="O818" s="1137"/>
      <c r="P818" s="1137"/>
      <c r="Q818" s="1137"/>
      <c r="R818" s="1137"/>
      <c r="S818" s="1137"/>
      <c r="T818" s="1137"/>
      <c r="U818" s="1137"/>
      <c r="V818" s="1137"/>
      <c r="W818" s="1137"/>
      <c r="X818" s="1137"/>
      <c r="Y818" s="1137"/>
      <c r="Z818" s="1137"/>
      <c r="AA818" s="1137"/>
      <c r="AB818" s="1137"/>
      <c r="AC818" s="1137"/>
      <c r="AD818" s="1137"/>
      <c r="AE818" s="1137"/>
      <c r="AF818" s="1137"/>
      <c r="AG818" s="1137"/>
      <c r="AH818" s="1137"/>
      <c r="AI818" s="1137"/>
      <c r="AJ818" s="1137"/>
      <c r="AK818" s="1137"/>
      <c r="AL818" s="1137"/>
      <c r="AM818" s="1137"/>
      <c r="AN818" s="1137"/>
      <c r="AO818" s="1137"/>
      <c r="AP818" s="1137"/>
      <c r="AQ818" s="1137"/>
      <c r="AR818" s="1137"/>
      <c r="AS818" s="1137"/>
      <c r="AT818" s="1137"/>
      <c r="AU818" s="1137"/>
      <c r="AV818" s="1137"/>
      <c r="AW818" s="1137"/>
      <c r="AX818" s="1137"/>
      <c r="AY818" s="1137"/>
      <c r="AZ818" s="1137"/>
      <c r="BA818" s="1137"/>
      <c r="BB818" s="1137"/>
      <c r="BC818" s="1137"/>
      <c r="BD818" s="1137"/>
      <c r="BE818" s="1138"/>
      <c r="BF818" s="695"/>
    </row>
    <row r="819" spans="1:58" x14ac:dyDescent="0.45">
      <c r="A819" s="695"/>
      <c r="B819" s="1136"/>
      <c r="C819" s="1137" t="s">
        <v>52</v>
      </c>
      <c r="D819" s="1137"/>
      <c r="E819" s="1137"/>
      <c r="F819" s="1137"/>
      <c r="G819" s="1142"/>
      <c r="H819" s="1143">
        <f>IF(H$757&gt;$D$817,0,1/$D$817)</f>
        <v>0</v>
      </c>
      <c r="I819" s="1143">
        <f t="shared" ref="I819:BE819" si="270">IF(I$757&gt;$D$817,0,1/$D$817)</f>
        <v>0</v>
      </c>
      <c r="J819" s="1143">
        <f t="shared" si="270"/>
        <v>0</v>
      </c>
      <c r="K819" s="1143">
        <f t="shared" si="270"/>
        <v>0</v>
      </c>
      <c r="L819" s="1143">
        <f t="shared" si="270"/>
        <v>0</v>
      </c>
      <c r="M819" s="1143">
        <f t="shared" si="270"/>
        <v>0</v>
      </c>
      <c r="N819" s="1143">
        <f t="shared" si="270"/>
        <v>0</v>
      </c>
      <c r="O819" s="1143">
        <f t="shared" si="270"/>
        <v>0</v>
      </c>
      <c r="P819" s="1143">
        <f t="shared" si="270"/>
        <v>0</v>
      </c>
      <c r="Q819" s="1143">
        <f t="shared" si="270"/>
        <v>0</v>
      </c>
      <c r="R819" s="1143">
        <f t="shared" si="270"/>
        <v>0</v>
      </c>
      <c r="S819" s="1143">
        <f t="shared" si="270"/>
        <v>0</v>
      </c>
      <c r="T819" s="1143">
        <f t="shared" si="270"/>
        <v>0</v>
      </c>
      <c r="U819" s="1143">
        <f t="shared" si="270"/>
        <v>0</v>
      </c>
      <c r="V819" s="1143">
        <f t="shared" si="270"/>
        <v>0</v>
      </c>
      <c r="W819" s="1143">
        <f t="shared" si="270"/>
        <v>0</v>
      </c>
      <c r="X819" s="1143">
        <f t="shared" si="270"/>
        <v>0</v>
      </c>
      <c r="Y819" s="1143">
        <f t="shared" si="270"/>
        <v>0</v>
      </c>
      <c r="Z819" s="1143">
        <f t="shared" si="270"/>
        <v>0</v>
      </c>
      <c r="AA819" s="1143">
        <f t="shared" si="270"/>
        <v>0</v>
      </c>
      <c r="AB819" s="1143">
        <f t="shared" si="270"/>
        <v>0</v>
      </c>
      <c r="AC819" s="1143">
        <f t="shared" si="270"/>
        <v>0</v>
      </c>
      <c r="AD819" s="1143">
        <f t="shared" si="270"/>
        <v>0</v>
      </c>
      <c r="AE819" s="1143">
        <f t="shared" si="270"/>
        <v>0</v>
      </c>
      <c r="AF819" s="1143">
        <f t="shared" si="270"/>
        <v>0</v>
      </c>
      <c r="AG819" s="1143">
        <f t="shared" si="270"/>
        <v>0</v>
      </c>
      <c r="AH819" s="1143">
        <f t="shared" si="270"/>
        <v>0</v>
      </c>
      <c r="AI819" s="1143">
        <f t="shared" si="270"/>
        <v>0</v>
      </c>
      <c r="AJ819" s="1143">
        <f t="shared" si="270"/>
        <v>0</v>
      </c>
      <c r="AK819" s="1143">
        <f t="shared" si="270"/>
        <v>0</v>
      </c>
      <c r="AL819" s="1143">
        <f t="shared" si="270"/>
        <v>0</v>
      </c>
      <c r="AM819" s="1143">
        <f t="shared" si="270"/>
        <v>0</v>
      </c>
      <c r="AN819" s="1143">
        <f t="shared" si="270"/>
        <v>0</v>
      </c>
      <c r="AO819" s="1143">
        <f t="shared" si="270"/>
        <v>0</v>
      </c>
      <c r="AP819" s="1143">
        <f t="shared" si="270"/>
        <v>0</v>
      </c>
      <c r="AQ819" s="1143">
        <f t="shared" si="270"/>
        <v>0</v>
      </c>
      <c r="AR819" s="1143">
        <f t="shared" si="270"/>
        <v>0</v>
      </c>
      <c r="AS819" s="1143">
        <f t="shared" si="270"/>
        <v>0</v>
      </c>
      <c r="AT819" s="1143">
        <f t="shared" si="270"/>
        <v>0</v>
      </c>
      <c r="AU819" s="1143">
        <f t="shared" si="270"/>
        <v>0</v>
      </c>
      <c r="AV819" s="1143">
        <f t="shared" si="270"/>
        <v>0</v>
      </c>
      <c r="AW819" s="1143">
        <f t="shared" si="270"/>
        <v>0</v>
      </c>
      <c r="AX819" s="1143">
        <f t="shared" si="270"/>
        <v>0</v>
      </c>
      <c r="AY819" s="1143">
        <f t="shared" si="270"/>
        <v>0</v>
      </c>
      <c r="AZ819" s="1143">
        <f t="shared" si="270"/>
        <v>0</v>
      </c>
      <c r="BA819" s="1143">
        <f t="shared" si="270"/>
        <v>0</v>
      </c>
      <c r="BB819" s="1143">
        <f t="shared" si="270"/>
        <v>0</v>
      </c>
      <c r="BC819" s="1143">
        <f t="shared" si="270"/>
        <v>0</v>
      </c>
      <c r="BD819" s="1143">
        <f t="shared" si="270"/>
        <v>0</v>
      </c>
      <c r="BE819" s="1144">
        <f t="shared" si="270"/>
        <v>0</v>
      </c>
      <c r="BF819" s="695"/>
    </row>
    <row r="820" spans="1:58" x14ac:dyDescent="0.45">
      <c r="A820" s="695"/>
      <c r="B820" s="1136"/>
      <c r="C820" s="1137" t="s">
        <v>53</v>
      </c>
      <c r="D820" s="1137"/>
      <c r="E820" s="1137"/>
      <c r="F820" s="1137"/>
      <c r="G820" s="1145"/>
      <c r="H820" s="1143">
        <v>0</v>
      </c>
      <c r="I820" s="1143">
        <v>0</v>
      </c>
      <c r="J820" s="1143">
        <v>0</v>
      </c>
      <c r="K820" s="1143">
        <v>0</v>
      </c>
      <c r="L820" s="1143">
        <v>0</v>
      </c>
      <c r="M820" s="1143">
        <v>0</v>
      </c>
      <c r="N820" s="1143">
        <v>0</v>
      </c>
      <c r="O820" s="1143">
        <v>0</v>
      </c>
      <c r="P820" s="1143">
        <v>0</v>
      </c>
      <c r="Q820" s="1143">
        <v>0</v>
      </c>
      <c r="R820" s="1143">
        <v>0</v>
      </c>
      <c r="S820" s="1143">
        <v>0</v>
      </c>
      <c r="T820" s="1143">
        <v>0</v>
      </c>
      <c r="U820" s="1143">
        <v>0</v>
      </c>
      <c r="V820" s="1143">
        <v>0</v>
      </c>
      <c r="W820" s="1143">
        <v>0</v>
      </c>
      <c r="X820" s="1143">
        <v>0</v>
      </c>
      <c r="Y820" s="1143">
        <v>0</v>
      </c>
      <c r="Z820" s="1143">
        <v>0</v>
      </c>
      <c r="AA820" s="1143">
        <v>0</v>
      </c>
      <c r="AB820" s="1143">
        <v>0</v>
      </c>
      <c r="AC820" s="1143">
        <v>0</v>
      </c>
      <c r="AD820" s="1143">
        <v>0</v>
      </c>
      <c r="AE820" s="1143">
        <v>0</v>
      </c>
      <c r="AF820" s="1143">
        <v>0</v>
      </c>
      <c r="AG820" s="1143">
        <v>0</v>
      </c>
      <c r="AH820" s="1143">
        <v>0</v>
      </c>
      <c r="AI820" s="1143">
        <v>0</v>
      </c>
      <c r="AJ820" s="1143">
        <v>0</v>
      </c>
      <c r="AK820" s="1143">
        <v>0</v>
      </c>
      <c r="AL820" s="1143">
        <v>0</v>
      </c>
      <c r="AM820" s="1143">
        <v>0</v>
      </c>
      <c r="AN820" s="1143">
        <v>0</v>
      </c>
      <c r="AO820" s="1143">
        <v>0</v>
      </c>
      <c r="AP820" s="1143">
        <v>0</v>
      </c>
      <c r="AQ820" s="1143">
        <v>0</v>
      </c>
      <c r="AR820" s="1143">
        <v>0</v>
      </c>
      <c r="AS820" s="1143">
        <v>0</v>
      </c>
      <c r="AT820" s="1143">
        <v>0</v>
      </c>
      <c r="AU820" s="1143">
        <v>0</v>
      </c>
      <c r="AV820" s="1143">
        <v>0</v>
      </c>
      <c r="AW820" s="1143">
        <v>0</v>
      </c>
      <c r="AX820" s="1143">
        <v>0</v>
      </c>
      <c r="AY820" s="1143">
        <v>0</v>
      </c>
      <c r="AZ820" s="1143">
        <v>0</v>
      </c>
      <c r="BA820" s="1143">
        <v>0</v>
      </c>
      <c r="BB820" s="1143">
        <v>0</v>
      </c>
      <c r="BC820" s="1143">
        <v>0</v>
      </c>
      <c r="BD820" s="1143">
        <v>0</v>
      </c>
      <c r="BE820" s="1144">
        <v>0</v>
      </c>
      <c r="BF820" s="695"/>
    </row>
    <row r="821" spans="1:58" x14ac:dyDescent="0.45">
      <c r="A821" s="695"/>
      <c r="B821" s="1136"/>
      <c r="C821" s="1137"/>
      <c r="D821" s="1137"/>
      <c r="E821" s="1137"/>
      <c r="F821" s="1137"/>
      <c r="G821" s="1137"/>
      <c r="H821" s="1137"/>
      <c r="I821" s="1137"/>
      <c r="J821" s="1137"/>
      <c r="K821" s="1137"/>
      <c r="L821" s="1137"/>
      <c r="M821" s="1137"/>
      <c r="N821" s="1137"/>
      <c r="O821" s="1137"/>
      <c r="P821" s="1137"/>
      <c r="Q821" s="1137"/>
      <c r="R821" s="1137"/>
      <c r="S821" s="1137"/>
      <c r="T821" s="1137"/>
      <c r="U821" s="1137"/>
      <c r="V821" s="1137"/>
      <c r="W821" s="1137"/>
      <c r="X821" s="1137"/>
      <c r="Y821" s="1137"/>
      <c r="Z821" s="1137"/>
      <c r="AA821" s="1137"/>
      <c r="AB821" s="1137"/>
      <c r="AC821" s="1137"/>
      <c r="AD821" s="1137"/>
      <c r="AE821" s="1137"/>
      <c r="AF821" s="1137"/>
      <c r="AG821" s="1137"/>
      <c r="AH821" s="1137"/>
      <c r="AI821" s="1137"/>
      <c r="AJ821" s="1137"/>
      <c r="AK821" s="1137"/>
      <c r="AL821" s="1137"/>
      <c r="AM821" s="1137"/>
      <c r="AN821" s="1137"/>
      <c r="AO821" s="1137"/>
      <c r="AP821" s="1137"/>
      <c r="AQ821" s="1137"/>
      <c r="AR821" s="1137"/>
      <c r="AS821" s="1137"/>
      <c r="AT821" s="1137"/>
      <c r="AU821" s="1137"/>
      <c r="AV821" s="1137"/>
      <c r="AW821" s="1137"/>
      <c r="AX821" s="1137"/>
      <c r="AY821" s="1137"/>
      <c r="AZ821" s="1137"/>
      <c r="BA821" s="1137"/>
      <c r="BB821" s="1137"/>
      <c r="BC821" s="1137"/>
      <c r="BD821" s="1137"/>
      <c r="BE821" s="1138"/>
      <c r="BF821" s="695"/>
    </row>
    <row r="822" spans="1:58" ht="13.15" x14ac:dyDescent="0.45">
      <c r="A822" s="695"/>
      <c r="B822" s="1136"/>
      <c r="C822" s="1137"/>
      <c r="D822" s="1137"/>
      <c r="E822" s="1137"/>
      <c r="F822" s="1146" t="s">
        <v>54</v>
      </c>
      <c r="G822" s="1146" t="s">
        <v>55</v>
      </c>
      <c r="H822" s="1137"/>
      <c r="I822" s="1137"/>
      <c r="J822" s="1137"/>
      <c r="K822" s="1137"/>
      <c r="L822" s="1137"/>
      <c r="M822" s="1137"/>
      <c r="N822" s="1137"/>
      <c r="O822" s="1137"/>
      <c r="P822" s="1137"/>
      <c r="Q822" s="1137"/>
      <c r="R822" s="1137"/>
      <c r="S822" s="1137"/>
      <c r="T822" s="1137"/>
      <c r="U822" s="1137"/>
      <c r="V822" s="1137"/>
      <c r="W822" s="1137"/>
      <c r="X822" s="1137"/>
      <c r="Y822" s="1137"/>
      <c r="Z822" s="1137"/>
      <c r="AA822" s="1137"/>
      <c r="AB822" s="1137"/>
      <c r="AC822" s="1137"/>
      <c r="AD822" s="1137"/>
      <c r="AE822" s="1137"/>
      <c r="AF822" s="1137"/>
      <c r="AG822" s="1137"/>
      <c r="AH822" s="1137"/>
      <c r="AI822" s="1137"/>
      <c r="AJ822" s="1137"/>
      <c r="AK822" s="1137"/>
      <c r="AL822" s="1137"/>
      <c r="AM822" s="1137"/>
      <c r="AN822" s="1137"/>
      <c r="AO822" s="1137"/>
      <c r="AP822" s="1137"/>
      <c r="AQ822" s="1137"/>
      <c r="AR822" s="1137"/>
      <c r="AS822" s="1137"/>
      <c r="AT822" s="1137"/>
      <c r="AU822" s="1137"/>
      <c r="AV822" s="1137"/>
      <c r="AW822" s="1137"/>
      <c r="AX822" s="1137"/>
      <c r="AY822" s="1137"/>
      <c r="AZ822" s="1137"/>
      <c r="BA822" s="1137"/>
      <c r="BB822" s="1137"/>
      <c r="BC822" s="1137"/>
      <c r="BD822" s="1137"/>
      <c r="BE822" s="1138"/>
      <c r="BF822" s="695"/>
    </row>
    <row r="823" spans="1:58" x14ac:dyDescent="0.45">
      <c r="A823" s="695"/>
      <c r="B823" s="1136"/>
      <c r="C823" s="1137" t="s">
        <v>50</v>
      </c>
      <c r="D823" s="1137"/>
      <c r="E823" s="1137"/>
      <c r="F823" s="1143">
        <f>'II. Inputs, Baseline Energy Mix'!$R$122</f>
        <v>1</v>
      </c>
      <c r="G823" s="1620">
        <f>IF('II. Inputs, Baseline Energy Mix'!$R$19&gt;0, F823*'II. Inputs, Baseline Energy Mix'!$R$20*'II. Inputs, Baseline Energy Mix'!$R$21,0)</f>
        <v>0</v>
      </c>
      <c r="H823" s="1620">
        <f>$G$823*H819</f>
        <v>0</v>
      </c>
      <c r="I823" s="1620">
        <f t="shared" ref="I823:BE823" si="271">$G$823*I819</f>
        <v>0</v>
      </c>
      <c r="J823" s="1620">
        <f t="shared" si="271"/>
        <v>0</v>
      </c>
      <c r="K823" s="1620">
        <f t="shared" si="271"/>
        <v>0</v>
      </c>
      <c r="L823" s="1620">
        <f t="shared" si="271"/>
        <v>0</v>
      </c>
      <c r="M823" s="1620">
        <f t="shared" si="271"/>
        <v>0</v>
      </c>
      <c r="N823" s="1620">
        <f t="shared" si="271"/>
        <v>0</v>
      </c>
      <c r="O823" s="1620">
        <f t="shared" si="271"/>
        <v>0</v>
      </c>
      <c r="P823" s="1620">
        <f t="shared" si="271"/>
        <v>0</v>
      </c>
      <c r="Q823" s="1620">
        <f t="shared" si="271"/>
        <v>0</v>
      </c>
      <c r="R823" s="1620">
        <f t="shared" si="271"/>
        <v>0</v>
      </c>
      <c r="S823" s="1620">
        <f t="shared" si="271"/>
        <v>0</v>
      </c>
      <c r="T823" s="1620">
        <f t="shared" si="271"/>
        <v>0</v>
      </c>
      <c r="U823" s="1620">
        <f t="shared" si="271"/>
        <v>0</v>
      </c>
      <c r="V823" s="1620">
        <f t="shared" si="271"/>
        <v>0</v>
      </c>
      <c r="W823" s="1620">
        <f t="shared" si="271"/>
        <v>0</v>
      </c>
      <c r="X823" s="1620">
        <f t="shared" si="271"/>
        <v>0</v>
      </c>
      <c r="Y823" s="1620">
        <f t="shared" si="271"/>
        <v>0</v>
      </c>
      <c r="Z823" s="1620">
        <f t="shared" si="271"/>
        <v>0</v>
      </c>
      <c r="AA823" s="1620">
        <f t="shared" si="271"/>
        <v>0</v>
      </c>
      <c r="AB823" s="1620">
        <f t="shared" si="271"/>
        <v>0</v>
      </c>
      <c r="AC823" s="1620">
        <f t="shared" si="271"/>
        <v>0</v>
      </c>
      <c r="AD823" s="1620">
        <f t="shared" si="271"/>
        <v>0</v>
      </c>
      <c r="AE823" s="1620">
        <f t="shared" si="271"/>
        <v>0</v>
      </c>
      <c r="AF823" s="1620">
        <f t="shared" si="271"/>
        <v>0</v>
      </c>
      <c r="AG823" s="1620">
        <f t="shared" si="271"/>
        <v>0</v>
      </c>
      <c r="AH823" s="1620">
        <f t="shared" si="271"/>
        <v>0</v>
      </c>
      <c r="AI823" s="1620">
        <f t="shared" si="271"/>
        <v>0</v>
      </c>
      <c r="AJ823" s="1620">
        <f t="shared" si="271"/>
        <v>0</v>
      </c>
      <c r="AK823" s="1620">
        <f t="shared" si="271"/>
        <v>0</v>
      </c>
      <c r="AL823" s="1620">
        <f t="shared" si="271"/>
        <v>0</v>
      </c>
      <c r="AM823" s="1620">
        <f t="shared" si="271"/>
        <v>0</v>
      </c>
      <c r="AN823" s="1620">
        <f t="shared" si="271"/>
        <v>0</v>
      </c>
      <c r="AO823" s="1620">
        <f t="shared" si="271"/>
        <v>0</v>
      </c>
      <c r="AP823" s="1620">
        <f t="shared" si="271"/>
        <v>0</v>
      </c>
      <c r="AQ823" s="1620">
        <f t="shared" si="271"/>
        <v>0</v>
      </c>
      <c r="AR823" s="1620">
        <f t="shared" si="271"/>
        <v>0</v>
      </c>
      <c r="AS823" s="1620">
        <f t="shared" si="271"/>
        <v>0</v>
      </c>
      <c r="AT823" s="1620">
        <f t="shared" si="271"/>
        <v>0</v>
      </c>
      <c r="AU823" s="1620">
        <f t="shared" si="271"/>
        <v>0</v>
      </c>
      <c r="AV823" s="1620">
        <f t="shared" si="271"/>
        <v>0</v>
      </c>
      <c r="AW823" s="1620">
        <f t="shared" si="271"/>
        <v>0</v>
      </c>
      <c r="AX823" s="1620">
        <f t="shared" si="271"/>
        <v>0</v>
      </c>
      <c r="AY823" s="1620">
        <f t="shared" si="271"/>
        <v>0</v>
      </c>
      <c r="AZ823" s="1620">
        <f t="shared" si="271"/>
        <v>0</v>
      </c>
      <c r="BA823" s="1620">
        <f t="shared" si="271"/>
        <v>0</v>
      </c>
      <c r="BB823" s="1620">
        <f t="shared" si="271"/>
        <v>0</v>
      </c>
      <c r="BC823" s="1620">
        <f t="shared" si="271"/>
        <v>0</v>
      </c>
      <c r="BD823" s="1620">
        <f t="shared" si="271"/>
        <v>0</v>
      </c>
      <c r="BE823" s="1621">
        <f t="shared" si="271"/>
        <v>0</v>
      </c>
      <c r="BF823" s="695"/>
    </row>
    <row r="824" spans="1:58" x14ac:dyDescent="0.45">
      <c r="A824" s="695"/>
      <c r="B824" s="1136"/>
      <c r="C824" s="1147" t="s">
        <v>16</v>
      </c>
      <c r="D824" s="1147"/>
      <c r="E824" s="1147"/>
      <c r="F824" s="1148">
        <f>'II. Inputs, Baseline Energy Mix'!$R$123</f>
        <v>0</v>
      </c>
      <c r="G824" s="1622">
        <f>IF('II. Inputs, Baseline Energy Mix'!$R$19&gt;0, F824*'II. Inputs, Baseline Energy Mix'!$R$20*'II. Inputs, Baseline Energy Mix'!$R$21,0)</f>
        <v>0</v>
      </c>
      <c r="H824" s="1622">
        <f>$G$824*H820</f>
        <v>0</v>
      </c>
      <c r="I824" s="1622">
        <f t="shared" ref="I824:BE824" si="272">$G$824*I820</f>
        <v>0</v>
      </c>
      <c r="J824" s="1622">
        <f t="shared" si="272"/>
        <v>0</v>
      </c>
      <c r="K824" s="1622">
        <f t="shared" si="272"/>
        <v>0</v>
      </c>
      <c r="L824" s="1622">
        <f t="shared" si="272"/>
        <v>0</v>
      </c>
      <c r="M824" s="1622">
        <f t="shared" si="272"/>
        <v>0</v>
      </c>
      <c r="N824" s="1622">
        <f t="shared" si="272"/>
        <v>0</v>
      </c>
      <c r="O824" s="1622">
        <f t="shared" si="272"/>
        <v>0</v>
      </c>
      <c r="P824" s="1622">
        <f t="shared" si="272"/>
        <v>0</v>
      </c>
      <c r="Q824" s="1622">
        <f t="shared" si="272"/>
        <v>0</v>
      </c>
      <c r="R824" s="1622">
        <f t="shared" si="272"/>
        <v>0</v>
      </c>
      <c r="S824" s="1622">
        <f t="shared" si="272"/>
        <v>0</v>
      </c>
      <c r="T824" s="1622">
        <f t="shared" si="272"/>
        <v>0</v>
      </c>
      <c r="U824" s="1622">
        <f t="shared" si="272"/>
        <v>0</v>
      </c>
      <c r="V824" s="1622">
        <f t="shared" si="272"/>
        <v>0</v>
      </c>
      <c r="W824" s="1622">
        <f t="shared" si="272"/>
        <v>0</v>
      </c>
      <c r="X824" s="1622">
        <f t="shared" si="272"/>
        <v>0</v>
      </c>
      <c r="Y824" s="1622">
        <f t="shared" si="272"/>
        <v>0</v>
      </c>
      <c r="Z824" s="1622">
        <f t="shared" si="272"/>
        <v>0</v>
      </c>
      <c r="AA824" s="1622">
        <f t="shared" si="272"/>
        <v>0</v>
      </c>
      <c r="AB824" s="1622">
        <f t="shared" si="272"/>
        <v>0</v>
      </c>
      <c r="AC824" s="1622">
        <f t="shared" si="272"/>
        <v>0</v>
      </c>
      <c r="AD824" s="1622">
        <f t="shared" si="272"/>
        <v>0</v>
      </c>
      <c r="AE824" s="1622">
        <f t="shared" si="272"/>
        <v>0</v>
      </c>
      <c r="AF824" s="1622">
        <f t="shared" si="272"/>
        <v>0</v>
      </c>
      <c r="AG824" s="1622">
        <f t="shared" si="272"/>
        <v>0</v>
      </c>
      <c r="AH824" s="1622">
        <f t="shared" si="272"/>
        <v>0</v>
      </c>
      <c r="AI824" s="1622">
        <f t="shared" si="272"/>
        <v>0</v>
      </c>
      <c r="AJ824" s="1622">
        <f t="shared" si="272"/>
        <v>0</v>
      </c>
      <c r="AK824" s="1622">
        <f t="shared" si="272"/>
        <v>0</v>
      </c>
      <c r="AL824" s="1622">
        <f t="shared" si="272"/>
        <v>0</v>
      </c>
      <c r="AM824" s="1622">
        <f t="shared" si="272"/>
        <v>0</v>
      </c>
      <c r="AN824" s="1622">
        <f t="shared" si="272"/>
        <v>0</v>
      </c>
      <c r="AO824" s="1622">
        <f t="shared" si="272"/>
        <v>0</v>
      </c>
      <c r="AP824" s="1622">
        <f t="shared" si="272"/>
        <v>0</v>
      </c>
      <c r="AQ824" s="1622">
        <f t="shared" si="272"/>
        <v>0</v>
      </c>
      <c r="AR824" s="1622">
        <f t="shared" si="272"/>
        <v>0</v>
      </c>
      <c r="AS824" s="1622">
        <f t="shared" si="272"/>
        <v>0</v>
      </c>
      <c r="AT824" s="1622">
        <f t="shared" si="272"/>
        <v>0</v>
      </c>
      <c r="AU824" s="1622">
        <f t="shared" si="272"/>
        <v>0</v>
      </c>
      <c r="AV824" s="1622">
        <f t="shared" si="272"/>
        <v>0</v>
      </c>
      <c r="AW824" s="1622">
        <f t="shared" si="272"/>
        <v>0</v>
      </c>
      <c r="AX824" s="1622">
        <f t="shared" si="272"/>
        <v>0</v>
      </c>
      <c r="AY824" s="1622">
        <f t="shared" si="272"/>
        <v>0</v>
      </c>
      <c r="AZ824" s="1622">
        <f t="shared" si="272"/>
        <v>0</v>
      </c>
      <c r="BA824" s="1622">
        <f t="shared" si="272"/>
        <v>0</v>
      </c>
      <c r="BB824" s="1622">
        <f t="shared" si="272"/>
        <v>0</v>
      </c>
      <c r="BC824" s="1622">
        <f t="shared" si="272"/>
        <v>0</v>
      </c>
      <c r="BD824" s="1622">
        <f t="shared" si="272"/>
        <v>0</v>
      </c>
      <c r="BE824" s="1623">
        <f t="shared" si="272"/>
        <v>0</v>
      </c>
      <c r="BF824" s="695"/>
    </row>
    <row r="825" spans="1:58" x14ac:dyDescent="0.45">
      <c r="A825" s="695"/>
      <c r="B825" s="1136"/>
      <c r="C825" s="1137" t="s">
        <v>56</v>
      </c>
      <c r="D825" s="1137"/>
      <c r="E825" s="1137"/>
      <c r="F825" s="1137"/>
      <c r="G825" s="1620">
        <f>G823+G824</f>
        <v>0</v>
      </c>
      <c r="H825" s="1620">
        <f>H823+H824</f>
        <v>0</v>
      </c>
      <c r="I825" s="1620">
        <f t="shared" ref="I825:BE825" si="273">I823+I824</f>
        <v>0</v>
      </c>
      <c r="J825" s="1620">
        <f t="shared" si="273"/>
        <v>0</v>
      </c>
      <c r="K825" s="1620">
        <f t="shared" si="273"/>
        <v>0</v>
      </c>
      <c r="L825" s="1620">
        <f t="shared" si="273"/>
        <v>0</v>
      </c>
      <c r="M825" s="1620">
        <f t="shared" si="273"/>
        <v>0</v>
      </c>
      <c r="N825" s="1620">
        <f t="shared" si="273"/>
        <v>0</v>
      </c>
      <c r="O825" s="1620">
        <f t="shared" si="273"/>
        <v>0</v>
      </c>
      <c r="P825" s="1620">
        <f t="shared" si="273"/>
        <v>0</v>
      </c>
      <c r="Q825" s="1620">
        <f t="shared" si="273"/>
        <v>0</v>
      </c>
      <c r="R825" s="1620">
        <f t="shared" si="273"/>
        <v>0</v>
      </c>
      <c r="S825" s="1620">
        <f t="shared" si="273"/>
        <v>0</v>
      </c>
      <c r="T825" s="1620">
        <f t="shared" si="273"/>
        <v>0</v>
      </c>
      <c r="U825" s="1620">
        <f t="shared" si="273"/>
        <v>0</v>
      </c>
      <c r="V825" s="1620">
        <f t="shared" si="273"/>
        <v>0</v>
      </c>
      <c r="W825" s="1620">
        <f t="shared" si="273"/>
        <v>0</v>
      </c>
      <c r="X825" s="1620">
        <f t="shared" si="273"/>
        <v>0</v>
      </c>
      <c r="Y825" s="1620">
        <f t="shared" si="273"/>
        <v>0</v>
      </c>
      <c r="Z825" s="1620">
        <f t="shared" si="273"/>
        <v>0</v>
      </c>
      <c r="AA825" s="1620">
        <f t="shared" si="273"/>
        <v>0</v>
      </c>
      <c r="AB825" s="1620">
        <f t="shared" si="273"/>
        <v>0</v>
      </c>
      <c r="AC825" s="1620">
        <f t="shared" si="273"/>
        <v>0</v>
      </c>
      <c r="AD825" s="1620">
        <f t="shared" si="273"/>
        <v>0</v>
      </c>
      <c r="AE825" s="1620">
        <f t="shared" si="273"/>
        <v>0</v>
      </c>
      <c r="AF825" s="1620">
        <f t="shared" si="273"/>
        <v>0</v>
      </c>
      <c r="AG825" s="1620">
        <f t="shared" si="273"/>
        <v>0</v>
      </c>
      <c r="AH825" s="1620">
        <f t="shared" si="273"/>
        <v>0</v>
      </c>
      <c r="AI825" s="1620">
        <f t="shared" si="273"/>
        <v>0</v>
      </c>
      <c r="AJ825" s="1620">
        <f t="shared" si="273"/>
        <v>0</v>
      </c>
      <c r="AK825" s="1620">
        <f t="shared" si="273"/>
        <v>0</v>
      </c>
      <c r="AL825" s="1620">
        <f t="shared" si="273"/>
        <v>0</v>
      </c>
      <c r="AM825" s="1620">
        <f t="shared" si="273"/>
        <v>0</v>
      </c>
      <c r="AN825" s="1620">
        <f t="shared" si="273"/>
        <v>0</v>
      </c>
      <c r="AO825" s="1620">
        <f t="shared" si="273"/>
        <v>0</v>
      </c>
      <c r="AP825" s="1620">
        <f t="shared" si="273"/>
        <v>0</v>
      </c>
      <c r="AQ825" s="1620">
        <f t="shared" si="273"/>
        <v>0</v>
      </c>
      <c r="AR825" s="1620">
        <f t="shared" si="273"/>
        <v>0</v>
      </c>
      <c r="AS825" s="1620">
        <f t="shared" si="273"/>
        <v>0</v>
      </c>
      <c r="AT825" s="1620">
        <f t="shared" si="273"/>
        <v>0</v>
      </c>
      <c r="AU825" s="1620">
        <f t="shared" si="273"/>
        <v>0</v>
      </c>
      <c r="AV825" s="1620">
        <f t="shared" si="273"/>
        <v>0</v>
      </c>
      <c r="AW825" s="1620">
        <f t="shared" si="273"/>
        <v>0</v>
      </c>
      <c r="AX825" s="1620">
        <f t="shared" si="273"/>
        <v>0</v>
      </c>
      <c r="AY825" s="1620">
        <f t="shared" si="273"/>
        <v>0</v>
      </c>
      <c r="AZ825" s="1620">
        <f t="shared" si="273"/>
        <v>0</v>
      </c>
      <c r="BA825" s="1620">
        <f t="shared" si="273"/>
        <v>0</v>
      </c>
      <c r="BB825" s="1620">
        <f t="shared" si="273"/>
        <v>0</v>
      </c>
      <c r="BC825" s="1620">
        <f t="shared" si="273"/>
        <v>0</v>
      </c>
      <c r="BD825" s="1620">
        <f t="shared" si="273"/>
        <v>0</v>
      </c>
      <c r="BE825" s="1621">
        <f t="shared" si="273"/>
        <v>0</v>
      </c>
      <c r="BF825" s="695"/>
    </row>
    <row r="826" spans="1:58" x14ac:dyDescent="0.45">
      <c r="A826" s="695"/>
      <c r="B826" s="1136"/>
      <c r="C826" s="1137"/>
      <c r="D826" s="1137"/>
      <c r="E826" s="1137"/>
      <c r="F826" s="1137"/>
      <c r="G826" s="1137"/>
      <c r="H826" s="1137"/>
      <c r="I826" s="1137"/>
      <c r="J826" s="1137"/>
      <c r="K826" s="1137"/>
      <c r="L826" s="1137"/>
      <c r="M826" s="1137"/>
      <c r="N826" s="1137"/>
      <c r="O826" s="1137"/>
      <c r="P826" s="1137"/>
      <c r="Q826" s="1137"/>
      <c r="R826" s="1137"/>
      <c r="S826" s="1137"/>
      <c r="T826" s="1137"/>
      <c r="U826" s="1137"/>
      <c r="V826" s="1137"/>
      <c r="W826" s="1137"/>
      <c r="X826" s="1137"/>
      <c r="Y826" s="1137"/>
      <c r="Z826" s="1137"/>
      <c r="AA826" s="1137"/>
      <c r="AB826" s="1137"/>
      <c r="AC826" s="1137"/>
      <c r="AD826" s="1137"/>
      <c r="AE826" s="1137"/>
      <c r="AF826" s="1137"/>
      <c r="AG826" s="1137"/>
      <c r="AH826" s="1137"/>
      <c r="AI826" s="1137"/>
      <c r="AJ826" s="1137"/>
      <c r="AK826" s="1137"/>
      <c r="AL826" s="1137"/>
      <c r="AM826" s="1137"/>
      <c r="AN826" s="1137"/>
      <c r="AO826" s="1137"/>
      <c r="AP826" s="1137"/>
      <c r="AQ826" s="1137"/>
      <c r="AR826" s="1137"/>
      <c r="AS826" s="1137"/>
      <c r="AT826" s="1137"/>
      <c r="AU826" s="1137"/>
      <c r="AV826" s="1137"/>
      <c r="AW826" s="1137"/>
      <c r="AX826" s="1137"/>
      <c r="AY826" s="1137"/>
      <c r="AZ826" s="1137"/>
      <c r="BA826" s="1137"/>
      <c r="BB826" s="1137"/>
      <c r="BC826" s="1137"/>
      <c r="BD826" s="1137"/>
      <c r="BE826" s="1138"/>
      <c r="BF826" s="695"/>
    </row>
    <row r="827" spans="1:58" x14ac:dyDescent="0.45">
      <c r="A827" s="695"/>
      <c r="B827" s="1149"/>
      <c r="C827" s="1147"/>
      <c r="D827" s="1147"/>
      <c r="E827" s="1147"/>
      <c r="F827" s="1147"/>
      <c r="G827" s="1147"/>
      <c r="H827" s="1147"/>
      <c r="I827" s="1147"/>
      <c r="J827" s="1147"/>
      <c r="K827" s="1147"/>
      <c r="L827" s="1147"/>
      <c r="M827" s="1147"/>
      <c r="N827" s="1147"/>
      <c r="O827" s="1147"/>
      <c r="P827" s="1147"/>
      <c r="Q827" s="1147"/>
      <c r="R827" s="1147"/>
      <c r="S827" s="1147"/>
      <c r="T827" s="1147"/>
      <c r="U827" s="1147"/>
      <c r="V827" s="1147"/>
      <c r="W827" s="1147"/>
      <c r="X827" s="1147"/>
      <c r="Y827" s="1147"/>
      <c r="Z827" s="1147"/>
      <c r="AA827" s="1147"/>
      <c r="AB827" s="1147"/>
      <c r="AC827" s="1147"/>
      <c r="AD827" s="1147"/>
      <c r="AE827" s="1147"/>
      <c r="AF827" s="1147"/>
      <c r="AG827" s="1147"/>
      <c r="AH827" s="1147"/>
      <c r="AI827" s="1147"/>
      <c r="AJ827" s="1147"/>
      <c r="AK827" s="1147"/>
      <c r="AL827" s="1147"/>
      <c r="AM827" s="1147"/>
      <c r="AN827" s="1147"/>
      <c r="AO827" s="1147"/>
      <c r="AP827" s="1147"/>
      <c r="AQ827" s="1147"/>
      <c r="AR827" s="1147"/>
      <c r="AS827" s="1147"/>
      <c r="AT827" s="1147"/>
      <c r="AU827" s="1147"/>
      <c r="AV827" s="1147"/>
      <c r="AW827" s="1147"/>
      <c r="AX827" s="1147"/>
      <c r="AY827" s="1147"/>
      <c r="AZ827" s="1147"/>
      <c r="BA827" s="1147"/>
      <c r="BB827" s="1147"/>
      <c r="BC827" s="1147"/>
      <c r="BD827" s="1147"/>
      <c r="BE827" s="1150"/>
      <c r="BF827" s="695"/>
    </row>
    <row r="828" spans="1:58" x14ac:dyDescent="0.45">
      <c r="A828" s="695"/>
      <c r="B828" s="695"/>
      <c r="C828" s="695"/>
      <c r="D828" s="695"/>
      <c r="E828" s="695"/>
      <c r="F828" s="695"/>
      <c r="G828" s="695"/>
      <c r="H828" s="695"/>
      <c r="I828" s="695"/>
      <c r="J828" s="695"/>
      <c r="K828" s="695"/>
      <c r="L828" s="695"/>
      <c r="M828" s="695"/>
      <c r="N828" s="695"/>
      <c r="O828" s="695"/>
      <c r="P828" s="695"/>
      <c r="Q828" s="695"/>
      <c r="R828" s="695"/>
      <c r="S828" s="695"/>
      <c r="T828" s="695"/>
      <c r="U828" s="695"/>
      <c r="V828" s="695"/>
      <c r="W828" s="695"/>
      <c r="X828" s="695"/>
      <c r="Y828" s="695"/>
      <c r="Z828" s="695"/>
      <c r="AA828" s="695"/>
      <c r="AB828" s="695"/>
      <c r="AC828" s="695"/>
      <c r="AD828" s="695"/>
      <c r="AE828" s="695"/>
      <c r="AF828" s="695"/>
      <c r="AG828" s="695"/>
      <c r="AH828" s="695"/>
      <c r="AI828" s="695"/>
      <c r="AJ828" s="695"/>
      <c r="AK828" s="695"/>
      <c r="AL828" s="695"/>
      <c r="AM828" s="695"/>
      <c r="AN828" s="695"/>
      <c r="AO828" s="695"/>
      <c r="AP828" s="695"/>
      <c r="AQ828" s="695"/>
      <c r="AR828" s="695"/>
      <c r="AS828" s="695"/>
      <c r="AT828" s="695"/>
      <c r="AU828" s="695"/>
      <c r="AV828" s="695"/>
      <c r="AW828" s="695"/>
      <c r="AX828" s="695"/>
      <c r="AY828" s="695"/>
      <c r="AZ828" s="695"/>
      <c r="BA828" s="695"/>
      <c r="BB828" s="695"/>
      <c r="BC828" s="695"/>
      <c r="BD828" s="695"/>
      <c r="BE828" s="695"/>
      <c r="BF828" s="695"/>
    </row>
    <row r="829" spans="1:58" ht="13.15" x14ac:dyDescent="0.45">
      <c r="A829" s="695"/>
      <c r="B829" s="1151"/>
      <c r="C829" s="1152" t="str">
        <f>'II. Inputs, Baseline Energy Mix'!$S$18</f>
        <v>Technology #6</v>
      </c>
      <c r="D829" s="1153"/>
      <c r="E829" s="1153"/>
      <c r="F829" s="1153"/>
      <c r="G829" s="1153"/>
      <c r="H829" s="1153"/>
      <c r="I829" s="1153"/>
      <c r="J829" s="1153"/>
      <c r="K829" s="1153"/>
      <c r="L829" s="1153"/>
      <c r="M829" s="1153"/>
      <c r="N829" s="1153"/>
      <c r="O829" s="1153"/>
      <c r="P829" s="1153"/>
      <c r="Q829" s="1153"/>
      <c r="R829" s="1153"/>
      <c r="S829" s="1153"/>
      <c r="T829" s="1153"/>
      <c r="U829" s="1153"/>
      <c r="V829" s="1153"/>
      <c r="W829" s="1153"/>
      <c r="X829" s="1153"/>
      <c r="Y829" s="1153"/>
      <c r="Z829" s="1153"/>
      <c r="AA829" s="1153"/>
      <c r="AB829" s="1153"/>
      <c r="AC829" s="1153"/>
      <c r="AD829" s="1153"/>
      <c r="AE829" s="1153"/>
      <c r="AF829" s="1153"/>
      <c r="AG829" s="1153"/>
      <c r="AH829" s="1153"/>
      <c r="AI829" s="1153"/>
      <c r="AJ829" s="1153"/>
      <c r="AK829" s="1153"/>
      <c r="AL829" s="1153"/>
      <c r="AM829" s="1153"/>
      <c r="AN829" s="1153"/>
      <c r="AO829" s="1153"/>
      <c r="AP829" s="1153"/>
      <c r="AQ829" s="1153"/>
      <c r="AR829" s="1153"/>
      <c r="AS829" s="1153"/>
      <c r="AT829" s="1153"/>
      <c r="AU829" s="1153"/>
      <c r="AV829" s="1153"/>
      <c r="AW829" s="1153"/>
      <c r="AX829" s="1153"/>
      <c r="AY829" s="1153"/>
      <c r="AZ829" s="1153"/>
      <c r="BA829" s="1153"/>
      <c r="BB829" s="1153"/>
      <c r="BC829" s="1153"/>
      <c r="BD829" s="1153"/>
      <c r="BE829" s="1154"/>
      <c r="BF829" s="695"/>
    </row>
    <row r="830" spans="1:58" x14ac:dyDescent="0.45">
      <c r="A830" s="695"/>
      <c r="B830" s="1155"/>
      <c r="C830" s="975"/>
      <c r="D830" s="975"/>
      <c r="E830" s="975"/>
      <c r="F830" s="975"/>
      <c r="G830" s="975"/>
      <c r="H830" s="975"/>
      <c r="I830" s="975"/>
      <c r="J830" s="975"/>
      <c r="K830" s="975"/>
      <c r="L830" s="975"/>
      <c r="M830" s="975"/>
      <c r="N830" s="975"/>
      <c r="O830" s="975"/>
      <c r="P830" s="975"/>
      <c r="Q830" s="975"/>
      <c r="R830" s="975"/>
      <c r="S830" s="975"/>
      <c r="T830" s="975"/>
      <c r="U830" s="975"/>
      <c r="V830" s="975"/>
      <c r="W830" s="975"/>
      <c r="X830" s="975"/>
      <c r="Y830" s="975"/>
      <c r="Z830" s="975"/>
      <c r="AA830" s="975"/>
      <c r="AB830" s="975"/>
      <c r="AC830" s="975"/>
      <c r="AD830" s="975"/>
      <c r="AE830" s="975"/>
      <c r="AF830" s="975"/>
      <c r="AG830" s="975"/>
      <c r="AH830" s="975"/>
      <c r="AI830" s="975"/>
      <c r="AJ830" s="975"/>
      <c r="AK830" s="975"/>
      <c r="AL830" s="975"/>
      <c r="AM830" s="975"/>
      <c r="AN830" s="975"/>
      <c r="AO830" s="975"/>
      <c r="AP830" s="975"/>
      <c r="AQ830" s="975"/>
      <c r="AR830" s="975"/>
      <c r="AS830" s="975"/>
      <c r="AT830" s="975"/>
      <c r="AU830" s="975"/>
      <c r="AV830" s="975"/>
      <c r="AW830" s="975"/>
      <c r="AX830" s="975"/>
      <c r="AY830" s="975"/>
      <c r="AZ830" s="975"/>
      <c r="BA830" s="975"/>
      <c r="BB830" s="975"/>
      <c r="BC830" s="975"/>
      <c r="BD830" s="975"/>
      <c r="BE830" s="1156"/>
      <c r="BF830" s="695"/>
    </row>
    <row r="831" spans="1:58" x14ac:dyDescent="0.45">
      <c r="A831" s="695"/>
      <c r="B831" s="1155"/>
      <c r="C831" s="1157" t="s">
        <v>57</v>
      </c>
      <c r="D831" s="1158">
        <f>'II. Inputs, Baseline Energy Mix'!$S$22</f>
        <v>0</v>
      </c>
      <c r="E831" s="1159" t="s">
        <v>18</v>
      </c>
      <c r="F831" s="975"/>
      <c r="G831" s="975"/>
      <c r="H831" s="975"/>
      <c r="I831" s="975"/>
      <c r="J831" s="975"/>
      <c r="K831" s="975"/>
      <c r="L831" s="975"/>
      <c r="M831" s="975"/>
      <c r="N831" s="975"/>
      <c r="O831" s="975"/>
      <c r="P831" s="975"/>
      <c r="Q831" s="975"/>
      <c r="R831" s="975"/>
      <c r="S831" s="975"/>
      <c r="T831" s="975"/>
      <c r="U831" s="975"/>
      <c r="V831" s="975"/>
      <c r="W831" s="975"/>
      <c r="X831" s="975"/>
      <c r="Y831" s="975"/>
      <c r="Z831" s="975"/>
      <c r="AA831" s="975"/>
      <c r="AB831" s="975"/>
      <c r="AC831" s="975"/>
      <c r="AD831" s="975"/>
      <c r="AE831" s="975"/>
      <c r="AF831" s="975"/>
      <c r="AG831" s="975"/>
      <c r="AH831" s="975"/>
      <c r="AI831" s="975"/>
      <c r="AJ831" s="975"/>
      <c r="AK831" s="975"/>
      <c r="AL831" s="975"/>
      <c r="AM831" s="975"/>
      <c r="AN831" s="975"/>
      <c r="AO831" s="975"/>
      <c r="AP831" s="975"/>
      <c r="AQ831" s="975"/>
      <c r="AR831" s="975"/>
      <c r="AS831" s="975"/>
      <c r="AT831" s="975"/>
      <c r="AU831" s="975"/>
      <c r="AV831" s="975"/>
      <c r="AW831" s="975"/>
      <c r="AX831" s="975"/>
      <c r="AY831" s="975"/>
      <c r="AZ831" s="975"/>
      <c r="BA831" s="975"/>
      <c r="BB831" s="975"/>
      <c r="BC831" s="975"/>
      <c r="BD831" s="975"/>
      <c r="BE831" s="1156"/>
      <c r="BF831" s="695"/>
    </row>
    <row r="832" spans="1:58" x14ac:dyDescent="0.45">
      <c r="A832" s="695"/>
      <c r="B832" s="1155"/>
      <c r="C832" s="975"/>
      <c r="D832" s="975"/>
      <c r="E832" s="975"/>
      <c r="F832" s="975"/>
      <c r="G832" s="975"/>
      <c r="H832" s="975"/>
      <c r="I832" s="975"/>
      <c r="J832" s="975"/>
      <c r="K832" s="975"/>
      <c r="L832" s="975"/>
      <c r="M832" s="975"/>
      <c r="N832" s="975"/>
      <c r="O832" s="975"/>
      <c r="P832" s="975"/>
      <c r="Q832" s="975"/>
      <c r="R832" s="975"/>
      <c r="S832" s="975"/>
      <c r="T832" s="975"/>
      <c r="U832" s="975"/>
      <c r="V832" s="975"/>
      <c r="W832" s="975"/>
      <c r="X832" s="975"/>
      <c r="Y832" s="975"/>
      <c r="Z832" s="975"/>
      <c r="AA832" s="975"/>
      <c r="AB832" s="975"/>
      <c r="AC832" s="975"/>
      <c r="AD832" s="975"/>
      <c r="AE832" s="975"/>
      <c r="AF832" s="975"/>
      <c r="AG832" s="975"/>
      <c r="AH832" s="975"/>
      <c r="AI832" s="975"/>
      <c r="AJ832" s="975"/>
      <c r="AK832" s="975"/>
      <c r="AL832" s="975"/>
      <c r="AM832" s="975"/>
      <c r="AN832" s="975"/>
      <c r="AO832" s="975"/>
      <c r="AP832" s="975"/>
      <c r="AQ832" s="975"/>
      <c r="AR832" s="975"/>
      <c r="AS832" s="975"/>
      <c r="AT832" s="975"/>
      <c r="AU832" s="975"/>
      <c r="AV832" s="975"/>
      <c r="AW832" s="975"/>
      <c r="AX832" s="975"/>
      <c r="AY832" s="975"/>
      <c r="AZ832" s="975"/>
      <c r="BA832" s="975"/>
      <c r="BB832" s="975"/>
      <c r="BC832" s="975"/>
      <c r="BD832" s="975"/>
      <c r="BE832" s="1156"/>
      <c r="BF832" s="695"/>
    </row>
    <row r="833" spans="1:58" x14ac:dyDescent="0.45">
      <c r="A833" s="695"/>
      <c r="B833" s="1155"/>
      <c r="C833" s="975" t="s">
        <v>52</v>
      </c>
      <c r="D833" s="975"/>
      <c r="E833" s="975"/>
      <c r="F833" s="975"/>
      <c r="G833" s="1160"/>
      <c r="H833" s="1161">
        <f>IF(H$757&gt;$D$831,0,1/$D$831)</f>
        <v>0</v>
      </c>
      <c r="I833" s="1161">
        <f t="shared" ref="I833:BE833" si="274">IF(I$757&gt;$D$831,0,1/$D$831)</f>
        <v>0</v>
      </c>
      <c r="J833" s="1161">
        <f t="shared" si="274"/>
        <v>0</v>
      </c>
      <c r="K833" s="1161">
        <f t="shared" si="274"/>
        <v>0</v>
      </c>
      <c r="L833" s="1161">
        <f t="shared" si="274"/>
        <v>0</v>
      </c>
      <c r="M833" s="1161">
        <f t="shared" si="274"/>
        <v>0</v>
      </c>
      <c r="N833" s="1161">
        <f t="shared" si="274"/>
        <v>0</v>
      </c>
      <c r="O833" s="1161">
        <f t="shared" si="274"/>
        <v>0</v>
      </c>
      <c r="P833" s="1161">
        <f t="shared" si="274"/>
        <v>0</v>
      </c>
      <c r="Q833" s="1161">
        <f t="shared" si="274"/>
        <v>0</v>
      </c>
      <c r="R833" s="1161">
        <f t="shared" si="274"/>
        <v>0</v>
      </c>
      <c r="S833" s="1161">
        <f t="shared" si="274"/>
        <v>0</v>
      </c>
      <c r="T833" s="1161">
        <f t="shared" si="274"/>
        <v>0</v>
      </c>
      <c r="U833" s="1161">
        <f t="shared" si="274"/>
        <v>0</v>
      </c>
      <c r="V833" s="1161">
        <f t="shared" si="274"/>
        <v>0</v>
      </c>
      <c r="W833" s="1161">
        <f t="shared" si="274"/>
        <v>0</v>
      </c>
      <c r="X833" s="1161">
        <f t="shared" si="274"/>
        <v>0</v>
      </c>
      <c r="Y833" s="1161">
        <f t="shared" si="274"/>
        <v>0</v>
      </c>
      <c r="Z833" s="1161">
        <f t="shared" si="274"/>
        <v>0</v>
      </c>
      <c r="AA833" s="1161">
        <f t="shared" si="274"/>
        <v>0</v>
      </c>
      <c r="AB833" s="1161">
        <f t="shared" si="274"/>
        <v>0</v>
      </c>
      <c r="AC833" s="1161">
        <f t="shared" si="274"/>
        <v>0</v>
      </c>
      <c r="AD833" s="1161">
        <f t="shared" si="274"/>
        <v>0</v>
      </c>
      <c r="AE833" s="1161">
        <f t="shared" si="274"/>
        <v>0</v>
      </c>
      <c r="AF833" s="1161">
        <f t="shared" si="274"/>
        <v>0</v>
      </c>
      <c r="AG833" s="1161">
        <f t="shared" si="274"/>
        <v>0</v>
      </c>
      <c r="AH833" s="1161">
        <f t="shared" si="274"/>
        <v>0</v>
      </c>
      <c r="AI833" s="1161">
        <f t="shared" si="274"/>
        <v>0</v>
      </c>
      <c r="AJ833" s="1161">
        <f t="shared" si="274"/>
        <v>0</v>
      </c>
      <c r="AK833" s="1161">
        <f t="shared" si="274"/>
        <v>0</v>
      </c>
      <c r="AL833" s="1161">
        <f t="shared" si="274"/>
        <v>0</v>
      </c>
      <c r="AM833" s="1161">
        <f t="shared" si="274"/>
        <v>0</v>
      </c>
      <c r="AN833" s="1161">
        <f t="shared" si="274"/>
        <v>0</v>
      </c>
      <c r="AO833" s="1161">
        <f t="shared" si="274"/>
        <v>0</v>
      </c>
      <c r="AP833" s="1161">
        <f t="shared" si="274"/>
        <v>0</v>
      </c>
      <c r="AQ833" s="1161">
        <f t="shared" si="274"/>
        <v>0</v>
      </c>
      <c r="AR833" s="1161">
        <f t="shared" si="274"/>
        <v>0</v>
      </c>
      <c r="AS833" s="1161">
        <f t="shared" si="274"/>
        <v>0</v>
      </c>
      <c r="AT833" s="1161">
        <f t="shared" si="274"/>
        <v>0</v>
      </c>
      <c r="AU833" s="1161">
        <f t="shared" si="274"/>
        <v>0</v>
      </c>
      <c r="AV833" s="1161">
        <f t="shared" si="274"/>
        <v>0</v>
      </c>
      <c r="AW833" s="1161">
        <f t="shared" si="274"/>
        <v>0</v>
      </c>
      <c r="AX833" s="1161">
        <f t="shared" si="274"/>
        <v>0</v>
      </c>
      <c r="AY833" s="1161">
        <f t="shared" si="274"/>
        <v>0</v>
      </c>
      <c r="AZ833" s="1161">
        <f t="shared" si="274"/>
        <v>0</v>
      </c>
      <c r="BA833" s="1161">
        <f t="shared" si="274"/>
        <v>0</v>
      </c>
      <c r="BB833" s="1161">
        <f t="shared" si="274"/>
        <v>0</v>
      </c>
      <c r="BC833" s="1161">
        <f t="shared" si="274"/>
        <v>0</v>
      </c>
      <c r="BD833" s="1161">
        <f t="shared" si="274"/>
        <v>0</v>
      </c>
      <c r="BE833" s="1162">
        <f t="shared" si="274"/>
        <v>0</v>
      </c>
      <c r="BF833" s="695"/>
    </row>
    <row r="834" spans="1:58" x14ac:dyDescent="0.45">
      <c r="A834" s="695"/>
      <c r="B834" s="1155"/>
      <c r="C834" s="975" t="s">
        <v>53</v>
      </c>
      <c r="D834" s="975"/>
      <c r="E834" s="975"/>
      <c r="F834" s="975"/>
      <c r="G834" s="1055"/>
      <c r="H834" s="1161">
        <v>0</v>
      </c>
      <c r="I834" s="1161">
        <v>0</v>
      </c>
      <c r="J834" s="1161">
        <v>0</v>
      </c>
      <c r="K834" s="1161">
        <v>0</v>
      </c>
      <c r="L834" s="1161">
        <v>0</v>
      </c>
      <c r="M834" s="1161">
        <v>0</v>
      </c>
      <c r="N834" s="1161">
        <v>0</v>
      </c>
      <c r="O834" s="1161">
        <v>0</v>
      </c>
      <c r="P834" s="1161">
        <v>0</v>
      </c>
      <c r="Q834" s="1161">
        <v>0</v>
      </c>
      <c r="R834" s="1161">
        <v>0</v>
      </c>
      <c r="S834" s="1161">
        <v>0</v>
      </c>
      <c r="T834" s="1161">
        <v>0</v>
      </c>
      <c r="U834" s="1161">
        <v>0</v>
      </c>
      <c r="V834" s="1161">
        <v>0</v>
      </c>
      <c r="W834" s="1161">
        <v>0</v>
      </c>
      <c r="X834" s="1161">
        <v>0</v>
      </c>
      <c r="Y834" s="1161">
        <v>0</v>
      </c>
      <c r="Z834" s="1161">
        <v>0</v>
      </c>
      <c r="AA834" s="1161">
        <v>0</v>
      </c>
      <c r="AB834" s="1161">
        <v>0</v>
      </c>
      <c r="AC834" s="1161">
        <v>0</v>
      </c>
      <c r="AD834" s="1161">
        <v>0</v>
      </c>
      <c r="AE834" s="1161">
        <v>0</v>
      </c>
      <c r="AF834" s="1161">
        <v>0</v>
      </c>
      <c r="AG834" s="1161">
        <v>0</v>
      </c>
      <c r="AH834" s="1161">
        <v>0</v>
      </c>
      <c r="AI834" s="1161">
        <v>0</v>
      </c>
      <c r="AJ834" s="1161">
        <v>0</v>
      </c>
      <c r="AK834" s="1161">
        <v>0</v>
      </c>
      <c r="AL834" s="1161">
        <v>0</v>
      </c>
      <c r="AM834" s="1161">
        <v>0</v>
      </c>
      <c r="AN834" s="1161">
        <v>0</v>
      </c>
      <c r="AO834" s="1161">
        <v>0</v>
      </c>
      <c r="AP834" s="1161">
        <v>0</v>
      </c>
      <c r="AQ834" s="1161">
        <v>0</v>
      </c>
      <c r="AR834" s="1161">
        <v>0</v>
      </c>
      <c r="AS834" s="1161">
        <v>0</v>
      </c>
      <c r="AT834" s="1161">
        <v>0</v>
      </c>
      <c r="AU834" s="1161">
        <v>0</v>
      </c>
      <c r="AV834" s="1161">
        <v>0</v>
      </c>
      <c r="AW834" s="1161">
        <v>0</v>
      </c>
      <c r="AX834" s="1161">
        <v>0</v>
      </c>
      <c r="AY834" s="1161">
        <v>0</v>
      </c>
      <c r="AZ834" s="1161">
        <v>0</v>
      </c>
      <c r="BA834" s="1161">
        <v>0</v>
      </c>
      <c r="BB834" s="1161">
        <v>0</v>
      </c>
      <c r="BC834" s="1161">
        <v>0</v>
      </c>
      <c r="BD834" s="1161">
        <v>0</v>
      </c>
      <c r="BE834" s="1162">
        <v>0</v>
      </c>
      <c r="BF834" s="695"/>
    </row>
    <row r="835" spans="1:58" x14ac:dyDescent="0.45">
      <c r="A835" s="695"/>
      <c r="B835" s="1155"/>
      <c r="C835" s="975"/>
      <c r="D835" s="975"/>
      <c r="E835" s="975"/>
      <c r="F835" s="975"/>
      <c r="G835" s="975"/>
      <c r="H835" s="975"/>
      <c r="I835" s="975"/>
      <c r="J835" s="975"/>
      <c r="K835" s="975"/>
      <c r="L835" s="975"/>
      <c r="M835" s="975"/>
      <c r="N835" s="975"/>
      <c r="O835" s="975"/>
      <c r="P835" s="975"/>
      <c r="Q835" s="975"/>
      <c r="R835" s="975"/>
      <c r="S835" s="975"/>
      <c r="T835" s="975"/>
      <c r="U835" s="975"/>
      <c r="V835" s="975"/>
      <c r="W835" s="975"/>
      <c r="X835" s="975"/>
      <c r="Y835" s="975"/>
      <c r="Z835" s="975"/>
      <c r="AA835" s="975"/>
      <c r="AB835" s="975"/>
      <c r="AC835" s="975"/>
      <c r="AD835" s="975"/>
      <c r="AE835" s="975"/>
      <c r="AF835" s="975"/>
      <c r="AG835" s="975"/>
      <c r="AH835" s="975"/>
      <c r="AI835" s="975"/>
      <c r="AJ835" s="975"/>
      <c r="AK835" s="975"/>
      <c r="AL835" s="975"/>
      <c r="AM835" s="975"/>
      <c r="AN835" s="975"/>
      <c r="AO835" s="975"/>
      <c r="AP835" s="975"/>
      <c r="AQ835" s="975"/>
      <c r="AR835" s="975"/>
      <c r="AS835" s="975"/>
      <c r="AT835" s="975"/>
      <c r="AU835" s="975"/>
      <c r="AV835" s="975"/>
      <c r="AW835" s="975"/>
      <c r="AX835" s="975"/>
      <c r="AY835" s="975"/>
      <c r="AZ835" s="975"/>
      <c r="BA835" s="975"/>
      <c r="BB835" s="975"/>
      <c r="BC835" s="975"/>
      <c r="BD835" s="975"/>
      <c r="BE835" s="1156"/>
      <c r="BF835" s="695"/>
    </row>
    <row r="836" spans="1:58" ht="13.15" x14ac:dyDescent="0.45">
      <c r="A836" s="695"/>
      <c r="B836" s="1155"/>
      <c r="C836" s="975"/>
      <c r="D836" s="975"/>
      <c r="E836" s="975"/>
      <c r="F836" s="1163" t="s">
        <v>54</v>
      </c>
      <c r="G836" s="1163" t="s">
        <v>55</v>
      </c>
      <c r="H836" s="975"/>
      <c r="I836" s="975"/>
      <c r="J836" s="975"/>
      <c r="K836" s="975"/>
      <c r="L836" s="975"/>
      <c r="M836" s="975"/>
      <c r="N836" s="975"/>
      <c r="O836" s="975"/>
      <c r="P836" s="975"/>
      <c r="Q836" s="975"/>
      <c r="R836" s="975"/>
      <c r="S836" s="975"/>
      <c r="T836" s="975"/>
      <c r="U836" s="975"/>
      <c r="V836" s="975"/>
      <c r="W836" s="975"/>
      <c r="X836" s="975"/>
      <c r="Y836" s="975"/>
      <c r="Z836" s="975"/>
      <c r="AA836" s="975"/>
      <c r="AB836" s="975"/>
      <c r="AC836" s="975"/>
      <c r="AD836" s="975"/>
      <c r="AE836" s="975"/>
      <c r="AF836" s="975"/>
      <c r="AG836" s="975"/>
      <c r="AH836" s="975"/>
      <c r="AI836" s="975"/>
      <c r="AJ836" s="975"/>
      <c r="AK836" s="975"/>
      <c r="AL836" s="975"/>
      <c r="AM836" s="975"/>
      <c r="AN836" s="975"/>
      <c r="AO836" s="975"/>
      <c r="AP836" s="975"/>
      <c r="AQ836" s="975"/>
      <c r="AR836" s="975"/>
      <c r="AS836" s="975"/>
      <c r="AT836" s="975"/>
      <c r="AU836" s="975"/>
      <c r="AV836" s="975"/>
      <c r="AW836" s="975"/>
      <c r="AX836" s="975"/>
      <c r="AY836" s="975"/>
      <c r="AZ836" s="975"/>
      <c r="BA836" s="975"/>
      <c r="BB836" s="975"/>
      <c r="BC836" s="975"/>
      <c r="BD836" s="975"/>
      <c r="BE836" s="1156"/>
      <c r="BF836" s="695"/>
    </row>
    <row r="837" spans="1:58" x14ac:dyDescent="0.45">
      <c r="A837" s="695"/>
      <c r="B837" s="1155"/>
      <c r="C837" s="975" t="s">
        <v>50</v>
      </c>
      <c r="D837" s="975"/>
      <c r="E837" s="975"/>
      <c r="F837" s="1161">
        <f>'II. Inputs, Baseline Energy Mix'!$S$122</f>
        <v>1</v>
      </c>
      <c r="G837" s="1582">
        <f>IF('II. Inputs, Baseline Energy Mix'!$S$19&gt;0, F837*'II. Inputs, Baseline Energy Mix'!$S$20*'II. Inputs, Baseline Energy Mix'!$S$21,0)</f>
        <v>0</v>
      </c>
      <c r="H837" s="1582">
        <f>$G$837*H833</f>
        <v>0</v>
      </c>
      <c r="I837" s="1582">
        <f t="shared" ref="I837:BE837" si="275">$G$837*I833</f>
        <v>0</v>
      </c>
      <c r="J837" s="1582">
        <f t="shared" si="275"/>
        <v>0</v>
      </c>
      <c r="K837" s="1582">
        <f t="shared" si="275"/>
        <v>0</v>
      </c>
      <c r="L837" s="1582">
        <f t="shared" si="275"/>
        <v>0</v>
      </c>
      <c r="M837" s="1582">
        <f t="shared" si="275"/>
        <v>0</v>
      </c>
      <c r="N837" s="1582">
        <f t="shared" si="275"/>
        <v>0</v>
      </c>
      <c r="O837" s="1582">
        <f t="shared" si="275"/>
        <v>0</v>
      </c>
      <c r="P837" s="1582">
        <f t="shared" si="275"/>
        <v>0</v>
      </c>
      <c r="Q837" s="1582">
        <f t="shared" si="275"/>
        <v>0</v>
      </c>
      <c r="R837" s="1582">
        <f t="shared" si="275"/>
        <v>0</v>
      </c>
      <c r="S837" s="1582">
        <f t="shared" si="275"/>
        <v>0</v>
      </c>
      <c r="T837" s="1582">
        <f t="shared" si="275"/>
        <v>0</v>
      </c>
      <c r="U837" s="1582">
        <f t="shared" si="275"/>
        <v>0</v>
      </c>
      <c r="V837" s="1582">
        <f t="shared" si="275"/>
        <v>0</v>
      </c>
      <c r="W837" s="1582">
        <f t="shared" si="275"/>
        <v>0</v>
      </c>
      <c r="X837" s="1582">
        <f t="shared" si="275"/>
        <v>0</v>
      </c>
      <c r="Y837" s="1582">
        <f t="shared" si="275"/>
        <v>0</v>
      </c>
      <c r="Z837" s="1582">
        <f t="shared" si="275"/>
        <v>0</v>
      </c>
      <c r="AA837" s="1582">
        <f t="shared" si="275"/>
        <v>0</v>
      </c>
      <c r="AB837" s="1582">
        <f t="shared" si="275"/>
        <v>0</v>
      </c>
      <c r="AC837" s="1582">
        <f t="shared" si="275"/>
        <v>0</v>
      </c>
      <c r="AD837" s="1582">
        <f t="shared" si="275"/>
        <v>0</v>
      </c>
      <c r="AE837" s="1582">
        <f t="shared" si="275"/>
        <v>0</v>
      </c>
      <c r="AF837" s="1582">
        <f t="shared" si="275"/>
        <v>0</v>
      </c>
      <c r="AG837" s="1582">
        <f t="shared" si="275"/>
        <v>0</v>
      </c>
      <c r="AH837" s="1582">
        <f t="shared" si="275"/>
        <v>0</v>
      </c>
      <c r="AI837" s="1582">
        <f t="shared" si="275"/>
        <v>0</v>
      </c>
      <c r="AJ837" s="1582">
        <f t="shared" si="275"/>
        <v>0</v>
      </c>
      <c r="AK837" s="1582">
        <f t="shared" si="275"/>
        <v>0</v>
      </c>
      <c r="AL837" s="1582">
        <f t="shared" si="275"/>
        <v>0</v>
      </c>
      <c r="AM837" s="1582">
        <f t="shared" si="275"/>
        <v>0</v>
      </c>
      <c r="AN837" s="1582">
        <f t="shared" si="275"/>
        <v>0</v>
      </c>
      <c r="AO837" s="1582">
        <f t="shared" si="275"/>
        <v>0</v>
      </c>
      <c r="AP837" s="1582">
        <f t="shared" si="275"/>
        <v>0</v>
      </c>
      <c r="AQ837" s="1582">
        <f t="shared" si="275"/>
        <v>0</v>
      </c>
      <c r="AR837" s="1582">
        <f t="shared" si="275"/>
        <v>0</v>
      </c>
      <c r="AS837" s="1582">
        <f t="shared" si="275"/>
        <v>0</v>
      </c>
      <c r="AT837" s="1582">
        <f t="shared" si="275"/>
        <v>0</v>
      </c>
      <c r="AU837" s="1582">
        <f t="shared" si="275"/>
        <v>0</v>
      </c>
      <c r="AV837" s="1582">
        <f t="shared" si="275"/>
        <v>0</v>
      </c>
      <c r="AW837" s="1582">
        <f t="shared" si="275"/>
        <v>0</v>
      </c>
      <c r="AX837" s="1582">
        <f t="shared" si="275"/>
        <v>0</v>
      </c>
      <c r="AY837" s="1582">
        <f t="shared" si="275"/>
        <v>0</v>
      </c>
      <c r="AZ837" s="1582">
        <f t="shared" si="275"/>
        <v>0</v>
      </c>
      <c r="BA837" s="1582">
        <f t="shared" si="275"/>
        <v>0</v>
      </c>
      <c r="BB837" s="1582">
        <f t="shared" si="275"/>
        <v>0</v>
      </c>
      <c r="BC837" s="1582">
        <f t="shared" si="275"/>
        <v>0</v>
      </c>
      <c r="BD837" s="1582">
        <f t="shared" si="275"/>
        <v>0</v>
      </c>
      <c r="BE837" s="1624">
        <f t="shared" si="275"/>
        <v>0</v>
      </c>
      <c r="BF837" s="695"/>
    </row>
    <row r="838" spans="1:58" x14ac:dyDescent="0.45">
      <c r="A838" s="695"/>
      <c r="B838" s="1155"/>
      <c r="C838" s="982" t="s">
        <v>16</v>
      </c>
      <c r="D838" s="982"/>
      <c r="E838" s="982"/>
      <c r="F838" s="1164">
        <f>'II. Inputs, Baseline Energy Mix'!$S$123</f>
        <v>0</v>
      </c>
      <c r="G838" s="1584">
        <f>IF('II. Inputs, Baseline Energy Mix'!$S$19&gt;0, F838*'II. Inputs, Baseline Energy Mix'!$S$20*'II. Inputs, Baseline Energy Mix'!$S$21,0)</f>
        <v>0</v>
      </c>
      <c r="H838" s="1584">
        <f>$G$838*H834</f>
        <v>0</v>
      </c>
      <c r="I838" s="1584">
        <f t="shared" ref="I838:BE838" si="276">$G$838*I834</f>
        <v>0</v>
      </c>
      <c r="J838" s="1584">
        <f t="shared" si="276"/>
        <v>0</v>
      </c>
      <c r="K838" s="1584">
        <f t="shared" si="276"/>
        <v>0</v>
      </c>
      <c r="L838" s="1584">
        <f t="shared" si="276"/>
        <v>0</v>
      </c>
      <c r="M838" s="1584">
        <f t="shared" si="276"/>
        <v>0</v>
      </c>
      <c r="N838" s="1584">
        <f t="shared" si="276"/>
        <v>0</v>
      </c>
      <c r="O838" s="1584">
        <f t="shared" si="276"/>
        <v>0</v>
      </c>
      <c r="P838" s="1584">
        <f t="shared" si="276"/>
        <v>0</v>
      </c>
      <c r="Q838" s="1584">
        <f t="shared" si="276"/>
        <v>0</v>
      </c>
      <c r="R838" s="1584">
        <f t="shared" si="276"/>
        <v>0</v>
      </c>
      <c r="S838" s="1584">
        <f t="shared" si="276"/>
        <v>0</v>
      </c>
      <c r="T838" s="1584">
        <f t="shared" si="276"/>
        <v>0</v>
      </c>
      <c r="U838" s="1584">
        <f t="shared" si="276"/>
        <v>0</v>
      </c>
      <c r="V838" s="1584">
        <f t="shared" si="276"/>
        <v>0</v>
      </c>
      <c r="W838" s="1584">
        <f t="shared" si="276"/>
        <v>0</v>
      </c>
      <c r="X838" s="1584">
        <f t="shared" si="276"/>
        <v>0</v>
      </c>
      <c r="Y838" s="1584">
        <f t="shared" si="276"/>
        <v>0</v>
      </c>
      <c r="Z838" s="1584">
        <f t="shared" si="276"/>
        <v>0</v>
      </c>
      <c r="AA838" s="1584">
        <f t="shared" si="276"/>
        <v>0</v>
      </c>
      <c r="AB838" s="1584">
        <f t="shared" si="276"/>
        <v>0</v>
      </c>
      <c r="AC838" s="1584">
        <f t="shared" si="276"/>
        <v>0</v>
      </c>
      <c r="AD838" s="1584">
        <f t="shared" si="276"/>
        <v>0</v>
      </c>
      <c r="AE838" s="1584">
        <f t="shared" si="276"/>
        <v>0</v>
      </c>
      <c r="AF838" s="1584">
        <f t="shared" si="276"/>
        <v>0</v>
      </c>
      <c r="AG838" s="1584">
        <f t="shared" si="276"/>
        <v>0</v>
      </c>
      <c r="AH838" s="1584">
        <f t="shared" si="276"/>
        <v>0</v>
      </c>
      <c r="AI838" s="1584">
        <f t="shared" si="276"/>
        <v>0</v>
      </c>
      <c r="AJ838" s="1584">
        <f t="shared" si="276"/>
        <v>0</v>
      </c>
      <c r="AK838" s="1584">
        <f t="shared" si="276"/>
        <v>0</v>
      </c>
      <c r="AL838" s="1584">
        <f t="shared" si="276"/>
        <v>0</v>
      </c>
      <c r="AM838" s="1584">
        <f t="shared" si="276"/>
        <v>0</v>
      </c>
      <c r="AN838" s="1584">
        <f t="shared" si="276"/>
        <v>0</v>
      </c>
      <c r="AO838" s="1584">
        <f t="shared" si="276"/>
        <v>0</v>
      </c>
      <c r="AP838" s="1584">
        <f t="shared" si="276"/>
        <v>0</v>
      </c>
      <c r="AQ838" s="1584">
        <f t="shared" si="276"/>
        <v>0</v>
      </c>
      <c r="AR838" s="1584">
        <f t="shared" si="276"/>
        <v>0</v>
      </c>
      <c r="AS838" s="1584">
        <f t="shared" si="276"/>
        <v>0</v>
      </c>
      <c r="AT838" s="1584">
        <f t="shared" si="276"/>
        <v>0</v>
      </c>
      <c r="AU838" s="1584">
        <f t="shared" si="276"/>
        <v>0</v>
      </c>
      <c r="AV838" s="1584">
        <f t="shared" si="276"/>
        <v>0</v>
      </c>
      <c r="AW838" s="1584">
        <f t="shared" si="276"/>
        <v>0</v>
      </c>
      <c r="AX838" s="1584">
        <f t="shared" si="276"/>
        <v>0</v>
      </c>
      <c r="AY838" s="1584">
        <f t="shared" si="276"/>
        <v>0</v>
      </c>
      <c r="AZ838" s="1584">
        <f t="shared" si="276"/>
        <v>0</v>
      </c>
      <c r="BA838" s="1584">
        <f t="shared" si="276"/>
        <v>0</v>
      </c>
      <c r="BB838" s="1584">
        <f t="shared" si="276"/>
        <v>0</v>
      </c>
      <c r="BC838" s="1584">
        <f t="shared" si="276"/>
        <v>0</v>
      </c>
      <c r="BD838" s="1584">
        <f t="shared" si="276"/>
        <v>0</v>
      </c>
      <c r="BE838" s="1625">
        <f t="shared" si="276"/>
        <v>0</v>
      </c>
      <c r="BF838" s="695"/>
    </row>
    <row r="839" spans="1:58" x14ac:dyDescent="0.45">
      <c r="A839" s="695"/>
      <c r="B839" s="1155"/>
      <c r="C839" s="975" t="s">
        <v>56</v>
      </c>
      <c r="D839" s="975"/>
      <c r="E839" s="975"/>
      <c r="F839" s="975"/>
      <c r="G839" s="1582">
        <f>G837+G838</f>
        <v>0</v>
      </c>
      <c r="H839" s="1582">
        <f>H837+H838</f>
        <v>0</v>
      </c>
      <c r="I839" s="1582">
        <f t="shared" ref="I839:BE839" si="277">I837+I838</f>
        <v>0</v>
      </c>
      <c r="J839" s="1582">
        <f t="shared" si="277"/>
        <v>0</v>
      </c>
      <c r="K839" s="1582">
        <f t="shared" si="277"/>
        <v>0</v>
      </c>
      <c r="L839" s="1582">
        <f t="shared" si="277"/>
        <v>0</v>
      </c>
      <c r="M839" s="1582">
        <f t="shared" si="277"/>
        <v>0</v>
      </c>
      <c r="N839" s="1582">
        <f t="shared" si="277"/>
        <v>0</v>
      </c>
      <c r="O839" s="1582">
        <f t="shared" si="277"/>
        <v>0</v>
      </c>
      <c r="P839" s="1582">
        <f t="shared" si="277"/>
        <v>0</v>
      </c>
      <c r="Q839" s="1582">
        <f t="shared" si="277"/>
        <v>0</v>
      </c>
      <c r="R839" s="1582">
        <f t="shared" si="277"/>
        <v>0</v>
      </c>
      <c r="S839" s="1582">
        <f t="shared" si="277"/>
        <v>0</v>
      </c>
      <c r="T839" s="1582">
        <f t="shared" si="277"/>
        <v>0</v>
      </c>
      <c r="U839" s="1582">
        <f t="shared" si="277"/>
        <v>0</v>
      </c>
      <c r="V839" s="1582">
        <f t="shared" si="277"/>
        <v>0</v>
      </c>
      <c r="W839" s="1582">
        <f t="shared" si="277"/>
        <v>0</v>
      </c>
      <c r="X839" s="1582">
        <f t="shared" si="277"/>
        <v>0</v>
      </c>
      <c r="Y839" s="1582">
        <f t="shared" si="277"/>
        <v>0</v>
      </c>
      <c r="Z839" s="1582">
        <f t="shared" si="277"/>
        <v>0</v>
      </c>
      <c r="AA839" s="1582">
        <f t="shared" si="277"/>
        <v>0</v>
      </c>
      <c r="AB839" s="1582">
        <f t="shared" si="277"/>
        <v>0</v>
      </c>
      <c r="AC839" s="1582">
        <f t="shared" si="277"/>
        <v>0</v>
      </c>
      <c r="AD839" s="1582">
        <f t="shared" si="277"/>
        <v>0</v>
      </c>
      <c r="AE839" s="1582">
        <f t="shared" si="277"/>
        <v>0</v>
      </c>
      <c r="AF839" s="1582">
        <f t="shared" si="277"/>
        <v>0</v>
      </c>
      <c r="AG839" s="1582">
        <f t="shared" si="277"/>
        <v>0</v>
      </c>
      <c r="AH839" s="1582">
        <f t="shared" si="277"/>
        <v>0</v>
      </c>
      <c r="AI839" s="1582">
        <f t="shared" si="277"/>
        <v>0</v>
      </c>
      <c r="AJ839" s="1582">
        <f t="shared" si="277"/>
        <v>0</v>
      </c>
      <c r="AK839" s="1582">
        <f t="shared" si="277"/>
        <v>0</v>
      </c>
      <c r="AL839" s="1582">
        <f t="shared" si="277"/>
        <v>0</v>
      </c>
      <c r="AM839" s="1582">
        <f t="shared" si="277"/>
        <v>0</v>
      </c>
      <c r="AN839" s="1582">
        <f t="shared" si="277"/>
        <v>0</v>
      </c>
      <c r="AO839" s="1582">
        <f t="shared" si="277"/>
        <v>0</v>
      </c>
      <c r="AP839" s="1582">
        <f t="shared" si="277"/>
        <v>0</v>
      </c>
      <c r="AQ839" s="1582">
        <f t="shared" si="277"/>
        <v>0</v>
      </c>
      <c r="AR839" s="1582">
        <f t="shared" si="277"/>
        <v>0</v>
      </c>
      <c r="AS839" s="1582">
        <f t="shared" si="277"/>
        <v>0</v>
      </c>
      <c r="AT839" s="1582">
        <f t="shared" si="277"/>
        <v>0</v>
      </c>
      <c r="AU839" s="1582">
        <f t="shared" si="277"/>
        <v>0</v>
      </c>
      <c r="AV839" s="1582">
        <f t="shared" si="277"/>
        <v>0</v>
      </c>
      <c r="AW839" s="1582">
        <f t="shared" si="277"/>
        <v>0</v>
      </c>
      <c r="AX839" s="1582">
        <f t="shared" si="277"/>
        <v>0</v>
      </c>
      <c r="AY839" s="1582">
        <f t="shared" si="277"/>
        <v>0</v>
      </c>
      <c r="AZ839" s="1582">
        <f t="shared" si="277"/>
        <v>0</v>
      </c>
      <c r="BA839" s="1582">
        <f t="shared" si="277"/>
        <v>0</v>
      </c>
      <c r="BB839" s="1582">
        <f t="shared" si="277"/>
        <v>0</v>
      </c>
      <c r="BC839" s="1582">
        <f t="shared" si="277"/>
        <v>0</v>
      </c>
      <c r="BD839" s="1582">
        <f t="shared" si="277"/>
        <v>0</v>
      </c>
      <c r="BE839" s="1624">
        <f t="shared" si="277"/>
        <v>0</v>
      </c>
      <c r="BF839" s="695"/>
    </row>
    <row r="840" spans="1:58" x14ac:dyDescent="0.45">
      <c r="A840" s="695"/>
      <c r="B840" s="1155"/>
      <c r="C840" s="975"/>
      <c r="D840" s="975"/>
      <c r="E840" s="975"/>
      <c r="F840" s="975"/>
      <c r="G840" s="975"/>
      <c r="H840" s="975"/>
      <c r="I840" s="975"/>
      <c r="J840" s="975"/>
      <c r="K840" s="975"/>
      <c r="L840" s="975"/>
      <c r="M840" s="975"/>
      <c r="N840" s="975"/>
      <c r="O840" s="975"/>
      <c r="P840" s="975"/>
      <c r="Q840" s="975"/>
      <c r="R840" s="975"/>
      <c r="S840" s="975"/>
      <c r="T840" s="975"/>
      <c r="U840" s="975"/>
      <c r="V840" s="975"/>
      <c r="W840" s="975"/>
      <c r="X840" s="975"/>
      <c r="Y840" s="975"/>
      <c r="Z840" s="975"/>
      <c r="AA840" s="975"/>
      <c r="AB840" s="975"/>
      <c r="AC840" s="975"/>
      <c r="AD840" s="975"/>
      <c r="AE840" s="975"/>
      <c r="AF840" s="975"/>
      <c r="AG840" s="975"/>
      <c r="AH840" s="975"/>
      <c r="AI840" s="975"/>
      <c r="AJ840" s="975"/>
      <c r="AK840" s="975"/>
      <c r="AL840" s="975"/>
      <c r="AM840" s="975"/>
      <c r="AN840" s="975"/>
      <c r="AO840" s="975"/>
      <c r="AP840" s="975"/>
      <c r="AQ840" s="975"/>
      <c r="AR840" s="975"/>
      <c r="AS840" s="975"/>
      <c r="AT840" s="975"/>
      <c r="AU840" s="975"/>
      <c r="AV840" s="975"/>
      <c r="AW840" s="975"/>
      <c r="AX840" s="975"/>
      <c r="AY840" s="975"/>
      <c r="AZ840" s="975"/>
      <c r="BA840" s="975"/>
      <c r="BB840" s="975"/>
      <c r="BC840" s="975"/>
      <c r="BD840" s="975"/>
      <c r="BE840" s="1156"/>
      <c r="BF840" s="695"/>
    </row>
    <row r="841" spans="1:58" x14ac:dyDescent="0.45">
      <c r="A841" s="695"/>
      <c r="B841" s="1165"/>
      <c r="C841" s="982"/>
      <c r="D841" s="982"/>
      <c r="E841" s="982"/>
      <c r="F841" s="982"/>
      <c r="G841" s="982"/>
      <c r="H841" s="982"/>
      <c r="I841" s="982"/>
      <c r="J841" s="982"/>
      <c r="K841" s="982"/>
      <c r="L841" s="982"/>
      <c r="M841" s="982"/>
      <c r="N841" s="982"/>
      <c r="O841" s="982"/>
      <c r="P841" s="982"/>
      <c r="Q841" s="982"/>
      <c r="R841" s="982"/>
      <c r="S841" s="982"/>
      <c r="T841" s="982"/>
      <c r="U841" s="982"/>
      <c r="V841" s="982"/>
      <c r="W841" s="982"/>
      <c r="X841" s="982"/>
      <c r="Y841" s="982"/>
      <c r="Z841" s="982"/>
      <c r="AA841" s="982"/>
      <c r="AB841" s="982"/>
      <c r="AC841" s="982"/>
      <c r="AD841" s="982"/>
      <c r="AE841" s="982"/>
      <c r="AF841" s="982"/>
      <c r="AG841" s="982"/>
      <c r="AH841" s="982"/>
      <c r="AI841" s="982"/>
      <c r="AJ841" s="982"/>
      <c r="AK841" s="982"/>
      <c r="AL841" s="982"/>
      <c r="AM841" s="982"/>
      <c r="AN841" s="982"/>
      <c r="AO841" s="982"/>
      <c r="AP841" s="982"/>
      <c r="AQ841" s="982"/>
      <c r="AR841" s="982"/>
      <c r="AS841" s="982"/>
      <c r="AT841" s="982"/>
      <c r="AU841" s="982"/>
      <c r="AV841" s="982"/>
      <c r="AW841" s="982"/>
      <c r="AX841" s="982"/>
      <c r="AY841" s="982"/>
      <c r="AZ841" s="982"/>
      <c r="BA841" s="982"/>
      <c r="BB841" s="982"/>
      <c r="BC841" s="982"/>
      <c r="BD841" s="982"/>
      <c r="BE841" s="1166"/>
      <c r="BF841" s="695"/>
    </row>
    <row r="842" spans="1:58" x14ac:dyDescent="0.45">
      <c r="A842" s="695"/>
      <c r="B842" s="695"/>
      <c r="C842" s="695"/>
      <c r="D842" s="695"/>
      <c r="E842" s="695"/>
      <c r="F842" s="695"/>
      <c r="G842" s="695"/>
      <c r="H842" s="695"/>
      <c r="I842" s="695"/>
      <c r="J842" s="695"/>
      <c r="K842" s="695"/>
      <c r="L842" s="695"/>
      <c r="M842" s="695"/>
      <c r="N842" s="695"/>
      <c r="O842" s="695"/>
      <c r="P842" s="695"/>
      <c r="Q842" s="695"/>
      <c r="R842" s="695"/>
      <c r="S842" s="695"/>
      <c r="T842" s="695"/>
      <c r="U842" s="695"/>
      <c r="V842" s="695"/>
      <c r="W842" s="695"/>
      <c r="X842" s="695"/>
      <c r="Y842" s="695"/>
      <c r="Z842" s="695"/>
      <c r="AA842" s="695"/>
      <c r="AB842" s="695"/>
      <c r="AC842" s="695"/>
      <c r="AD842" s="695"/>
      <c r="AE842" s="695"/>
      <c r="AF842" s="695"/>
      <c r="AG842" s="695"/>
      <c r="AH842" s="695"/>
      <c r="AI842" s="695"/>
      <c r="AJ842" s="695"/>
      <c r="AK842" s="695"/>
      <c r="AL842" s="695"/>
      <c r="AM842" s="695"/>
      <c r="AN842" s="695"/>
      <c r="AO842" s="695"/>
      <c r="AP842" s="695"/>
      <c r="AQ842" s="695"/>
      <c r="AR842" s="695"/>
      <c r="AS842" s="695"/>
      <c r="AT842" s="695"/>
      <c r="AU842" s="695"/>
      <c r="AV842" s="695"/>
      <c r="AW842" s="695"/>
      <c r="AX842" s="695"/>
      <c r="AY842" s="695"/>
      <c r="AZ842" s="695"/>
      <c r="BA842" s="695"/>
      <c r="BB842" s="695"/>
      <c r="BC842" s="695"/>
      <c r="BD842" s="695"/>
      <c r="BE842" s="695"/>
      <c r="BF842" s="695"/>
    </row>
    <row r="843" spans="1:58" hidden="1" x14ac:dyDescent="0.45"/>
    <row r="844" spans="1:58" hidden="1" x14ac:dyDescent="0.45"/>
    <row r="845" spans="1:58" hidden="1" x14ac:dyDescent="0.45"/>
    <row r="846" spans="1:58" hidden="1" x14ac:dyDescent="0.45"/>
    <row r="847" spans="1:58" hidden="1" x14ac:dyDescent="0.45"/>
    <row r="848" spans="1:58" hidden="1" x14ac:dyDescent="0.45"/>
    <row r="849" hidden="1" x14ac:dyDescent="0.45"/>
    <row r="850" hidden="1" x14ac:dyDescent="0.45"/>
    <row r="851" hidden="1" x14ac:dyDescent="0.45"/>
    <row r="852" hidden="1" x14ac:dyDescent="0.45"/>
    <row r="853" hidden="1" x14ac:dyDescent="0.45"/>
    <row r="854" hidden="1" x14ac:dyDescent="0.45"/>
    <row r="855" hidden="1" x14ac:dyDescent="0.45"/>
  </sheetData>
  <sheetProtection formatCells="0" formatColumns="0" formatRows="0" insertColumns="0" insertRows="0"/>
  <pageMargins left="0.7" right="0.7" top="0.75" bottom="0.75" header="0.3" footer="0.3"/>
  <pageSetup scale="25" fitToHeight="0" orientation="landscape" horizontalDpi="4294967293" verticalDpi="0"/>
  <headerFooter>
    <oddFooter>&amp;L&amp;A&amp;R&amp;P of &amp;N</oddFooter>
  </headerFooter>
  <rowBreaks count="6" manualBreakCount="6">
    <brk id="104" max="26" man="1"/>
    <brk id="195" max="16383" man="1"/>
    <brk id="288" max="26" man="1"/>
    <brk id="444" max="26" man="1"/>
    <brk id="598" max="26" man="1"/>
    <brk id="754" max="16383" man="1"/>
  </rowBreaks>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390"/>
  <sheetViews>
    <sheetView zoomScale="75" zoomScaleNormal="75" workbookViewId="0">
      <pane xSplit="6" ySplit="16" topLeftCell="G20" activePane="bottomRight" state="frozen"/>
      <selection pane="topRight"/>
      <selection pane="bottomLeft"/>
      <selection pane="bottomRight"/>
    </sheetView>
  </sheetViews>
  <sheetFormatPr defaultColWidth="0" defaultRowHeight="12.75" zeroHeight="1" outlineLevelRow="1" x14ac:dyDescent="0.45"/>
  <cols>
    <col min="1" max="2" width="1.86328125" style="201" customWidth="1"/>
    <col min="3" max="3" width="41.86328125" style="201" bestFit="1" customWidth="1"/>
    <col min="4" max="4" width="9.1328125" style="201" customWidth="1"/>
    <col min="5" max="5" width="16.265625" style="201" customWidth="1"/>
    <col min="6" max="6" width="16" style="201" bestFit="1" customWidth="1"/>
    <col min="7" max="7" width="18.59765625" style="201" customWidth="1"/>
    <col min="8" max="27" width="15.1328125" style="201" customWidth="1"/>
    <col min="28" max="28" width="2.73046875" style="201" customWidth="1"/>
    <col min="29" max="16384" width="0" style="201" hidden="1"/>
  </cols>
  <sheetData>
    <row r="1" spans="1:28" x14ac:dyDescent="0.45">
      <c r="A1" s="421" t="s">
        <v>584</v>
      </c>
      <c r="B1" s="695"/>
      <c r="C1" s="695"/>
      <c r="D1" s="695"/>
      <c r="E1" s="695"/>
      <c r="F1" s="695"/>
      <c r="G1" s="695"/>
      <c r="H1" s="695"/>
      <c r="I1" s="695"/>
      <c r="J1" s="695"/>
      <c r="K1" s="695"/>
      <c r="L1" s="695"/>
      <c r="M1" s="695"/>
      <c r="N1" s="695"/>
      <c r="O1" s="695"/>
      <c r="P1" s="695"/>
      <c r="Q1" s="695"/>
      <c r="R1" s="695"/>
      <c r="S1" s="695"/>
      <c r="T1" s="695"/>
      <c r="U1" s="695"/>
      <c r="V1" s="695"/>
      <c r="W1" s="695"/>
      <c r="X1" s="695"/>
      <c r="Y1" s="695"/>
      <c r="Z1" s="695"/>
      <c r="AA1" s="695"/>
      <c r="AB1" s="695"/>
    </row>
    <row r="2" spans="1:28" x14ac:dyDescent="0.45">
      <c r="A2" s="695"/>
      <c r="B2" s="695"/>
      <c r="C2" s="695"/>
      <c r="D2" s="695"/>
      <c r="E2" s="695"/>
      <c r="F2" s="695"/>
      <c r="G2" s="695"/>
      <c r="H2" s="695"/>
      <c r="I2" s="695"/>
      <c r="J2" s="695"/>
      <c r="K2" s="695"/>
      <c r="L2" s="695"/>
      <c r="M2" s="695"/>
      <c r="N2" s="695"/>
      <c r="O2" s="695"/>
      <c r="P2" s="695"/>
      <c r="Q2" s="695"/>
      <c r="R2" s="695"/>
      <c r="S2" s="695"/>
      <c r="T2" s="695"/>
      <c r="U2" s="695"/>
      <c r="V2" s="695"/>
      <c r="W2" s="695"/>
      <c r="X2" s="695"/>
      <c r="Y2" s="695"/>
      <c r="Z2" s="695"/>
      <c r="AA2" s="695"/>
      <c r="AB2" s="695"/>
    </row>
    <row r="3" spans="1:28" s="830" customFormat="1" ht="13.15" x14ac:dyDescent="0.45">
      <c r="A3" s="458" t="s">
        <v>385</v>
      </c>
      <c r="B3" s="458"/>
      <c r="C3" s="458"/>
      <c r="D3" s="458"/>
      <c r="E3" s="458"/>
      <c r="F3" s="458"/>
      <c r="G3" s="458"/>
      <c r="H3" s="458"/>
      <c r="I3" s="458"/>
      <c r="J3" s="458"/>
      <c r="K3" s="459"/>
      <c r="L3" s="459"/>
      <c r="M3" s="460"/>
      <c r="N3" s="460"/>
      <c r="O3" s="459"/>
      <c r="P3" s="459"/>
      <c r="Q3" s="459"/>
      <c r="R3" s="459"/>
      <c r="S3" s="459"/>
      <c r="T3" s="459"/>
      <c r="U3" s="459"/>
      <c r="V3" s="459"/>
      <c r="W3" s="459"/>
      <c r="X3" s="459"/>
      <c r="Y3" s="459"/>
      <c r="Z3" s="459"/>
      <c r="AA3" s="459"/>
      <c r="AB3" s="1167"/>
    </row>
    <row r="4" spans="1:28" s="457" customFormat="1" ht="12.75" customHeight="1" x14ac:dyDescent="0.45">
      <c r="A4" s="461"/>
      <c r="B4" s="461"/>
      <c r="C4" s="461"/>
      <c r="D4" s="461"/>
      <c r="E4" s="461"/>
      <c r="F4" s="461"/>
      <c r="G4" s="1350"/>
      <c r="H4" s="1350"/>
      <c r="I4" s="461"/>
      <c r="J4" s="461"/>
      <c r="K4" s="461"/>
      <c r="L4" s="461"/>
      <c r="M4" s="461"/>
      <c r="N4" s="461"/>
      <c r="O4" s="461"/>
      <c r="P4" s="461"/>
      <c r="Q4" s="693"/>
      <c r="R4" s="693"/>
      <c r="S4" s="693"/>
      <c r="T4" s="461"/>
      <c r="U4" s="461"/>
      <c r="V4" s="693"/>
      <c r="W4" s="693"/>
      <c r="X4" s="693"/>
      <c r="Y4" s="693"/>
      <c r="Z4" s="693"/>
      <c r="AA4" s="693"/>
      <c r="AB4" s="461"/>
    </row>
    <row r="5" spans="1:28" s="457" customFormat="1" ht="12.75" customHeight="1" x14ac:dyDescent="0.45">
      <c r="A5" s="461"/>
      <c r="B5" s="461" t="s">
        <v>182</v>
      </c>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row>
    <row r="6" spans="1:28" s="457" customFormat="1" ht="12.75" customHeight="1" x14ac:dyDescent="0.45">
      <c r="A6" s="461"/>
      <c r="B6" s="461"/>
      <c r="C6" s="461" t="s">
        <v>386</v>
      </c>
      <c r="D6" s="461"/>
      <c r="E6" s="461"/>
      <c r="F6" s="461"/>
      <c r="G6" s="461"/>
      <c r="H6" s="461"/>
      <c r="I6" s="461"/>
      <c r="J6" s="461"/>
      <c r="K6" s="461"/>
      <c r="L6" s="461"/>
      <c r="M6" s="461"/>
      <c r="N6" s="461"/>
      <c r="O6" s="461"/>
      <c r="P6" s="461"/>
      <c r="Q6" s="461"/>
      <c r="R6" s="461"/>
      <c r="S6" s="461"/>
      <c r="T6" s="1170"/>
      <c r="U6" s="461"/>
      <c r="V6" s="461"/>
      <c r="W6" s="1170"/>
      <c r="X6" s="1170"/>
      <c r="Y6" s="1170"/>
      <c r="Z6" s="1170"/>
      <c r="AA6" s="1170"/>
      <c r="AB6" s="461"/>
    </row>
    <row r="7" spans="1:28" s="457" customFormat="1" ht="12.75" customHeight="1" x14ac:dyDescent="0.45">
      <c r="A7" s="461"/>
      <c r="B7" s="461"/>
      <c r="C7" s="461" t="s">
        <v>387</v>
      </c>
      <c r="D7" s="461"/>
      <c r="E7" s="461"/>
      <c r="F7" s="461"/>
      <c r="G7" s="461"/>
      <c r="H7" s="1169"/>
      <c r="I7" s="461"/>
      <c r="J7" s="461"/>
      <c r="K7" s="461"/>
      <c r="L7" s="461"/>
      <c r="M7" s="461"/>
      <c r="N7" s="461"/>
      <c r="O7" s="461"/>
      <c r="P7" s="461"/>
      <c r="Q7" s="461"/>
      <c r="R7" s="461"/>
      <c r="S7" s="461"/>
      <c r="T7" s="1170"/>
      <c r="U7" s="461"/>
      <c r="V7" s="461"/>
      <c r="W7" s="1170"/>
      <c r="X7" s="1170"/>
      <c r="Y7" s="1170"/>
      <c r="Z7" s="1170"/>
      <c r="AA7" s="1170"/>
      <c r="AB7" s="461"/>
    </row>
    <row r="8" spans="1:28" s="457" customFormat="1" ht="12.75" customHeight="1" x14ac:dyDescent="0.45">
      <c r="A8" s="461"/>
      <c r="B8" s="461"/>
      <c r="C8" s="461" t="s">
        <v>283</v>
      </c>
      <c r="D8" s="461"/>
      <c r="E8" s="461"/>
      <c r="F8" s="461"/>
      <c r="G8" s="461"/>
      <c r="H8" s="1169"/>
      <c r="I8" s="461"/>
      <c r="J8" s="461"/>
      <c r="K8" s="461"/>
      <c r="L8" s="461"/>
      <c r="M8" s="461"/>
      <c r="N8" s="461"/>
      <c r="O8" s="461"/>
      <c r="P8" s="461"/>
      <c r="Q8" s="461"/>
      <c r="R8" s="461"/>
      <c r="S8" s="461"/>
      <c r="T8" s="383"/>
      <c r="U8" s="461"/>
      <c r="V8" s="461"/>
      <c r="W8" s="383"/>
      <c r="X8" s="383"/>
      <c r="Y8" s="383"/>
      <c r="Z8" s="383"/>
      <c r="AA8" s="383"/>
      <c r="AB8" s="461"/>
    </row>
    <row r="9" spans="1:28" s="457" customFormat="1" x14ac:dyDescent="0.45">
      <c r="A9" s="461"/>
      <c r="B9" s="461"/>
      <c r="C9" s="461" t="s">
        <v>227</v>
      </c>
      <c r="D9" s="461"/>
      <c r="E9" s="461"/>
      <c r="F9" s="461"/>
      <c r="G9" s="461"/>
      <c r="H9" s="461"/>
      <c r="I9" s="461"/>
      <c r="J9" s="461"/>
      <c r="K9" s="461"/>
      <c r="L9" s="461"/>
      <c r="M9" s="461"/>
      <c r="N9" s="461"/>
      <c r="O9" s="461"/>
      <c r="P9" s="461"/>
      <c r="Q9" s="693"/>
      <c r="R9" s="693"/>
      <c r="S9" s="693"/>
      <c r="T9" s="461"/>
      <c r="U9" s="461"/>
      <c r="V9" s="461"/>
      <c r="W9" s="461"/>
      <c r="X9" s="461"/>
      <c r="Y9" s="461"/>
      <c r="Z9" s="461"/>
      <c r="AA9" s="461"/>
      <c r="AB9" s="461"/>
    </row>
    <row r="10" spans="1:28" s="457" customFormat="1" ht="12.75" customHeight="1" x14ac:dyDescent="0.45">
      <c r="A10" s="461"/>
      <c r="B10" s="461"/>
      <c r="C10" s="461"/>
      <c r="D10" s="461"/>
      <c r="E10" s="461"/>
      <c r="F10" s="461"/>
      <c r="G10" s="461"/>
      <c r="H10" s="461"/>
      <c r="I10" s="461"/>
      <c r="J10" s="461"/>
      <c r="K10" s="461"/>
      <c r="L10" s="461"/>
      <c r="M10" s="461"/>
      <c r="N10" s="461"/>
      <c r="O10" s="461"/>
      <c r="P10" s="461"/>
      <c r="Q10" s="693"/>
      <c r="R10" s="693"/>
      <c r="S10" s="693"/>
      <c r="T10" s="461"/>
      <c r="U10" s="461"/>
      <c r="V10" s="461"/>
      <c r="W10" s="461"/>
      <c r="X10" s="461"/>
      <c r="Y10" s="461"/>
      <c r="Z10" s="461"/>
      <c r="AA10" s="461"/>
      <c r="AB10" s="461"/>
    </row>
    <row r="11" spans="1:28" s="457" customFormat="1" ht="12.75" customHeight="1" x14ac:dyDescent="0.45">
      <c r="A11" s="462" t="s">
        <v>388</v>
      </c>
      <c r="B11" s="462"/>
      <c r="C11" s="462"/>
      <c r="D11" s="462"/>
      <c r="E11" s="462"/>
      <c r="F11" s="462"/>
      <c r="G11" s="462"/>
      <c r="H11" s="462"/>
      <c r="I11" s="462"/>
      <c r="J11" s="463"/>
      <c r="K11" s="464"/>
      <c r="L11" s="464"/>
      <c r="M11" s="464"/>
      <c r="N11" s="464"/>
      <c r="O11" s="464"/>
      <c r="P11" s="464"/>
      <c r="Q11" s="464"/>
      <c r="R11" s="464"/>
      <c r="S11" s="464"/>
      <c r="T11" s="464"/>
      <c r="U11" s="464"/>
      <c r="V11" s="464"/>
      <c r="W11" s="464"/>
      <c r="X11" s="464"/>
      <c r="Y11" s="464"/>
      <c r="Z11" s="464"/>
      <c r="AA11" s="464"/>
      <c r="AB11" s="461"/>
    </row>
    <row r="12" spans="1:28" x14ac:dyDescent="0.45">
      <c r="A12" s="695"/>
      <c r="B12" s="695"/>
      <c r="C12" s="1351"/>
      <c r="D12" s="695"/>
      <c r="E12" s="695"/>
      <c r="F12" s="695"/>
      <c r="G12" s="695"/>
      <c r="H12" s="695"/>
      <c r="I12" s="695"/>
      <c r="J12" s="695"/>
      <c r="K12" s="695"/>
      <c r="L12" s="695"/>
      <c r="M12" s="695"/>
      <c r="N12" s="695"/>
      <c r="O12" s="695"/>
      <c r="P12" s="695"/>
      <c r="Q12" s="695"/>
      <c r="R12" s="695"/>
      <c r="S12" s="695"/>
      <c r="T12" s="695"/>
      <c r="U12" s="695"/>
      <c r="V12" s="695"/>
      <c r="W12" s="695"/>
      <c r="X12" s="695"/>
      <c r="Y12" s="695"/>
      <c r="Z12" s="695"/>
      <c r="AA12" s="695"/>
      <c r="AB12" s="695"/>
    </row>
    <row r="13" spans="1:28" ht="13.5" thickBot="1" x14ac:dyDescent="0.5">
      <c r="A13" s="695"/>
      <c r="B13" s="704"/>
      <c r="C13" s="695"/>
      <c r="D13" s="695"/>
      <c r="E13" s="695"/>
      <c r="F13" s="695"/>
      <c r="G13" s="695"/>
      <c r="H13" s="695"/>
      <c r="I13" s="695"/>
      <c r="J13" s="695"/>
      <c r="K13" s="695"/>
      <c r="L13" s="695"/>
      <c r="M13" s="695"/>
      <c r="N13" s="695"/>
      <c r="O13" s="695"/>
      <c r="P13" s="695"/>
      <c r="Q13" s="695"/>
      <c r="R13" s="695"/>
      <c r="S13" s="695"/>
      <c r="T13" s="695"/>
      <c r="U13" s="695"/>
      <c r="V13" s="695"/>
      <c r="W13" s="695"/>
      <c r="X13" s="695"/>
      <c r="Y13" s="695"/>
      <c r="Z13" s="695"/>
      <c r="AA13" s="695"/>
      <c r="AB13" s="695"/>
    </row>
    <row r="14" spans="1:28" ht="13.15" x14ac:dyDescent="0.45">
      <c r="A14" s="695"/>
      <c r="B14" s="1177" t="s">
        <v>389</v>
      </c>
      <c r="C14" s="1178"/>
      <c r="D14" s="1178"/>
      <c r="E14" s="1178"/>
      <c r="F14" s="1178"/>
      <c r="G14" s="1178"/>
      <c r="H14" s="1178"/>
      <c r="I14" s="1178"/>
      <c r="J14" s="1178"/>
      <c r="K14" s="1178"/>
      <c r="L14" s="1178"/>
      <c r="M14" s="1178"/>
      <c r="N14" s="1178"/>
      <c r="O14" s="1178"/>
      <c r="P14" s="1178"/>
      <c r="Q14" s="1178"/>
      <c r="R14" s="1178"/>
      <c r="S14" s="1178"/>
      <c r="T14" s="1178"/>
      <c r="U14" s="1178"/>
      <c r="V14" s="1178"/>
      <c r="W14" s="1178"/>
      <c r="X14" s="1178"/>
      <c r="Y14" s="1178"/>
      <c r="Z14" s="1178"/>
      <c r="AA14" s="1179"/>
      <c r="AB14" s="695"/>
    </row>
    <row r="15" spans="1:28" x14ac:dyDescent="0.45">
      <c r="A15" s="695"/>
      <c r="B15" s="1180"/>
      <c r="C15" s="1181"/>
      <c r="D15" s="1181"/>
      <c r="E15" s="1181"/>
      <c r="F15" s="1181"/>
      <c r="G15" s="1181"/>
      <c r="H15" s="1181"/>
      <c r="I15" s="1181"/>
      <c r="J15" s="1181"/>
      <c r="K15" s="1181"/>
      <c r="L15" s="1181"/>
      <c r="M15" s="1181"/>
      <c r="N15" s="1181"/>
      <c r="O15" s="1181"/>
      <c r="P15" s="1181"/>
      <c r="Q15" s="1181"/>
      <c r="R15" s="1181"/>
      <c r="S15" s="1181"/>
      <c r="T15" s="1181"/>
      <c r="U15" s="1181"/>
      <c r="V15" s="1181"/>
      <c r="W15" s="1181"/>
      <c r="X15" s="1181"/>
      <c r="Y15" s="1181"/>
      <c r="Z15" s="1181"/>
      <c r="AA15" s="1182"/>
      <c r="AB15" s="695"/>
    </row>
    <row r="16" spans="1:28" ht="13.15" x14ac:dyDescent="0.45">
      <c r="A16" s="695"/>
      <c r="B16" s="1183" t="s">
        <v>51</v>
      </c>
      <c r="C16" s="1184"/>
      <c r="D16" s="1184"/>
      <c r="E16" s="1185"/>
      <c r="F16" s="1184"/>
      <c r="G16" s="1185">
        <v>0</v>
      </c>
      <c r="H16" s="1185">
        <v>1</v>
      </c>
      <c r="I16" s="1185">
        <v>2</v>
      </c>
      <c r="J16" s="1185">
        <v>3</v>
      </c>
      <c r="K16" s="1185">
        <v>4</v>
      </c>
      <c r="L16" s="1185">
        <v>5</v>
      </c>
      <c r="M16" s="1185">
        <v>6</v>
      </c>
      <c r="N16" s="1185">
        <v>7</v>
      </c>
      <c r="O16" s="1185">
        <v>8</v>
      </c>
      <c r="P16" s="1185">
        <v>9</v>
      </c>
      <c r="Q16" s="1185">
        <v>10</v>
      </c>
      <c r="R16" s="1185">
        <v>11</v>
      </c>
      <c r="S16" s="1185">
        <v>12</v>
      </c>
      <c r="T16" s="1185">
        <v>13</v>
      </c>
      <c r="U16" s="1185">
        <v>14</v>
      </c>
      <c r="V16" s="1185">
        <v>15</v>
      </c>
      <c r="W16" s="1185">
        <v>16</v>
      </c>
      <c r="X16" s="1185">
        <v>17</v>
      </c>
      <c r="Y16" s="1185">
        <v>18</v>
      </c>
      <c r="Z16" s="1185">
        <v>19</v>
      </c>
      <c r="AA16" s="1186">
        <v>20</v>
      </c>
      <c r="AB16" s="695"/>
    </row>
    <row r="17" spans="1:28" x14ac:dyDescent="0.45">
      <c r="A17" s="695"/>
      <c r="B17" s="1180"/>
      <c r="C17" s="1181"/>
      <c r="D17" s="1181"/>
      <c r="E17" s="1181"/>
      <c r="F17" s="1181"/>
      <c r="G17" s="1181"/>
      <c r="H17" s="1181"/>
      <c r="I17" s="1181"/>
      <c r="J17" s="1181"/>
      <c r="K17" s="1181"/>
      <c r="L17" s="1181"/>
      <c r="M17" s="1181"/>
      <c r="N17" s="1181"/>
      <c r="O17" s="1181"/>
      <c r="P17" s="1181"/>
      <c r="Q17" s="1181"/>
      <c r="R17" s="1181"/>
      <c r="S17" s="1181"/>
      <c r="T17" s="1181"/>
      <c r="U17" s="1181"/>
      <c r="V17" s="1181"/>
      <c r="W17" s="1181"/>
      <c r="X17" s="1181"/>
      <c r="Y17" s="1181"/>
      <c r="Z17" s="1181"/>
      <c r="AA17" s="1182"/>
      <c r="AB17" s="695"/>
    </row>
    <row r="18" spans="1:28" x14ac:dyDescent="0.45">
      <c r="A18" s="695"/>
      <c r="B18" s="1180" t="s">
        <v>653</v>
      </c>
      <c r="C18" s="1181"/>
      <c r="D18" s="1181"/>
      <c r="E18" s="1187"/>
      <c r="F18" s="1181"/>
      <c r="G18" s="1188">
        <v>1</v>
      </c>
      <c r="H18" s="1189">
        <f>IF(H$16&gt;'III. Inputs, Renewable Energy'!$U$16,0, $G$18*(1-'III. Inputs, Renewable Energy'!$U$259)^H16)</f>
        <v>0.995</v>
      </c>
      <c r="I18" s="1189">
        <f>IF(I$16&gt;'III. Inputs, Renewable Energy'!$U$16,0, $G$18*(1-'III. Inputs, Renewable Energy'!$U$259)^I16)</f>
        <v>0.99002500000000004</v>
      </c>
      <c r="J18" s="1189">
        <f>IF(J$16&gt;'III. Inputs, Renewable Energy'!$U$16,0, $G$18*(1-'III. Inputs, Renewable Energy'!$U$259)^J16)</f>
        <v>0.98507487500000002</v>
      </c>
      <c r="K18" s="1189">
        <f>IF(K$16&gt;'III. Inputs, Renewable Energy'!$U$16,0, $G$18*(1-'III. Inputs, Renewable Energy'!$U$259)^K16)</f>
        <v>0.98014950062500006</v>
      </c>
      <c r="L18" s="1189">
        <f>IF(L$16&gt;'III. Inputs, Renewable Energy'!$U$16,0, $G$18*(1-'III. Inputs, Renewable Energy'!$U$259)^L16)</f>
        <v>0.97524875312187509</v>
      </c>
      <c r="M18" s="1189">
        <f>IF(M$16&gt;'III. Inputs, Renewable Energy'!$U$16,0, $G$18*(1-'III. Inputs, Renewable Energy'!$U$259)^M16)</f>
        <v>0.97037250935626573</v>
      </c>
      <c r="N18" s="1189">
        <f>IF(N$16&gt;'III. Inputs, Renewable Energy'!$U$16,0, $G$18*(1-'III. Inputs, Renewable Energy'!$U$259)^N16)</f>
        <v>0.96552064680948435</v>
      </c>
      <c r="O18" s="1189">
        <f>IF(O$16&gt;'III. Inputs, Renewable Energy'!$U$16,0, $G$18*(1-'III. Inputs, Renewable Energy'!$U$259)^O16)</f>
        <v>0.96069304357543694</v>
      </c>
      <c r="P18" s="1189">
        <f>IF(P$16&gt;'III. Inputs, Renewable Energy'!$U$16,0, $G$18*(1-'III. Inputs, Renewable Energy'!$U$259)^P16)</f>
        <v>0.95588957835755972</v>
      </c>
      <c r="Q18" s="1189">
        <f>IF(Q$16&gt;'III. Inputs, Renewable Energy'!$U$16,0, $G$18*(1-'III. Inputs, Renewable Energy'!$U$259)^Q16)</f>
        <v>0.95111013046577197</v>
      </c>
      <c r="R18" s="1189">
        <f>IF(R$16&gt;'III. Inputs, Renewable Energy'!$U$16,0, $G$18*(1-'III. Inputs, Renewable Energy'!$U$259)^R16)</f>
        <v>0.94635457981344306</v>
      </c>
      <c r="S18" s="1189">
        <f>IF(S$16&gt;'III. Inputs, Renewable Energy'!$U$16,0, $G$18*(1-'III. Inputs, Renewable Energy'!$U$259)^S16)</f>
        <v>0.94162280691437594</v>
      </c>
      <c r="T18" s="1189">
        <f>IF(T$16&gt;'III. Inputs, Renewable Energy'!$U$16,0, $G$18*(1-'III. Inputs, Renewable Energy'!$U$259)^T16)</f>
        <v>0.93691469287980411</v>
      </c>
      <c r="U18" s="1189">
        <f>IF(U$16&gt;'III. Inputs, Renewable Energy'!$U$16,0, $G$18*(1-'III. Inputs, Renewable Energy'!$U$259)^U16)</f>
        <v>0.93223011941540512</v>
      </c>
      <c r="V18" s="1189">
        <f>IF(V$16&gt;'III. Inputs, Renewable Energy'!$U$16,0, $G$18*(1-'III. Inputs, Renewable Energy'!$U$259)^V16)</f>
        <v>0.92756896881832807</v>
      </c>
      <c r="W18" s="1189">
        <f>IF(W$16&gt;'III. Inputs, Renewable Energy'!$U$16,0, $G$18*(1-'III. Inputs, Renewable Energy'!$U$259)^W16)</f>
        <v>0.92293112397423638</v>
      </c>
      <c r="X18" s="1189">
        <f>IF(X$16&gt;'III. Inputs, Renewable Energy'!$U$16,0, $G$18*(1-'III. Inputs, Renewable Energy'!$U$259)^X16)</f>
        <v>0.9183164683543652</v>
      </c>
      <c r="Y18" s="1189">
        <f>IF(Y$16&gt;'III. Inputs, Renewable Energy'!$U$16,0, $G$18*(1-'III. Inputs, Renewable Energy'!$U$259)^Y16)</f>
        <v>0.91372488601259338</v>
      </c>
      <c r="Z18" s="1189">
        <f>IF(Z$16&gt;'III. Inputs, Renewable Energy'!$U$16,0, $G$18*(1-'III. Inputs, Renewable Energy'!$U$259)^Z16)</f>
        <v>0.90915626158253038</v>
      </c>
      <c r="AA18" s="1190">
        <f>IF(AA$16&gt;'III. Inputs, Renewable Energy'!$U$16,0, $G$18*(1-'III. Inputs, Renewable Energy'!$U$259)^AA16)</f>
        <v>0.90461048027461777</v>
      </c>
      <c r="AB18" s="695"/>
    </row>
    <row r="19" spans="1:28" ht="4.5" customHeight="1" x14ac:dyDescent="0.45">
      <c r="A19" s="695"/>
      <c r="B19" s="1180"/>
      <c r="C19" s="1181"/>
      <c r="D19" s="1181"/>
      <c r="E19" s="1187"/>
      <c r="F19" s="1181"/>
      <c r="G19" s="1181"/>
      <c r="H19" s="1181"/>
      <c r="I19" s="1181"/>
      <c r="J19" s="1181"/>
      <c r="K19" s="1181"/>
      <c r="L19" s="1181"/>
      <c r="M19" s="1181"/>
      <c r="N19" s="1181"/>
      <c r="O19" s="1181"/>
      <c r="P19" s="1181"/>
      <c r="Q19" s="1181"/>
      <c r="R19" s="1181"/>
      <c r="S19" s="1181"/>
      <c r="T19" s="1181"/>
      <c r="U19" s="1181"/>
      <c r="V19" s="1181"/>
      <c r="W19" s="1181"/>
      <c r="X19" s="1181"/>
      <c r="Y19" s="1181"/>
      <c r="Z19" s="1181"/>
      <c r="AA19" s="1182"/>
      <c r="AB19" s="695"/>
    </row>
    <row r="20" spans="1:28" x14ac:dyDescent="0.45">
      <c r="A20" s="695"/>
      <c r="B20" s="1180" t="s">
        <v>85</v>
      </c>
      <c r="C20" s="1181"/>
      <c r="D20" s="1181"/>
      <c r="E20" s="1181"/>
      <c r="F20" s="1187" t="s">
        <v>86</v>
      </c>
      <c r="G20" s="1181"/>
      <c r="H20" s="1191">
        <f>IF(H$16&gt;'III. Inputs, Renewable Energy'!$U$16, 0, 'III. Inputs, Renewable Energy'!$U$14*'III. Inputs, Renewable Energy'!$U$257*(G18+H18)/2)</f>
        <v>1415484.8190000001</v>
      </c>
      <c r="I20" s="1191">
        <f>IF(I$16&gt;'III. Inputs, Renewable Energy'!$U$16, 0, 'III. Inputs, Renewable Energy'!$U$14*'III. Inputs, Renewable Energy'!$U$257*(H18+I18)/2)</f>
        <v>1408407.3949050002</v>
      </c>
      <c r="J20" s="1191">
        <f>IF(J$16&gt;'III. Inputs, Renewable Energy'!$U$16, 0, 'III. Inputs, Renewable Energy'!$U$14*'III. Inputs, Renewable Energy'!$U$257*(I18+J18)/2)</f>
        <v>1401365.3579304751</v>
      </c>
      <c r="K20" s="1191">
        <f>IF(K$16&gt;'III. Inputs, Renewable Energy'!$U$16, 0, 'III. Inputs, Renewable Energy'!$U$14*'III. Inputs, Renewable Energy'!$U$257*(J18+K18)/2)</f>
        <v>1394358.5311408229</v>
      </c>
      <c r="L20" s="1191">
        <f>IF(L$16&gt;'III. Inputs, Renewable Energy'!$U$16, 0, 'III. Inputs, Renewable Energy'!$U$14*'III. Inputs, Renewable Energy'!$U$257*(K18+L18)/2)</f>
        <v>1387386.7384851188</v>
      </c>
      <c r="M20" s="1191">
        <f>IF(M$16&gt;'III. Inputs, Renewable Energy'!$U$16, 0, 'III. Inputs, Renewable Energy'!$U$14*'III. Inputs, Renewable Energy'!$U$257*(L18+M18)/2)</f>
        <v>1380449.8047926931</v>
      </c>
      <c r="N20" s="1191">
        <f>IF(N$16&gt;'III. Inputs, Renewable Energy'!$U$16, 0, 'III. Inputs, Renewable Energy'!$U$14*'III. Inputs, Renewable Energy'!$U$257*(M18+N18)/2)</f>
        <v>1373547.5557687299</v>
      </c>
      <c r="O20" s="1191">
        <f>IF(O$16&gt;'III. Inputs, Renewable Energy'!$U$16, 0, 'III. Inputs, Renewable Energy'!$U$14*'III. Inputs, Renewable Energy'!$U$257*(N18+O18)/2)</f>
        <v>1366679.817989886</v>
      </c>
      <c r="P20" s="1191">
        <f>IF(P$16&gt;'III. Inputs, Renewable Energy'!$U$16, 0, 'III. Inputs, Renewable Energy'!$U$14*'III. Inputs, Renewable Energy'!$U$257*(O18+P18)/2)</f>
        <v>1359846.4188999366</v>
      </c>
      <c r="Q20" s="1191">
        <f>IF(Q$16&gt;'III. Inputs, Renewable Energy'!$U$16, 0, 'III. Inputs, Renewable Energy'!$U$14*'III. Inputs, Renewable Energy'!$U$257*(P18+Q18)/2)</f>
        <v>1353047.1868054369</v>
      </c>
      <c r="R20" s="1191">
        <f>IF(R$16&gt;'III. Inputs, Renewable Energy'!$U$16, 0, 'III. Inputs, Renewable Energy'!$U$14*'III. Inputs, Renewable Energy'!$U$257*(Q18+R18)/2)</f>
        <v>1346281.9508714096</v>
      </c>
      <c r="S20" s="1191">
        <f>IF(S$16&gt;'III. Inputs, Renewable Energy'!$U$16, 0, 'III. Inputs, Renewable Energy'!$U$14*'III. Inputs, Renewable Energy'!$U$257*(R18+S18)/2)</f>
        <v>1339550.5411170525</v>
      </c>
      <c r="T20" s="1191">
        <f>IF(T$16&gt;'III. Inputs, Renewable Energy'!$U$16, 0, 'III. Inputs, Renewable Energy'!$U$14*'III. Inputs, Renewable Energy'!$U$257*(S18+T18)/2)</f>
        <v>1332852.7884114676</v>
      </c>
      <c r="U20" s="1191">
        <f>IF(U$16&gt;'III. Inputs, Renewable Energy'!$U$16, 0, 'III. Inputs, Renewable Energy'!$U$14*'III. Inputs, Renewable Energy'!$U$257*(T18+U18)/2)</f>
        <v>1326188.5244694103</v>
      </c>
      <c r="V20" s="1191">
        <f>IF(V$16&gt;'III. Inputs, Renewable Energy'!$U$16, 0, 'III. Inputs, Renewable Energy'!$U$14*'III. Inputs, Renewable Energy'!$U$257*(U18+V18)/2)</f>
        <v>1319557.5818470633</v>
      </c>
      <c r="W20" s="1191">
        <f>IF(W$16&gt;'III. Inputs, Renewable Energy'!$U$16, 0, 'III. Inputs, Renewable Energy'!$U$14*'III. Inputs, Renewable Energy'!$U$257*(V18+W18)/2)</f>
        <v>1312959.7939378279</v>
      </c>
      <c r="X20" s="1191">
        <f>IF(X$16&gt;'III. Inputs, Renewable Energy'!$U$16, 0, 'III. Inputs, Renewable Energy'!$U$14*'III. Inputs, Renewable Energy'!$U$257*(W18+X18)/2)</f>
        <v>1306394.9949681386</v>
      </c>
      <c r="Y20" s="1191">
        <f>IF(Y$16&gt;'III. Inputs, Renewable Energy'!$U$16, 0, 'III. Inputs, Renewable Energy'!$U$14*'III. Inputs, Renewable Energy'!$U$257*(X18+Y18)/2)</f>
        <v>1299863.019993298</v>
      </c>
      <c r="Z20" s="1191">
        <f>IF(Z$16&gt;'III. Inputs, Renewable Energy'!$U$16, 0, 'III. Inputs, Renewable Energy'!$U$14*'III. Inputs, Renewable Energy'!$U$257*(Y18+Z18)/2)</f>
        <v>1293363.7048933315</v>
      </c>
      <c r="AA20" s="1192">
        <f>IF(AA$16&gt;'III. Inputs, Renewable Energy'!$U$16, 0, 'III. Inputs, Renewable Energy'!$U$14*'III. Inputs, Renewable Energy'!$U$257*(Z18+AA18)/2)</f>
        <v>1286896.8863688649</v>
      </c>
      <c r="AB20" s="695"/>
    </row>
    <row r="21" spans="1:28" ht="7.5" customHeight="1" x14ac:dyDescent="0.45">
      <c r="A21" s="695"/>
      <c r="B21" s="1180"/>
      <c r="C21" s="1181"/>
      <c r="D21" s="1181"/>
      <c r="E21" s="1187"/>
      <c r="F21" s="1181"/>
      <c r="G21" s="1181"/>
      <c r="H21" s="1181"/>
      <c r="I21" s="1181"/>
      <c r="J21" s="1181"/>
      <c r="K21" s="1181"/>
      <c r="L21" s="1181"/>
      <c r="M21" s="1181"/>
      <c r="N21" s="1181"/>
      <c r="O21" s="1181"/>
      <c r="P21" s="1181"/>
      <c r="Q21" s="1181"/>
      <c r="R21" s="1181"/>
      <c r="S21" s="1181"/>
      <c r="T21" s="1181"/>
      <c r="U21" s="1181"/>
      <c r="V21" s="1181"/>
      <c r="W21" s="1181"/>
      <c r="X21" s="1181"/>
      <c r="Y21" s="1181"/>
      <c r="Z21" s="1181"/>
      <c r="AA21" s="1182"/>
      <c r="AB21" s="695"/>
    </row>
    <row r="22" spans="1:28" ht="13.15" x14ac:dyDescent="0.45">
      <c r="A22" s="695"/>
      <c r="B22" s="1183" t="s">
        <v>87</v>
      </c>
      <c r="C22" s="1193"/>
      <c r="D22" s="1193"/>
      <c r="E22" s="1194"/>
      <c r="F22" s="1194"/>
      <c r="G22" s="1194"/>
      <c r="H22" s="1194"/>
      <c r="I22" s="1194"/>
      <c r="J22" s="1194"/>
      <c r="K22" s="1194"/>
      <c r="L22" s="1194"/>
      <c r="M22" s="1194"/>
      <c r="N22" s="1194"/>
      <c r="O22" s="1194"/>
      <c r="P22" s="1194"/>
      <c r="Q22" s="1194"/>
      <c r="R22" s="1194"/>
      <c r="S22" s="1194"/>
      <c r="T22" s="1194"/>
      <c r="U22" s="1194"/>
      <c r="V22" s="1194"/>
      <c r="W22" s="1194"/>
      <c r="X22" s="1194"/>
      <c r="Y22" s="1194"/>
      <c r="Z22" s="1194"/>
      <c r="AA22" s="1195"/>
      <c r="AB22" s="695"/>
    </row>
    <row r="23" spans="1:28" x14ac:dyDescent="0.45">
      <c r="A23" s="695"/>
      <c r="B23" s="1180"/>
      <c r="C23" s="1181"/>
      <c r="D23" s="1181"/>
      <c r="E23" s="1187"/>
      <c r="F23" s="1181"/>
      <c r="G23" s="1181"/>
      <c r="H23" s="1181"/>
      <c r="I23" s="1181"/>
      <c r="J23" s="1181"/>
      <c r="K23" s="1181"/>
      <c r="L23" s="1181"/>
      <c r="M23" s="1181"/>
      <c r="N23" s="1181"/>
      <c r="O23" s="1181"/>
      <c r="P23" s="1181"/>
      <c r="Q23" s="1181"/>
      <c r="R23" s="1181"/>
      <c r="S23" s="1181"/>
      <c r="T23" s="1181"/>
      <c r="U23" s="1181"/>
      <c r="V23" s="1181"/>
      <c r="W23" s="1181"/>
      <c r="X23" s="1181"/>
      <c r="Y23" s="1181"/>
      <c r="Z23" s="1181"/>
      <c r="AA23" s="1182"/>
      <c r="AB23" s="695"/>
    </row>
    <row r="24" spans="1:28" x14ac:dyDescent="0.45">
      <c r="A24" s="695"/>
      <c r="B24" s="1180" t="s">
        <v>88</v>
      </c>
      <c r="C24" s="1181"/>
      <c r="D24" s="1181"/>
      <c r="E24" s="1187"/>
      <c r="F24" s="1187" t="s">
        <v>748</v>
      </c>
      <c r="G24" s="1736"/>
      <c r="H24" s="1626">
        <f>IF(H$16&gt;'III. Inputs, Renewable Energy'!$U$16,0,'III. Inputs, Renewable Energy'!$S$269*'III. Inputs, Renewable Energy'!$U$14*(1+'III. Inputs, Renewable Energy'!$S$270)^(H$16-1))</f>
        <v>13414275</v>
      </c>
      <c r="I24" s="1626">
        <f>IF(I$16&gt;'III. Inputs, Renewable Energy'!$U$16,0,'III. Inputs, Renewable Energy'!$S$269*'III. Inputs, Renewable Energy'!$U$14*(1+'III. Inputs, Renewable Energy'!$S$270)^(I$16-1))</f>
        <v>13682560.5</v>
      </c>
      <c r="J24" s="1626">
        <f>IF(J$16&gt;'III. Inputs, Renewable Energy'!$U$16,0,'III. Inputs, Renewable Energy'!$S$269*'III. Inputs, Renewable Energy'!$U$14*(1+'III. Inputs, Renewable Energy'!$S$270)^(J$16-1))</f>
        <v>13956211.709999999</v>
      </c>
      <c r="K24" s="1626">
        <f>IF(K$16&gt;'III. Inputs, Renewable Energy'!$U$16,0,'III. Inputs, Renewable Energy'!$S$269*'III. Inputs, Renewable Energy'!$U$14*(1+'III. Inputs, Renewable Energy'!$S$270)^(K$16-1))</f>
        <v>14235335.9442</v>
      </c>
      <c r="L24" s="1626">
        <f>IF(L$16&gt;'III. Inputs, Renewable Energy'!$U$16,0,'III. Inputs, Renewable Energy'!$S$269*'III. Inputs, Renewable Energy'!$U$14*(1+'III. Inputs, Renewable Energy'!$S$270)^(L$16-1))</f>
        <v>14520042.663084</v>
      </c>
      <c r="M24" s="1626">
        <f>IF(M$16&gt;'III. Inputs, Renewable Energy'!$U$16,0,'III. Inputs, Renewable Energy'!$S$269*'III. Inputs, Renewable Energy'!$U$14*(1+'III. Inputs, Renewable Energy'!$S$270)^(M$16-1))</f>
        <v>14810443.51634568</v>
      </c>
      <c r="N24" s="1626">
        <f>IF(N$16&gt;'III. Inputs, Renewable Energy'!$U$16,0,'III. Inputs, Renewable Energy'!$S$269*'III. Inputs, Renewable Energy'!$U$14*(1+'III. Inputs, Renewable Energy'!$S$270)^(N$16-1))</f>
        <v>15106652.386672594</v>
      </c>
      <c r="O24" s="1626">
        <f>IF(O$16&gt;'III. Inputs, Renewable Energy'!$U$16,0,'III. Inputs, Renewable Energy'!$S$269*'III. Inputs, Renewable Energy'!$U$14*(1+'III. Inputs, Renewable Energy'!$S$270)^(O$16-1))</f>
        <v>15408785.434406042</v>
      </c>
      <c r="P24" s="1626">
        <f>IF(P$16&gt;'III. Inputs, Renewable Energy'!$U$16,0,'III. Inputs, Renewable Energy'!$S$269*'III. Inputs, Renewable Energy'!$U$14*(1+'III. Inputs, Renewable Energy'!$S$270)^(P$16-1))</f>
        <v>15716961.143094165</v>
      </c>
      <c r="Q24" s="1626">
        <f>IF(Q$16&gt;'III. Inputs, Renewable Energy'!$U$16,0,'III. Inputs, Renewable Energy'!$S$269*'III. Inputs, Renewable Energy'!$U$14*(1+'III. Inputs, Renewable Energy'!$S$270)^(Q$16-1))</f>
        <v>16031300.365956049</v>
      </c>
      <c r="R24" s="1626">
        <f>IF(R$16&gt;'III. Inputs, Renewable Energy'!$U$16,0,'III. Inputs, Renewable Energy'!$S$269*'III. Inputs, Renewable Energy'!$U$14*(1+'III. Inputs, Renewable Energy'!$S$270)^(R$16-1))</f>
        <v>16351926.37327517</v>
      </c>
      <c r="S24" s="1626">
        <f>IF(S$16&gt;'III. Inputs, Renewable Energy'!$U$16,0,'III. Inputs, Renewable Energy'!$S$269*'III. Inputs, Renewable Energy'!$U$14*(1+'III. Inputs, Renewable Energy'!$S$270)^(S$16-1))</f>
        <v>16678964.90074067</v>
      </c>
      <c r="T24" s="1626">
        <f>IF(T$16&gt;'III. Inputs, Renewable Energy'!$U$16,0,'III. Inputs, Renewable Energy'!$S$269*'III. Inputs, Renewable Energy'!$U$14*(1+'III. Inputs, Renewable Energy'!$S$270)^(T$16-1))</f>
        <v>17012544.198755488</v>
      </c>
      <c r="U24" s="1626">
        <f>IF(U$16&gt;'III. Inputs, Renewable Energy'!$U$16,0,'III. Inputs, Renewable Energy'!$S$269*'III. Inputs, Renewable Energy'!$U$14*(1+'III. Inputs, Renewable Energy'!$S$270)^(U$16-1))</f>
        <v>17352795.082730595</v>
      </c>
      <c r="V24" s="1626">
        <f>IF(V$16&gt;'III. Inputs, Renewable Energy'!$U$16,0,'III. Inputs, Renewable Energy'!$S$269*'III. Inputs, Renewable Energy'!$U$14*(1+'III. Inputs, Renewable Energy'!$S$270)^(V$16-1))</f>
        <v>17699850.984385211</v>
      </c>
      <c r="W24" s="1626">
        <f>IF(W$16&gt;'III. Inputs, Renewable Energy'!$U$16,0,'III. Inputs, Renewable Energy'!$S$269*'III. Inputs, Renewable Energy'!$U$14*(1+'III. Inputs, Renewable Energy'!$S$270)^(W$16-1))</f>
        <v>18053848.004072908</v>
      </c>
      <c r="X24" s="1626">
        <f>IF(X$16&gt;'III. Inputs, Renewable Energy'!$U$16,0,'III. Inputs, Renewable Energy'!$S$269*'III. Inputs, Renewable Energy'!$U$14*(1+'III. Inputs, Renewable Energy'!$S$270)^(X$16-1))</f>
        <v>18414924.96415437</v>
      </c>
      <c r="Y24" s="1626">
        <f>IF(Y$16&gt;'III. Inputs, Renewable Energy'!$U$16,0,'III. Inputs, Renewable Energy'!$S$269*'III. Inputs, Renewable Energy'!$U$14*(1+'III. Inputs, Renewable Energy'!$S$270)^(Y$16-1))</f>
        <v>18783223.46343746</v>
      </c>
      <c r="Z24" s="1626">
        <f>IF(Z$16&gt;'III. Inputs, Renewable Energy'!$U$16,0,'III. Inputs, Renewable Energy'!$S$269*'III. Inputs, Renewable Energy'!$U$14*(1+'III. Inputs, Renewable Energy'!$S$270)^(Z$16-1))</f>
        <v>19158887.932706207</v>
      </c>
      <c r="AA24" s="1627">
        <f>IF(AA$16&gt;'III. Inputs, Renewable Energy'!$U$16,0,'III. Inputs, Renewable Energy'!$S$269*'III. Inputs, Renewable Energy'!$U$14*(1+'III. Inputs, Renewable Energy'!$S$270)^(AA$16-1))</f>
        <v>19542065.691360328</v>
      </c>
      <c r="AB24" s="695"/>
    </row>
    <row r="25" spans="1:28" x14ac:dyDescent="0.45">
      <c r="A25" s="695"/>
      <c r="B25" s="1180"/>
      <c r="C25" s="1181"/>
      <c r="D25" s="1181"/>
      <c r="E25" s="1187"/>
      <c r="F25" s="1187"/>
      <c r="G25" s="1736"/>
      <c r="H25" s="1626"/>
      <c r="I25" s="1626"/>
      <c r="J25" s="1626"/>
      <c r="K25" s="1626"/>
      <c r="L25" s="1626"/>
      <c r="M25" s="1626"/>
      <c r="N25" s="1626"/>
      <c r="O25" s="1626"/>
      <c r="P25" s="1626"/>
      <c r="Q25" s="1626"/>
      <c r="R25" s="1626"/>
      <c r="S25" s="1626"/>
      <c r="T25" s="1626"/>
      <c r="U25" s="1626"/>
      <c r="V25" s="1626"/>
      <c r="W25" s="1626"/>
      <c r="X25" s="1626"/>
      <c r="Y25" s="1626"/>
      <c r="Z25" s="1626"/>
      <c r="AA25" s="1628"/>
      <c r="AB25" s="695"/>
    </row>
    <row r="26" spans="1:28" x14ac:dyDescent="0.45">
      <c r="A26" s="695"/>
      <c r="B26" s="1180" t="s">
        <v>89</v>
      </c>
      <c r="C26" s="1181"/>
      <c r="D26" s="1181"/>
      <c r="E26" s="1187"/>
      <c r="F26" s="1187" t="s">
        <v>748</v>
      </c>
      <c r="G26" s="1629"/>
      <c r="H26" s="1629">
        <f>H365</f>
        <v>25250226.50398647</v>
      </c>
      <c r="I26" s="1629">
        <f>I365</f>
        <v>25250226.50398647</v>
      </c>
      <c r="J26" s="1629">
        <f t="shared" ref="J26:AA26" si="0">J365</f>
        <v>25250226.50398647</v>
      </c>
      <c r="K26" s="1629">
        <f t="shared" si="0"/>
        <v>25250226.50398647</v>
      </c>
      <c r="L26" s="1629">
        <f t="shared" si="0"/>
        <v>25250226.50398647</v>
      </c>
      <c r="M26" s="1629">
        <f t="shared" si="0"/>
        <v>25250226.50398647</v>
      </c>
      <c r="N26" s="1629">
        <f t="shared" si="0"/>
        <v>25250226.50398647</v>
      </c>
      <c r="O26" s="1629">
        <f t="shared" si="0"/>
        <v>25250226.50398647</v>
      </c>
      <c r="P26" s="1629">
        <f t="shared" si="0"/>
        <v>25250226.50398647</v>
      </c>
      <c r="Q26" s="1629">
        <f t="shared" si="0"/>
        <v>25250226.50398647</v>
      </c>
      <c r="R26" s="1629">
        <f t="shared" si="0"/>
        <v>25250226.50398647</v>
      </c>
      <c r="S26" s="1629">
        <f t="shared" si="0"/>
        <v>25250226.50398647</v>
      </c>
      <c r="T26" s="1629">
        <f t="shared" si="0"/>
        <v>25250226.50398647</v>
      </c>
      <c r="U26" s="1629">
        <f t="shared" si="0"/>
        <v>25250226.50398647</v>
      </c>
      <c r="V26" s="1629">
        <f t="shared" si="0"/>
        <v>25250226.50398647</v>
      </c>
      <c r="W26" s="1629">
        <f t="shared" si="0"/>
        <v>25250226.50398647</v>
      </c>
      <c r="X26" s="1629">
        <f t="shared" si="0"/>
        <v>25250226.50398647</v>
      </c>
      <c r="Y26" s="1629">
        <f t="shared" si="0"/>
        <v>25250226.50398647</v>
      </c>
      <c r="Z26" s="1629">
        <f t="shared" si="0"/>
        <v>25250226.50398647</v>
      </c>
      <c r="AA26" s="1627">
        <f t="shared" si="0"/>
        <v>25250226.50398647</v>
      </c>
      <c r="AB26" s="695"/>
    </row>
    <row r="27" spans="1:28" x14ac:dyDescent="0.45">
      <c r="A27" s="695"/>
      <c r="B27" s="1180"/>
      <c r="C27" s="1181"/>
      <c r="D27" s="1181"/>
      <c r="E27" s="1187"/>
      <c r="F27" s="1187"/>
      <c r="G27" s="1629"/>
      <c r="H27" s="1629"/>
      <c r="I27" s="1629"/>
      <c r="J27" s="1629"/>
      <c r="K27" s="1629"/>
      <c r="L27" s="1629"/>
      <c r="M27" s="1629"/>
      <c r="N27" s="1629"/>
      <c r="O27" s="1629"/>
      <c r="P27" s="1629"/>
      <c r="Q27" s="1629"/>
      <c r="R27" s="1629"/>
      <c r="S27" s="1629"/>
      <c r="T27" s="1629"/>
      <c r="U27" s="1629"/>
      <c r="V27" s="1629"/>
      <c r="W27" s="1629"/>
      <c r="X27" s="1629"/>
      <c r="Y27" s="1629"/>
      <c r="Z27" s="1629"/>
      <c r="AA27" s="1627"/>
      <c r="AB27" s="695"/>
    </row>
    <row r="28" spans="1:28" x14ac:dyDescent="0.45">
      <c r="A28" s="695"/>
      <c r="B28" s="1180" t="s">
        <v>219</v>
      </c>
      <c r="C28" s="1181"/>
      <c r="D28" s="1181"/>
      <c r="E28" s="1187"/>
      <c r="F28" s="1187" t="s">
        <v>748</v>
      </c>
      <c r="G28" s="1629"/>
      <c r="H28" s="1629">
        <f>H206</f>
        <v>0</v>
      </c>
      <c r="I28" s="1629">
        <f>I206</f>
        <v>0</v>
      </c>
      <c r="J28" s="1629">
        <f t="shared" ref="J28:AA28" si="1">J206</f>
        <v>0</v>
      </c>
      <c r="K28" s="1629">
        <f t="shared" si="1"/>
        <v>0</v>
      </c>
      <c r="L28" s="1629">
        <f t="shared" si="1"/>
        <v>0</v>
      </c>
      <c r="M28" s="1629">
        <f t="shared" si="1"/>
        <v>0</v>
      </c>
      <c r="N28" s="1629">
        <f t="shared" si="1"/>
        <v>0</v>
      </c>
      <c r="O28" s="1629">
        <f t="shared" si="1"/>
        <v>0</v>
      </c>
      <c r="P28" s="1629">
        <f t="shared" si="1"/>
        <v>0</v>
      </c>
      <c r="Q28" s="1629">
        <f t="shared" si="1"/>
        <v>0</v>
      </c>
      <c r="R28" s="1629">
        <f t="shared" si="1"/>
        <v>0</v>
      </c>
      <c r="S28" s="1629">
        <f t="shared" si="1"/>
        <v>0</v>
      </c>
      <c r="T28" s="1629">
        <f t="shared" si="1"/>
        <v>0</v>
      </c>
      <c r="U28" s="1629">
        <f t="shared" si="1"/>
        <v>0</v>
      </c>
      <c r="V28" s="1629">
        <f t="shared" si="1"/>
        <v>0</v>
      </c>
      <c r="W28" s="1629">
        <f t="shared" si="1"/>
        <v>0</v>
      </c>
      <c r="X28" s="1629">
        <f t="shared" si="1"/>
        <v>0</v>
      </c>
      <c r="Y28" s="1629">
        <f t="shared" si="1"/>
        <v>0</v>
      </c>
      <c r="Z28" s="1629">
        <f t="shared" si="1"/>
        <v>0</v>
      </c>
      <c r="AA28" s="1627">
        <f t="shared" si="1"/>
        <v>0</v>
      </c>
      <c r="AB28" s="695"/>
    </row>
    <row r="29" spans="1:28" x14ac:dyDescent="0.45">
      <c r="A29" s="695"/>
      <c r="B29" s="1180" t="s">
        <v>160</v>
      </c>
      <c r="C29" s="1181"/>
      <c r="D29" s="1181"/>
      <c r="E29" s="1187"/>
      <c r="F29" s="1187" t="s">
        <v>748</v>
      </c>
      <c r="G29" s="1629"/>
      <c r="H29" s="1629">
        <f>H227</f>
        <v>0</v>
      </c>
      <c r="I29" s="1629">
        <f>I227</f>
        <v>0</v>
      </c>
      <c r="J29" s="1629">
        <f t="shared" ref="J29:AA29" si="2">J227</f>
        <v>0</v>
      </c>
      <c r="K29" s="1629">
        <f t="shared" si="2"/>
        <v>0</v>
      </c>
      <c r="L29" s="1629">
        <f t="shared" si="2"/>
        <v>0</v>
      </c>
      <c r="M29" s="1629">
        <f t="shared" si="2"/>
        <v>0</v>
      </c>
      <c r="N29" s="1629">
        <f t="shared" si="2"/>
        <v>0</v>
      </c>
      <c r="O29" s="1629">
        <f t="shared" si="2"/>
        <v>0</v>
      </c>
      <c r="P29" s="1629">
        <f t="shared" si="2"/>
        <v>0</v>
      </c>
      <c r="Q29" s="1629">
        <f t="shared" si="2"/>
        <v>0</v>
      </c>
      <c r="R29" s="1629">
        <f t="shared" si="2"/>
        <v>0</v>
      </c>
      <c r="S29" s="1629">
        <f t="shared" si="2"/>
        <v>0</v>
      </c>
      <c r="T29" s="1629">
        <f t="shared" si="2"/>
        <v>0</v>
      </c>
      <c r="U29" s="1629">
        <f t="shared" si="2"/>
        <v>0</v>
      </c>
      <c r="V29" s="1629">
        <f t="shared" si="2"/>
        <v>0</v>
      </c>
      <c r="W29" s="1629">
        <f t="shared" si="2"/>
        <v>0</v>
      </c>
      <c r="X29" s="1629">
        <f t="shared" si="2"/>
        <v>0</v>
      </c>
      <c r="Y29" s="1629">
        <f t="shared" si="2"/>
        <v>0</v>
      </c>
      <c r="Z29" s="1629">
        <f t="shared" si="2"/>
        <v>0</v>
      </c>
      <c r="AA29" s="1627">
        <f t="shared" si="2"/>
        <v>0</v>
      </c>
      <c r="AB29" s="695"/>
    </row>
    <row r="30" spans="1:28" x14ac:dyDescent="0.45">
      <c r="A30" s="695"/>
      <c r="B30" s="1180" t="s">
        <v>161</v>
      </c>
      <c r="C30" s="1181"/>
      <c r="D30" s="1181"/>
      <c r="E30" s="1187"/>
      <c r="F30" s="1187" t="s">
        <v>748</v>
      </c>
      <c r="G30" s="1629"/>
      <c r="H30" s="1629">
        <f>H248</f>
        <v>29768688.088910367</v>
      </c>
      <c r="I30" s="1629">
        <f>I248</f>
        <v>27980294.198088348</v>
      </c>
      <c r="J30" s="1629">
        <f t="shared" ref="J30:AA30" si="3">J248</f>
        <v>26048828.796000563</v>
      </c>
      <c r="K30" s="1629">
        <f t="shared" si="3"/>
        <v>23962846.161745753</v>
      </c>
      <c r="L30" s="1629">
        <f t="shared" si="3"/>
        <v>21709984.916750561</v>
      </c>
      <c r="M30" s="1629">
        <f t="shared" si="3"/>
        <v>19276894.772155754</v>
      </c>
      <c r="N30" s="1629">
        <f t="shared" si="3"/>
        <v>16649157.415993363</v>
      </c>
      <c r="O30" s="1629">
        <f t="shared" si="3"/>
        <v>13811201.071337977</v>
      </c>
      <c r="P30" s="1629">
        <f t="shared" si="3"/>
        <v>10746208.219110165</v>
      </c>
      <c r="Q30" s="1629">
        <f t="shared" si="3"/>
        <v>7436015.9387041247</v>
      </c>
      <c r="R30" s="1629">
        <f t="shared" si="3"/>
        <v>3861008.2758656032</v>
      </c>
      <c r="S30" s="1629">
        <f t="shared" si="3"/>
        <v>0</v>
      </c>
      <c r="T30" s="1629">
        <f t="shared" si="3"/>
        <v>0</v>
      </c>
      <c r="U30" s="1629">
        <f t="shared" si="3"/>
        <v>0</v>
      </c>
      <c r="V30" s="1629">
        <f t="shared" si="3"/>
        <v>0</v>
      </c>
      <c r="W30" s="1629">
        <f t="shared" si="3"/>
        <v>0</v>
      </c>
      <c r="X30" s="1629">
        <f t="shared" si="3"/>
        <v>0</v>
      </c>
      <c r="Y30" s="1629">
        <f t="shared" si="3"/>
        <v>0</v>
      </c>
      <c r="Z30" s="1629">
        <f t="shared" si="3"/>
        <v>0</v>
      </c>
      <c r="AA30" s="1627">
        <f t="shared" si="3"/>
        <v>0</v>
      </c>
      <c r="AB30" s="695"/>
    </row>
    <row r="31" spans="1:28" x14ac:dyDescent="0.45">
      <c r="A31" s="695"/>
      <c r="B31" s="1180" t="s">
        <v>120</v>
      </c>
      <c r="C31" s="1181"/>
      <c r="D31" s="1181"/>
      <c r="E31" s="1187"/>
      <c r="F31" s="1187" t="s">
        <v>748</v>
      </c>
      <c r="G31" s="1629"/>
      <c r="H31" s="1629">
        <f>(H217+H238+H259)</f>
        <v>0</v>
      </c>
      <c r="I31" s="1629">
        <f>(I217+I238+I259)</f>
        <v>0</v>
      </c>
      <c r="J31" s="1629">
        <f t="shared" ref="J31:AA31" si="4">(J217+J238+J259)</f>
        <v>0</v>
      </c>
      <c r="K31" s="1629">
        <f t="shared" si="4"/>
        <v>0</v>
      </c>
      <c r="L31" s="1629">
        <f t="shared" si="4"/>
        <v>0</v>
      </c>
      <c r="M31" s="1629">
        <f t="shared" si="4"/>
        <v>0</v>
      </c>
      <c r="N31" s="1629">
        <f t="shared" si="4"/>
        <v>0</v>
      </c>
      <c r="O31" s="1629">
        <f t="shared" si="4"/>
        <v>0</v>
      </c>
      <c r="P31" s="1629">
        <f t="shared" si="4"/>
        <v>0</v>
      </c>
      <c r="Q31" s="1629">
        <f t="shared" si="4"/>
        <v>0</v>
      </c>
      <c r="R31" s="1629">
        <f t="shared" si="4"/>
        <v>0</v>
      </c>
      <c r="S31" s="1629">
        <f t="shared" si="4"/>
        <v>0</v>
      </c>
      <c r="T31" s="1629">
        <f t="shared" si="4"/>
        <v>0</v>
      </c>
      <c r="U31" s="1629">
        <f t="shared" si="4"/>
        <v>0</v>
      </c>
      <c r="V31" s="1629">
        <f t="shared" si="4"/>
        <v>0</v>
      </c>
      <c r="W31" s="1629">
        <f t="shared" si="4"/>
        <v>0</v>
      </c>
      <c r="X31" s="1629">
        <f t="shared" si="4"/>
        <v>0</v>
      </c>
      <c r="Y31" s="1629">
        <f t="shared" si="4"/>
        <v>0</v>
      </c>
      <c r="Z31" s="1629">
        <f t="shared" si="4"/>
        <v>0</v>
      </c>
      <c r="AA31" s="1627">
        <f t="shared" si="4"/>
        <v>0</v>
      </c>
      <c r="AB31" s="695"/>
    </row>
    <row r="32" spans="1:28" x14ac:dyDescent="0.45">
      <c r="A32" s="695"/>
      <c r="B32" s="1180" t="s">
        <v>162</v>
      </c>
      <c r="C32" s="1181"/>
      <c r="D32" s="1181"/>
      <c r="E32" s="1187"/>
      <c r="F32" s="1187" t="s">
        <v>748</v>
      </c>
      <c r="G32" s="1629"/>
      <c r="H32" s="1629">
        <f>H239+H240</f>
        <v>0</v>
      </c>
      <c r="I32" s="1629">
        <f>+I240</f>
        <v>0</v>
      </c>
      <c r="J32" s="1629">
        <f t="shared" ref="J32:AA32" si="5">+J240</f>
        <v>0</v>
      </c>
      <c r="K32" s="1629">
        <f t="shared" si="5"/>
        <v>0</v>
      </c>
      <c r="L32" s="1629">
        <f t="shared" si="5"/>
        <v>0</v>
      </c>
      <c r="M32" s="1629">
        <f t="shared" si="5"/>
        <v>0</v>
      </c>
      <c r="N32" s="1629">
        <f t="shared" si="5"/>
        <v>0</v>
      </c>
      <c r="O32" s="1629">
        <f t="shared" si="5"/>
        <v>0</v>
      </c>
      <c r="P32" s="1629">
        <f t="shared" si="5"/>
        <v>0</v>
      </c>
      <c r="Q32" s="1629">
        <f t="shared" si="5"/>
        <v>0</v>
      </c>
      <c r="R32" s="1629">
        <f t="shared" si="5"/>
        <v>0</v>
      </c>
      <c r="S32" s="1629">
        <f t="shared" si="5"/>
        <v>0</v>
      </c>
      <c r="T32" s="1629">
        <f t="shared" si="5"/>
        <v>0</v>
      </c>
      <c r="U32" s="1629">
        <f t="shared" si="5"/>
        <v>0</v>
      </c>
      <c r="V32" s="1629">
        <f t="shared" si="5"/>
        <v>0</v>
      </c>
      <c r="W32" s="1629">
        <f t="shared" si="5"/>
        <v>0</v>
      </c>
      <c r="X32" s="1629">
        <f t="shared" si="5"/>
        <v>0</v>
      </c>
      <c r="Y32" s="1629">
        <f t="shared" si="5"/>
        <v>0</v>
      </c>
      <c r="Z32" s="1629">
        <f t="shared" si="5"/>
        <v>0</v>
      </c>
      <c r="AA32" s="1627">
        <f t="shared" si="5"/>
        <v>0</v>
      </c>
      <c r="AB32" s="695"/>
    </row>
    <row r="33" spans="1:28" x14ac:dyDescent="0.45">
      <c r="A33" s="695"/>
      <c r="B33" s="1180" t="s">
        <v>121</v>
      </c>
      <c r="C33" s="1181"/>
      <c r="D33" s="1181"/>
      <c r="E33" s="1187"/>
      <c r="F33" s="1187" t="s">
        <v>748</v>
      </c>
      <c r="G33" s="1629"/>
      <c r="H33" s="1629">
        <f>(H269+H270)</f>
        <v>0</v>
      </c>
      <c r="I33" s="1629">
        <f>(+I270)</f>
        <v>0</v>
      </c>
      <c r="J33" s="1629">
        <f t="shared" ref="J33:AA33" si="6">(+J270)</f>
        <v>0</v>
      </c>
      <c r="K33" s="1629">
        <f t="shared" si="6"/>
        <v>0</v>
      </c>
      <c r="L33" s="1629">
        <f t="shared" si="6"/>
        <v>0</v>
      </c>
      <c r="M33" s="1629">
        <f t="shared" si="6"/>
        <v>0</v>
      </c>
      <c r="N33" s="1629">
        <f t="shared" si="6"/>
        <v>0</v>
      </c>
      <c r="O33" s="1629">
        <f t="shared" si="6"/>
        <v>0</v>
      </c>
      <c r="P33" s="1629">
        <f t="shared" si="6"/>
        <v>0</v>
      </c>
      <c r="Q33" s="1629">
        <f t="shared" si="6"/>
        <v>0</v>
      </c>
      <c r="R33" s="1629">
        <f t="shared" si="6"/>
        <v>0</v>
      </c>
      <c r="S33" s="1629">
        <f t="shared" si="6"/>
        <v>0</v>
      </c>
      <c r="T33" s="1629">
        <f t="shared" si="6"/>
        <v>0</v>
      </c>
      <c r="U33" s="1629">
        <f t="shared" si="6"/>
        <v>0</v>
      </c>
      <c r="V33" s="1629">
        <f t="shared" si="6"/>
        <v>0</v>
      </c>
      <c r="W33" s="1629">
        <f t="shared" si="6"/>
        <v>0</v>
      </c>
      <c r="X33" s="1629">
        <f t="shared" si="6"/>
        <v>0</v>
      </c>
      <c r="Y33" s="1629">
        <f t="shared" si="6"/>
        <v>0</v>
      </c>
      <c r="Z33" s="1629">
        <f t="shared" si="6"/>
        <v>0</v>
      </c>
      <c r="AA33" s="1627">
        <f t="shared" si="6"/>
        <v>0</v>
      </c>
      <c r="AB33" s="695"/>
    </row>
    <row r="34" spans="1:28" x14ac:dyDescent="0.45">
      <c r="A34" s="695"/>
      <c r="B34" s="1180"/>
      <c r="C34" s="1181"/>
      <c r="D34" s="1181"/>
      <c r="E34" s="1187"/>
      <c r="F34" s="1187"/>
      <c r="G34" s="1629"/>
      <c r="H34" s="1629"/>
      <c r="I34" s="1629"/>
      <c r="J34" s="1629"/>
      <c r="K34" s="1629"/>
      <c r="L34" s="1629"/>
      <c r="M34" s="1629"/>
      <c r="N34" s="1629"/>
      <c r="O34" s="1629"/>
      <c r="P34" s="1629"/>
      <c r="Q34" s="1629"/>
      <c r="R34" s="1629"/>
      <c r="S34" s="1629"/>
      <c r="T34" s="1629"/>
      <c r="U34" s="1629"/>
      <c r="V34" s="1629"/>
      <c r="W34" s="1629"/>
      <c r="X34" s="1629"/>
      <c r="Y34" s="1629"/>
      <c r="Z34" s="1629"/>
      <c r="AA34" s="1627"/>
      <c r="AB34" s="695"/>
    </row>
    <row r="35" spans="1:28" x14ac:dyDescent="0.45">
      <c r="A35" s="695"/>
      <c r="B35" s="1180"/>
      <c r="C35" s="1181"/>
      <c r="D35" s="1181"/>
      <c r="E35" s="1187"/>
      <c r="F35" s="1187"/>
      <c r="G35" s="1629"/>
      <c r="H35" s="1629"/>
      <c r="I35" s="1629"/>
      <c r="J35" s="1629"/>
      <c r="K35" s="1629"/>
      <c r="L35" s="1629"/>
      <c r="M35" s="1629"/>
      <c r="N35" s="1629"/>
      <c r="O35" s="1629"/>
      <c r="P35" s="1629"/>
      <c r="Q35" s="1629"/>
      <c r="R35" s="1629"/>
      <c r="S35" s="1629"/>
      <c r="T35" s="1629"/>
      <c r="U35" s="1629"/>
      <c r="V35" s="1629"/>
      <c r="W35" s="1629"/>
      <c r="X35" s="1629"/>
      <c r="Y35" s="1629"/>
      <c r="Z35" s="1629"/>
      <c r="AA35" s="1627"/>
      <c r="AB35" s="695"/>
    </row>
    <row r="36" spans="1:28" ht="13.15" x14ac:dyDescent="0.45">
      <c r="A36" s="695"/>
      <c r="B36" s="1196" t="s">
        <v>400</v>
      </c>
      <c r="C36" s="1181"/>
      <c r="D36" s="1181"/>
      <c r="E36" s="1187"/>
      <c r="F36" s="1187"/>
      <c r="G36" s="1629"/>
      <c r="H36" s="1629"/>
      <c r="I36" s="1629"/>
      <c r="J36" s="1629"/>
      <c r="K36" s="1629"/>
      <c r="L36" s="1629"/>
      <c r="M36" s="1629"/>
      <c r="N36" s="1629"/>
      <c r="O36" s="1629"/>
      <c r="P36" s="1629"/>
      <c r="Q36" s="1629"/>
      <c r="R36" s="1629"/>
      <c r="S36" s="1629"/>
      <c r="T36" s="1629"/>
      <c r="U36" s="1629"/>
      <c r="V36" s="1629"/>
      <c r="W36" s="1629"/>
      <c r="X36" s="1629"/>
      <c r="Y36" s="1629"/>
      <c r="Z36" s="1629"/>
      <c r="AA36" s="1627"/>
      <c r="AB36" s="695"/>
    </row>
    <row r="37" spans="1:28" x14ac:dyDescent="0.45">
      <c r="A37" s="695"/>
      <c r="B37" s="1180"/>
      <c r="C37" s="1181"/>
      <c r="D37" s="1181"/>
      <c r="E37" s="1187"/>
      <c r="F37" s="1187"/>
      <c r="G37" s="1629"/>
      <c r="H37" s="1629"/>
      <c r="I37" s="1629"/>
      <c r="J37" s="1629"/>
      <c r="K37" s="1629"/>
      <c r="L37" s="1629"/>
      <c r="M37" s="1629"/>
      <c r="N37" s="1629"/>
      <c r="O37" s="1629"/>
      <c r="P37" s="1629"/>
      <c r="Q37" s="1629"/>
      <c r="R37" s="1629"/>
      <c r="S37" s="1629"/>
      <c r="T37" s="1629"/>
      <c r="U37" s="1629"/>
      <c r="V37" s="1629"/>
      <c r="W37" s="1629"/>
      <c r="X37" s="1629"/>
      <c r="Y37" s="1629"/>
      <c r="Z37" s="1629"/>
      <c r="AA37" s="1627"/>
      <c r="AB37" s="695"/>
    </row>
    <row r="38" spans="1:28" x14ac:dyDescent="0.45">
      <c r="A38" s="695"/>
      <c r="B38" s="1180" t="str">
        <f>B24</f>
        <v>Operations &amp; Maintenance Expenses</v>
      </c>
      <c r="C38" s="1181"/>
      <c r="D38" s="1181"/>
      <c r="E38" s="1187"/>
      <c r="F38" s="1187" t="s">
        <v>748</v>
      </c>
      <c r="G38" s="1629"/>
      <c r="H38" s="1629">
        <f>-H24</f>
        <v>-13414275</v>
      </c>
      <c r="I38" s="1629">
        <f t="shared" ref="I38:AA38" si="7">-I24</f>
        <v>-13682560.5</v>
      </c>
      <c r="J38" s="1629">
        <f t="shared" si="7"/>
        <v>-13956211.709999999</v>
      </c>
      <c r="K38" s="1629">
        <f t="shared" si="7"/>
        <v>-14235335.9442</v>
      </c>
      <c r="L38" s="1629">
        <f t="shared" si="7"/>
        <v>-14520042.663084</v>
      </c>
      <c r="M38" s="1629">
        <f t="shared" si="7"/>
        <v>-14810443.51634568</v>
      </c>
      <c r="N38" s="1629">
        <f t="shared" si="7"/>
        <v>-15106652.386672594</v>
      </c>
      <c r="O38" s="1629">
        <f t="shared" si="7"/>
        <v>-15408785.434406042</v>
      </c>
      <c r="P38" s="1629">
        <f t="shared" si="7"/>
        <v>-15716961.143094165</v>
      </c>
      <c r="Q38" s="1629">
        <f t="shared" si="7"/>
        <v>-16031300.365956049</v>
      </c>
      <c r="R38" s="1629">
        <f t="shared" si="7"/>
        <v>-16351926.37327517</v>
      </c>
      <c r="S38" s="1629">
        <f t="shared" si="7"/>
        <v>-16678964.90074067</v>
      </c>
      <c r="T38" s="1629">
        <f t="shared" si="7"/>
        <v>-17012544.198755488</v>
      </c>
      <c r="U38" s="1629">
        <f t="shared" si="7"/>
        <v>-17352795.082730595</v>
      </c>
      <c r="V38" s="1629">
        <f t="shared" si="7"/>
        <v>-17699850.984385211</v>
      </c>
      <c r="W38" s="1629">
        <f t="shared" si="7"/>
        <v>-18053848.004072908</v>
      </c>
      <c r="X38" s="1629">
        <f t="shared" si="7"/>
        <v>-18414924.96415437</v>
      </c>
      <c r="Y38" s="1629">
        <f t="shared" si="7"/>
        <v>-18783223.46343746</v>
      </c>
      <c r="Z38" s="1629">
        <f t="shared" si="7"/>
        <v>-19158887.932706207</v>
      </c>
      <c r="AA38" s="1627">
        <f t="shared" si="7"/>
        <v>-19542065.691360328</v>
      </c>
      <c r="AB38" s="695"/>
    </row>
    <row r="39" spans="1:28" x14ac:dyDescent="0.45">
      <c r="A39" s="695"/>
      <c r="B39" s="1180" t="str">
        <f>B31</f>
        <v xml:space="preserve">Front-end Fees </v>
      </c>
      <c r="C39" s="1181"/>
      <c r="D39" s="1181"/>
      <c r="E39" s="1187"/>
      <c r="F39" s="1187" t="s">
        <v>748</v>
      </c>
      <c r="G39" s="1629"/>
      <c r="H39" s="1629">
        <f>-H31</f>
        <v>0</v>
      </c>
      <c r="I39" s="1629">
        <f t="shared" ref="I39:AA39" si="8">-I31</f>
        <v>0</v>
      </c>
      <c r="J39" s="1629">
        <f t="shared" si="8"/>
        <v>0</v>
      </c>
      <c r="K39" s="1629">
        <f t="shared" si="8"/>
        <v>0</v>
      </c>
      <c r="L39" s="1629">
        <f t="shared" si="8"/>
        <v>0</v>
      </c>
      <c r="M39" s="1629">
        <f t="shared" si="8"/>
        <v>0</v>
      </c>
      <c r="N39" s="1629">
        <f t="shared" si="8"/>
        <v>0</v>
      </c>
      <c r="O39" s="1629">
        <f t="shared" si="8"/>
        <v>0</v>
      </c>
      <c r="P39" s="1629">
        <f t="shared" si="8"/>
        <v>0</v>
      </c>
      <c r="Q39" s="1629">
        <f t="shared" si="8"/>
        <v>0</v>
      </c>
      <c r="R39" s="1629">
        <f t="shared" si="8"/>
        <v>0</v>
      </c>
      <c r="S39" s="1629">
        <f t="shared" si="8"/>
        <v>0</v>
      </c>
      <c r="T39" s="1629">
        <f t="shared" si="8"/>
        <v>0</v>
      </c>
      <c r="U39" s="1629">
        <f t="shared" si="8"/>
        <v>0</v>
      </c>
      <c r="V39" s="1629">
        <f t="shared" si="8"/>
        <v>0</v>
      </c>
      <c r="W39" s="1629">
        <f t="shared" si="8"/>
        <v>0</v>
      </c>
      <c r="X39" s="1629">
        <f t="shared" si="8"/>
        <v>0</v>
      </c>
      <c r="Y39" s="1629">
        <f t="shared" si="8"/>
        <v>0</v>
      </c>
      <c r="Z39" s="1629">
        <f t="shared" si="8"/>
        <v>0</v>
      </c>
      <c r="AA39" s="1627">
        <f t="shared" si="8"/>
        <v>0</v>
      </c>
      <c r="AB39" s="695"/>
    </row>
    <row r="40" spans="1:28" x14ac:dyDescent="0.45">
      <c r="A40" s="695"/>
      <c r="B40" s="1180" t="str">
        <f>B32</f>
        <v xml:space="preserve">Public Guarantee Fees </v>
      </c>
      <c r="C40" s="1181"/>
      <c r="D40" s="1181"/>
      <c r="E40" s="1187"/>
      <c r="F40" s="1187" t="s">
        <v>748</v>
      </c>
      <c r="G40" s="1629"/>
      <c r="H40" s="1629">
        <f>-H32</f>
        <v>0</v>
      </c>
      <c r="I40" s="1629">
        <f t="shared" ref="I40:AA40" si="9">-I32</f>
        <v>0</v>
      </c>
      <c r="J40" s="1629">
        <f t="shared" si="9"/>
        <v>0</v>
      </c>
      <c r="K40" s="1629">
        <f t="shared" si="9"/>
        <v>0</v>
      </c>
      <c r="L40" s="1629">
        <f t="shared" si="9"/>
        <v>0</v>
      </c>
      <c r="M40" s="1629">
        <f t="shared" si="9"/>
        <v>0</v>
      </c>
      <c r="N40" s="1629">
        <f t="shared" si="9"/>
        <v>0</v>
      </c>
      <c r="O40" s="1629">
        <f t="shared" si="9"/>
        <v>0</v>
      </c>
      <c r="P40" s="1629">
        <f t="shared" si="9"/>
        <v>0</v>
      </c>
      <c r="Q40" s="1629">
        <f t="shared" si="9"/>
        <v>0</v>
      </c>
      <c r="R40" s="1629">
        <f t="shared" si="9"/>
        <v>0</v>
      </c>
      <c r="S40" s="1629">
        <f t="shared" si="9"/>
        <v>0</v>
      </c>
      <c r="T40" s="1629">
        <f t="shared" si="9"/>
        <v>0</v>
      </c>
      <c r="U40" s="1629">
        <f t="shared" si="9"/>
        <v>0</v>
      </c>
      <c r="V40" s="1629">
        <f t="shared" si="9"/>
        <v>0</v>
      </c>
      <c r="W40" s="1629">
        <f t="shared" si="9"/>
        <v>0</v>
      </c>
      <c r="X40" s="1629">
        <f t="shared" si="9"/>
        <v>0</v>
      </c>
      <c r="Y40" s="1629">
        <f t="shared" si="9"/>
        <v>0</v>
      </c>
      <c r="Z40" s="1629">
        <f t="shared" si="9"/>
        <v>0</v>
      </c>
      <c r="AA40" s="1627">
        <f t="shared" si="9"/>
        <v>0</v>
      </c>
      <c r="AB40" s="695"/>
    </row>
    <row r="41" spans="1:28" x14ac:dyDescent="0.45">
      <c r="A41" s="695"/>
      <c r="B41" s="1180" t="str">
        <f>B33</f>
        <v>Political Risk Insurance - Fees &amp; Annual Premium Payments</v>
      </c>
      <c r="C41" s="1181"/>
      <c r="D41" s="1181"/>
      <c r="E41" s="1187"/>
      <c r="F41" s="1187" t="s">
        <v>748</v>
      </c>
      <c r="G41" s="1629"/>
      <c r="H41" s="1629">
        <f>-H33</f>
        <v>0</v>
      </c>
      <c r="I41" s="1629">
        <f t="shared" ref="I41:AA41" si="10">-I33</f>
        <v>0</v>
      </c>
      <c r="J41" s="1629">
        <f t="shared" si="10"/>
        <v>0</v>
      </c>
      <c r="K41" s="1629">
        <f t="shared" si="10"/>
        <v>0</v>
      </c>
      <c r="L41" s="1629">
        <f t="shared" si="10"/>
        <v>0</v>
      </c>
      <c r="M41" s="1629">
        <f t="shared" si="10"/>
        <v>0</v>
      </c>
      <c r="N41" s="1629">
        <f t="shared" si="10"/>
        <v>0</v>
      </c>
      <c r="O41" s="1629">
        <f t="shared" si="10"/>
        <v>0</v>
      </c>
      <c r="P41" s="1629">
        <f t="shared" si="10"/>
        <v>0</v>
      </c>
      <c r="Q41" s="1629">
        <f t="shared" si="10"/>
        <v>0</v>
      </c>
      <c r="R41" s="1629">
        <f t="shared" si="10"/>
        <v>0</v>
      </c>
      <c r="S41" s="1629">
        <f t="shared" si="10"/>
        <v>0</v>
      </c>
      <c r="T41" s="1629">
        <f t="shared" si="10"/>
        <v>0</v>
      </c>
      <c r="U41" s="1629">
        <f t="shared" si="10"/>
        <v>0</v>
      </c>
      <c r="V41" s="1629">
        <f t="shared" si="10"/>
        <v>0</v>
      </c>
      <c r="W41" s="1629">
        <f t="shared" si="10"/>
        <v>0</v>
      </c>
      <c r="X41" s="1629">
        <f t="shared" si="10"/>
        <v>0</v>
      </c>
      <c r="Y41" s="1629">
        <f t="shared" si="10"/>
        <v>0</v>
      </c>
      <c r="Z41" s="1629">
        <f t="shared" si="10"/>
        <v>0</v>
      </c>
      <c r="AA41" s="1627">
        <f t="shared" si="10"/>
        <v>0</v>
      </c>
      <c r="AB41" s="695"/>
    </row>
    <row r="42" spans="1:28" x14ac:dyDescent="0.45">
      <c r="A42" s="695"/>
      <c r="B42" s="1180" t="s">
        <v>90</v>
      </c>
      <c r="C42" s="1181"/>
      <c r="D42" s="1181"/>
      <c r="E42" s="1187"/>
      <c r="F42" s="1187" t="s">
        <v>748</v>
      </c>
      <c r="G42" s="1629"/>
      <c r="H42" s="1629">
        <f>-(H208+H229+H250)</f>
        <v>-52123611.724185646</v>
      </c>
      <c r="I42" s="1629">
        <f t="shared" ref="I42:AA42" si="11">-(I208+I229+I250)</f>
        <v>-52123611.724185646</v>
      </c>
      <c r="J42" s="1629">
        <f t="shared" si="11"/>
        <v>-52123611.724185653</v>
      </c>
      <c r="K42" s="1629">
        <f t="shared" si="11"/>
        <v>-52123611.724185646</v>
      </c>
      <c r="L42" s="1629">
        <f t="shared" si="11"/>
        <v>-52123611.724185646</v>
      </c>
      <c r="M42" s="1629">
        <f t="shared" si="11"/>
        <v>-52123611.72418566</v>
      </c>
      <c r="N42" s="1629">
        <f t="shared" si="11"/>
        <v>-52123611.724185653</v>
      </c>
      <c r="O42" s="1629">
        <f t="shared" si="11"/>
        <v>-52123611.724185646</v>
      </c>
      <c r="P42" s="1629">
        <f t="shared" si="11"/>
        <v>-52123611.724185646</v>
      </c>
      <c r="Q42" s="1629">
        <f t="shared" si="11"/>
        <v>-52123611.724185646</v>
      </c>
      <c r="R42" s="1629">
        <f t="shared" si="11"/>
        <v>-52123611.724185646</v>
      </c>
      <c r="S42" s="1629">
        <f t="shared" si="11"/>
        <v>0</v>
      </c>
      <c r="T42" s="1629">
        <f t="shared" si="11"/>
        <v>0</v>
      </c>
      <c r="U42" s="1629">
        <f t="shared" si="11"/>
        <v>0</v>
      </c>
      <c r="V42" s="1629">
        <f t="shared" si="11"/>
        <v>0</v>
      </c>
      <c r="W42" s="1629">
        <f t="shared" si="11"/>
        <v>0</v>
      </c>
      <c r="X42" s="1629">
        <f t="shared" si="11"/>
        <v>0</v>
      </c>
      <c r="Y42" s="1629">
        <f t="shared" si="11"/>
        <v>0</v>
      </c>
      <c r="Z42" s="1629">
        <f t="shared" si="11"/>
        <v>0</v>
      </c>
      <c r="AA42" s="1627">
        <f t="shared" si="11"/>
        <v>0</v>
      </c>
      <c r="AB42" s="695"/>
    </row>
    <row r="43" spans="1:28" x14ac:dyDescent="0.45">
      <c r="A43" s="695"/>
      <c r="B43" s="1197" t="s">
        <v>91</v>
      </c>
      <c r="C43" s="1193"/>
      <c r="D43" s="1193"/>
      <c r="E43" s="1194"/>
      <c r="F43" s="1194" t="s">
        <v>748</v>
      </c>
      <c r="G43" s="1630"/>
      <c r="H43" s="1630">
        <f>(H24+H26+H31+H32+H33+H28+H29+H30)*'III. Inputs, Renewable Energy'!$U$18</f>
        <v>17108297.398224209</v>
      </c>
      <c r="I43" s="1630">
        <f>(I24+I26+I31+I32+I33+I28+I29+I30)*'III. Inputs, Renewable Energy'!$U$18</f>
        <v>16728270.300518705</v>
      </c>
      <c r="J43" s="1630">
        <f>(J24+J26+J31+J32+J33+J28+J29+J30)*'III. Inputs, Renewable Energy'!$U$18</f>
        <v>16313816.752496758</v>
      </c>
      <c r="K43" s="1630">
        <f>(K24+K26+K31+K32+K33+K28+K29+K30)*'III. Inputs, Renewable Energy'!$U$18</f>
        <v>15862102.152483057</v>
      </c>
      <c r="L43" s="1630">
        <f>(L24+L26+L31+L32+L33+L28+L29+L30)*'III. Inputs, Renewable Energy'!$U$18</f>
        <v>15370063.520955257</v>
      </c>
      <c r="M43" s="1630">
        <f>(M24+M26+M31+M32+M33+M28+M29+M30)*'III. Inputs, Renewable Energy'!$U$18</f>
        <v>14834391.198121976</v>
      </c>
      <c r="N43" s="1630">
        <f>(N24+N26+N31+N32+N33+N28+N29+N30)*'III. Inputs, Renewable Energy'!$U$18</f>
        <v>14251509.076663107</v>
      </c>
      <c r="O43" s="1630">
        <f>(O24+O26+O31+O32+O33+O28+O29+O30)*'III. Inputs, Renewable Energy'!$U$18</f>
        <v>13617553.252432622</v>
      </c>
      <c r="P43" s="1630">
        <f>(P24+P26+P31+P32+P33+P28+P29+P30)*'III. Inputs, Renewable Energy'!$U$18</f>
        <v>12928348.966547702</v>
      </c>
      <c r="Q43" s="1630">
        <f>(Q24+Q26+Q31+Q32+Q33+Q28+Q29+Q30)*'III. Inputs, Renewable Energy'!$U$18</f>
        <v>12179385.70216166</v>
      </c>
      <c r="R43" s="1630">
        <f>(R24+R26+R31+R32+R33+R28+R29+R30)*'III. Inputs, Renewable Energy'!$U$18</f>
        <v>11365790.28828181</v>
      </c>
      <c r="S43" s="1630">
        <f>(S24+S26+S31+S32+S33+S28+S29+S30)*'III. Inputs, Renewable Energy'!$U$18</f>
        <v>10482297.851181785</v>
      </c>
      <c r="T43" s="1630">
        <f>(T24+T26+T31+T32+T33+T28+T29+T30)*'III. Inputs, Renewable Energy'!$U$18</f>
        <v>10565692.67568549</v>
      </c>
      <c r="U43" s="1630">
        <f>(U24+U26+U31+U32+U33+U28+U29+U30)*'III. Inputs, Renewable Energy'!$U$18</f>
        <v>10650755.396679267</v>
      </c>
      <c r="V43" s="1630">
        <f>(V24+V26+V31+V32+V33+V28+V29+V30)*'III. Inputs, Renewable Energy'!$U$18</f>
        <v>10737519.372092921</v>
      </c>
      <c r="W43" s="1630">
        <f>(W24+W26+W31+W32+W33+W28+W29+W30)*'III. Inputs, Renewable Energy'!$U$18</f>
        <v>10826018.627014846</v>
      </c>
      <c r="X43" s="1630">
        <f>(X24+X26+X31+X32+X33+X28+X29+X30)*'III. Inputs, Renewable Energy'!$U$18</f>
        <v>10916287.86703521</v>
      </c>
      <c r="Y43" s="1630">
        <f>(Y24+Y26+Y31+Y32+Y33+Y28+Y29+Y30)*'III. Inputs, Renewable Energy'!$U$18</f>
        <v>11008362.491855983</v>
      </c>
      <c r="Z43" s="1630">
        <f>(Z24+Z26+Z31+Z32+Z33+Z28+Z29+Z30)*'III. Inputs, Renewable Energy'!$U$18</f>
        <v>11102278.609173169</v>
      </c>
      <c r="AA43" s="1631">
        <f>(AA24+AA26+AA31+AA32+AA33+AA28+AA29+AA30)*'III. Inputs, Renewable Energy'!$U$18</f>
        <v>11198073.048836701</v>
      </c>
      <c r="AB43" s="695"/>
    </row>
    <row r="44" spans="1:28" x14ac:dyDescent="0.45">
      <c r="A44" s="695"/>
      <c r="B44" s="1180" t="s">
        <v>92</v>
      </c>
      <c r="C44" s="1181"/>
      <c r="D44" s="1181"/>
      <c r="E44" s="1187"/>
      <c r="F44" s="1187" t="s">
        <v>748</v>
      </c>
      <c r="G44" s="1629">
        <f>-'III. Inputs, Renewable Energy'!$U$14*'III. Inputs, Renewable Energy'!$U$15*'III. Inputs, Renewable Energy'!$S$33</f>
        <v>-159475114.76201981</v>
      </c>
      <c r="H44" s="1629">
        <f>SUM(H38:H43)</f>
        <v>-48429589.325961441</v>
      </c>
      <c r="I44" s="1629">
        <f>SUM(I38:I43)</f>
        <v>-49077901.923666939</v>
      </c>
      <c r="J44" s="1629">
        <f t="shared" ref="J44:AA44" si="12">SUM(J38:J43)</f>
        <v>-49766006.681688897</v>
      </c>
      <c r="K44" s="1629">
        <f t="shared" si="12"/>
        <v>-50496845.515902594</v>
      </c>
      <c r="L44" s="1629">
        <f t="shared" si="12"/>
        <v>-51273590.866314389</v>
      </c>
      <c r="M44" s="1629">
        <f t="shared" si="12"/>
        <v>-52099664.04240936</v>
      </c>
      <c r="N44" s="1629">
        <f t="shared" si="12"/>
        <v>-52978755.03419514</v>
      </c>
      <c r="O44" s="1629">
        <f t="shared" si="12"/>
        <v>-53914843.906159066</v>
      </c>
      <c r="P44" s="1629">
        <f t="shared" si="12"/>
        <v>-54912223.900732115</v>
      </c>
      <c r="Q44" s="1629">
        <f t="shared" si="12"/>
        <v>-55975526.387980036</v>
      </c>
      <c r="R44" s="1629">
        <f t="shared" si="12"/>
        <v>-57109747.809179008</v>
      </c>
      <c r="S44" s="1629">
        <f t="shared" si="12"/>
        <v>-6196667.0495588854</v>
      </c>
      <c r="T44" s="1629">
        <f t="shared" si="12"/>
        <v>-6446851.5230699982</v>
      </c>
      <c r="U44" s="1629">
        <f t="shared" si="12"/>
        <v>-6702039.6860513277</v>
      </c>
      <c r="V44" s="1629">
        <f t="shared" si="12"/>
        <v>-6962331.6122922897</v>
      </c>
      <c r="W44" s="1629">
        <f t="shared" si="12"/>
        <v>-7227829.3770580627</v>
      </c>
      <c r="X44" s="1629">
        <f t="shared" si="12"/>
        <v>-7498637.09711916</v>
      </c>
      <c r="Y44" s="1629">
        <f t="shared" si="12"/>
        <v>-7774860.9715814777</v>
      </c>
      <c r="Z44" s="1629">
        <f t="shared" si="12"/>
        <v>-8056609.3235330377</v>
      </c>
      <c r="AA44" s="1627">
        <f t="shared" si="12"/>
        <v>-8343992.6425236277</v>
      </c>
      <c r="AB44" s="695"/>
    </row>
    <row r="45" spans="1:28" x14ac:dyDescent="0.45">
      <c r="A45" s="695"/>
      <c r="B45" s="1180"/>
      <c r="C45" s="1181"/>
      <c r="D45" s="1181"/>
      <c r="E45" s="1187"/>
      <c r="F45" s="1181"/>
      <c r="G45" s="1181"/>
      <c r="H45" s="1181"/>
      <c r="I45" s="1181"/>
      <c r="J45" s="1181"/>
      <c r="K45" s="1181"/>
      <c r="L45" s="1181"/>
      <c r="M45" s="1181"/>
      <c r="N45" s="1181"/>
      <c r="O45" s="1181"/>
      <c r="P45" s="1181"/>
      <c r="Q45" s="1181"/>
      <c r="R45" s="1181"/>
      <c r="S45" s="1181"/>
      <c r="T45" s="1181"/>
      <c r="U45" s="1181"/>
      <c r="V45" s="1181"/>
      <c r="W45" s="1181"/>
      <c r="X45" s="1181"/>
      <c r="Y45" s="1181"/>
      <c r="Z45" s="1181"/>
      <c r="AA45" s="1182"/>
      <c r="AB45" s="695"/>
    </row>
    <row r="46" spans="1:28" x14ac:dyDescent="0.45">
      <c r="A46" s="695"/>
      <c r="B46" s="1180" t="s">
        <v>93</v>
      </c>
      <c r="C46" s="1181"/>
      <c r="D46" s="1181"/>
      <c r="E46" s="1187"/>
      <c r="F46" s="1181"/>
      <c r="G46" s="1189">
        <f>SUM('III. Inputs, Renewable Energy'!$S$41)</f>
        <v>0.17</v>
      </c>
      <c r="H46" s="1181"/>
      <c r="I46" s="1181"/>
      <c r="J46" s="1181"/>
      <c r="K46" s="1181"/>
      <c r="L46" s="1181"/>
      <c r="M46" s="1181"/>
      <c r="N46" s="1181"/>
      <c r="O46" s="1181"/>
      <c r="P46" s="1181"/>
      <c r="Q46" s="1181"/>
      <c r="R46" s="1181"/>
      <c r="S46" s="1181"/>
      <c r="T46" s="1181"/>
      <c r="U46" s="1181"/>
      <c r="V46" s="1181"/>
      <c r="W46" s="1181"/>
      <c r="X46" s="1181"/>
      <c r="Y46" s="1181"/>
      <c r="Z46" s="1181"/>
      <c r="AA46" s="1182"/>
      <c r="AB46" s="695"/>
    </row>
    <row r="47" spans="1:28" x14ac:dyDescent="0.45">
      <c r="A47" s="695"/>
      <c r="B47" s="1180" t="s">
        <v>94</v>
      </c>
      <c r="C47" s="1181"/>
      <c r="D47" s="1181"/>
      <c r="E47" s="1187"/>
      <c r="F47" s="1181"/>
      <c r="G47" s="1629">
        <f>NPV(G46,H44:AA44)+G44</f>
        <v>-412128280.96788961</v>
      </c>
      <c r="H47" s="1181"/>
      <c r="I47" s="1181"/>
      <c r="J47" s="1181"/>
      <c r="K47" s="1181"/>
      <c r="L47" s="1181"/>
      <c r="M47" s="1181"/>
      <c r="N47" s="1181"/>
      <c r="O47" s="1181"/>
      <c r="P47" s="1181"/>
      <c r="Q47" s="1181"/>
      <c r="R47" s="1181"/>
      <c r="S47" s="1181"/>
      <c r="T47" s="1181"/>
      <c r="U47" s="1181"/>
      <c r="V47" s="1181"/>
      <c r="W47" s="1181"/>
      <c r="X47" s="1181"/>
      <c r="Y47" s="1181"/>
      <c r="Z47" s="1181"/>
      <c r="AA47" s="1182"/>
      <c r="AB47" s="695"/>
    </row>
    <row r="48" spans="1:28" ht="17.25" customHeight="1" x14ac:dyDescent="0.45">
      <c r="A48" s="695"/>
      <c r="B48" s="1180" t="s">
        <v>95</v>
      </c>
      <c r="C48" s="1181"/>
      <c r="D48" s="1181"/>
      <c r="E48" s="1187"/>
      <c r="F48" s="1181"/>
      <c r="G48" s="1191">
        <f>-NPV($G$46,H20:AA20)</f>
        <v>-7771811.3074877746</v>
      </c>
      <c r="H48" s="1181"/>
      <c r="I48" s="1181"/>
      <c r="J48" s="1181"/>
      <c r="K48" s="1181"/>
      <c r="L48" s="1181"/>
      <c r="M48" s="1181"/>
      <c r="N48" s="1181"/>
      <c r="O48" s="1181"/>
      <c r="P48" s="1181"/>
      <c r="Q48" s="1181"/>
      <c r="R48" s="1181"/>
      <c r="S48" s="1181"/>
      <c r="T48" s="1181"/>
      <c r="U48" s="1181"/>
      <c r="V48" s="1181"/>
      <c r="W48" s="1181"/>
      <c r="X48" s="1181"/>
      <c r="Y48" s="1181"/>
      <c r="Z48" s="1181"/>
      <c r="AA48" s="1182"/>
      <c r="AB48" s="695"/>
    </row>
    <row r="49" spans="1:28" ht="17.25" customHeight="1" thickBot="1" x14ac:dyDescent="0.5">
      <c r="A49" s="695"/>
      <c r="B49" s="1180" t="s">
        <v>96</v>
      </c>
      <c r="C49" s="1181"/>
      <c r="D49" s="1181"/>
      <c r="E49" s="1187"/>
      <c r="F49" s="1187" t="s">
        <v>749</v>
      </c>
      <c r="G49" s="1736">
        <f>IF(OR(G47=0, G48=0), 0, G47/G48)</f>
        <v>53.028601012330725</v>
      </c>
      <c r="H49" s="1181"/>
      <c r="I49" s="1181"/>
      <c r="J49" s="1181"/>
      <c r="K49" s="1181"/>
      <c r="L49" s="1181"/>
      <c r="M49" s="1181"/>
      <c r="N49" s="1181"/>
      <c r="O49" s="1181"/>
      <c r="P49" s="1181"/>
      <c r="Q49" s="1181"/>
      <c r="R49" s="1181"/>
      <c r="S49" s="1181"/>
      <c r="T49" s="1181"/>
      <c r="U49" s="1181"/>
      <c r="V49" s="1181"/>
      <c r="W49" s="1181"/>
      <c r="X49" s="1181"/>
      <c r="Y49" s="1181"/>
      <c r="Z49" s="1181"/>
      <c r="AA49" s="1182"/>
      <c r="AB49" s="695"/>
    </row>
    <row r="50" spans="1:28" ht="17.25" customHeight="1" thickBot="1" x14ac:dyDescent="0.5">
      <c r="A50" s="695"/>
      <c r="B50" s="1198" t="s">
        <v>97</v>
      </c>
      <c r="C50" s="1199"/>
      <c r="D50" s="1199"/>
      <c r="E50" s="1200"/>
      <c r="F50" s="1200" t="s">
        <v>749</v>
      </c>
      <c r="G50" s="1798">
        <f>$G$49/(1-'III. Inputs, Renewable Energy'!$U$18)</f>
        <v>70.7048013497743</v>
      </c>
      <c r="H50" s="1181"/>
      <c r="I50" s="1181"/>
      <c r="J50" s="1181"/>
      <c r="K50" s="1181"/>
      <c r="L50" s="1181"/>
      <c r="M50" s="1181"/>
      <c r="N50" s="1181"/>
      <c r="O50" s="1181"/>
      <c r="P50" s="1181"/>
      <c r="Q50" s="1181"/>
      <c r="R50" s="1181"/>
      <c r="S50" s="1181"/>
      <c r="T50" s="1181"/>
      <c r="U50" s="1181"/>
      <c r="V50" s="1181"/>
      <c r="W50" s="1181"/>
      <c r="X50" s="1181"/>
      <c r="Y50" s="1181"/>
      <c r="Z50" s="1181"/>
      <c r="AA50" s="1182"/>
      <c r="AB50" s="695"/>
    </row>
    <row r="51" spans="1:28" ht="17.25" customHeight="1" thickBot="1" x14ac:dyDescent="0.5">
      <c r="A51" s="695"/>
      <c r="B51" s="1201"/>
      <c r="C51" s="1202"/>
      <c r="D51" s="1202"/>
      <c r="E51" s="1203"/>
      <c r="F51" s="1203"/>
      <c r="G51" s="1799"/>
      <c r="H51" s="1204"/>
      <c r="I51" s="1204"/>
      <c r="J51" s="1204"/>
      <c r="K51" s="1204"/>
      <c r="L51" s="1204"/>
      <c r="M51" s="1204"/>
      <c r="N51" s="1204"/>
      <c r="O51" s="1204"/>
      <c r="P51" s="1204"/>
      <c r="Q51" s="1204"/>
      <c r="R51" s="1204"/>
      <c r="S51" s="1204"/>
      <c r="T51" s="1204"/>
      <c r="U51" s="1204"/>
      <c r="V51" s="1204"/>
      <c r="W51" s="1204"/>
      <c r="X51" s="1204"/>
      <c r="Y51" s="1204"/>
      <c r="Z51" s="1204"/>
      <c r="AA51" s="1205"/>
      <c r="AB51" s="695"/>
    </row>
    <row r="52" spans="1:28" ht="17.25" customHeight="1" thickBot="1" x14ac:dyDescent="0.5">
      <c r="A52" s="695"/>
      <c r="B52" s="695"/>
      <c r="C52" s="695"/>
      <c r="D52" s="695"/>
      <c r="E52" s="695"/>
      <c r="F52" s="695"/>
      <c r="G52" s="695"/>
      <c r="H52" s="695"/>
      <c r="I52" s="695"/>
      <c r="J52" s="695"/>
      <c r="K52" s="695"/>
      <c r="L52" s="695"/>
      <c r="M52" s="695"/>
      <c r="N52" s="695"/>
      <c r="O52" s="695"/>
      <c r="P52" s="695"/>
      <c r="Q52" s="695"/>
      <c r="R52" s="695"/>
      <c r="S52" s="695"/>
      <c r="T52" s="695"/>
      <c r="U52" s="695"/>
      <c r="V52" s="695"/>
      <c r="W52" s="695"/>
      <c r="X52" s="695"/>
      <c r="Y52" s="695"/>
      <c r="Z52" s="695"/>
      <c r="AA52" s="695"/>
      <c r="AB52" s="695"/>
    </row>
    <row r="53" spans="1:28" ht="10.5" customHeight="1" outlineLevel="1" x14ac:dyDescent="0.45">
      <c r="A53" s="695"/>
      <c r="B53" s="1206"/>
      <c r="C53" s="1178"/>
      <c r="D53" s="1178"/>
      <c r="E53" s="1178"/>
      <c r="F53" s="1178"/>
      <c r="G53" s="1178"/>
      <c r="H53" s="1178"/>
      <c r="I53" s="1178"/>
      <c r="J53" s="1178"/>
      <c r="K53" s="1178"/>
      <c r="L53" s="1178"/>
      <c r="M53" s="1178"/>
      <c r="N53" s="1178"/>
      <c r="O53" s="1178"/>
      <c r="P53" s="1178"/>
      <c r="Q53" s="1178"/>
      <c r="R53" s="1178"/>
      <c r="S53" s="1178"/>
      <c r="T53" s="1178"/>
      <c r="U53" s="1178"/>
      <c r="V53" s="1178"/>
      <c r="W53" s="1178"/>
      <c r="X53" s="1178"/>
      <c r="Y53" s="1178"/>
      <c r="Z53" s="1178"/>
      <c r="AA53" s="1179"/>
      <c r="AB53" s="695"/>
    </row>
    <row r="54" spans="1:28" ht="17.25" customHeight="1" outlineLevel="1" x14ac:dyDescent="0.45">
      <c r="A54" s="695"/>
      <c r="B54" s="1196" t="s">
        <v>98</v>
      </c>
      <c r="C54" s="1181"/>
      <c r="D54" s="1181"/>
      <c r="E54" s="1181"/>
      <c r="F54" s="1181"/>
      <c r="G54" s="1181"/>
      <c r="H54" s="1181"/>
      <c r="I54" s="1181"/>
      <c r="J54" s="1181"/>
      <c r="K54" s="1181"/>
      <c r="L54" s="1181"/>
      <c r="M54" s="1181"/>
      <c r="N54" s="1181"/>
      <c r="O54" s="1181"/>
      <c r="P54" s="1181"/>
      <c r="Q54" s="1181"/>
      <c r="R54" s="1181"/>
      <c r="S54" s="1181"/>
      <c r="T54" s="1181"/>
      <c r="U54" s="1181"/>
      <c r="V54" s="1181"/>
      <c r="W54" s="1181"/>
      <c r="X54" s="1181"/>
      <c r="Y54" s="1181"/>
      <c r="Z54" s="1181"/>
      <c r="AA54" s="1182"/>
      <c r="AB54" s="695"/>
    </row>
    <row r="55" spans="1:28" ht="6.75" customHeight="1" outlineLevel="1" x14ac:dyDescent="0.45">
      <c r="A55" s="695"/>
      <c r="B55" s="1180"/>
      <c r="C55" s="1181"/>
      <c r="D55" s="1181"/>
      <c r="E55" s="1187"/>
      <c r="F55" s="1181"/>
      <c r="G55" s="1181"/>
      <c r="H55" s="1181"/>
      <c r="I55" s="1181"/>
      <c r="J55" s="1181"/>
      <c r="K55" s="1181"/>
      <c r="L55" s="1181"/>
      <c r="M55" s="1181"/>
      <c r="N55" s="1181"/>
      <c r="O55" s="1181"/>
      <c r="P55" s="1181"/>
      <c r="Q55" s="1181"/>
      <c r="R55" s="1181"/>
      <c r="S55" s="1181"/>
      <c r="T55" s="1181"/>
      <c r="U55" s="1181"/>
      <c r="V55" s="1181"/>
      <c r="W55" s="1181"/>
      <c r="X55" s="1181"/>
      <c r="Y55" s="1181"/>
      <c r="Z55" s="1181"/>
      <c r="AA55" s="1182"/>
      <c r="AB55" s="695"/>
    </row>
    <row r="56" spans="1:28" ht="17.25" customHeight="1" outlineLevel="1" x14ac:dyDescent="0.45">
      <c r="A56" s="695"/>
      <c r="B56" s="1183" t="s">
        <v>51</v>
      </c>
      <c r="C56" s="1184"/>
      <c r="D56" s="1184"/>
      <c r="E56" s="1185"/>
      <c r="F56" s="1184"/>
      <c r="G56" s="1185">
        <f>G16</f>
        <v>0</v>
      </c>
      <c r="H56" s="1185">
        <f t="shared" ref="H56:AA56" si="13">H16</f>
        <v>1</v>
      </c>
      <c r="I56" s="1185">
        <f t="shared" si="13"/>
        <v>2</v>
      </c>
      <c r="J56" s="1185">
        <f t="shared" si="13"/>
        <v>3</v>
      </c>
      <c r="K56" s="1185">
        <f t="shared" si="13"/>
        <v>4</v>
      </c>
      <c r="L56" s="1185">
        <f t="shared" si="13"/>
        <v>5</v>
      </c>
      <c r="M56" s="1185">
        <f t="shared" si="13"/>
        <v>6</v>
      </c>
      <c r="N56" s="1185">
        <f t="shared" si="13"/>
        <v>7</v>
      </c>
      <c r="O56" s="1185">
        <f t="shared" si="13"/>
        <v>8</v>
      </c>
      <c r="P56" s="1185">
        <f t="shared" si="13"/>
        <v>9</v>
      </c>
      <c r="Q56" s="1185">
        <f t="shared" si="13"/>
        <v>10</v>
      </c>
      <c r="R56" s="1185">
        <f t="shared" si="13"/>
        <v>11</v>
      </c>
      <c r="S56" s="1185">
        <f t="shared" si="13"/>
        <v>12</v>
      </c>
      <c r="T56" s="1185">
        <f t="shared" si="13"/>
        <v>13</v>
      </c>
      <c r="U56" s="1185">
        <f t="shared" si="13"/>
        <v>14</v>
      </c>
      <c r="V56" s="1185">
        <f t="shared" si="13"/>
        <v>15</v>
      </c>
      <c r="W56" s="1185">
        <f t="shared" si="13"/>
        <v>16</v>
      </c>
      <c r="X56" s="1185">
        <f t="shared" si="13"/>
        <v>17</v>
      </c>
      <c r="Y56" s="1185">
        <f t="shared" si="13"/>
        <v>18</v>
      </c>
      <c r="Z56" s="1185">
        <f t="shared" si="13"/>
        <v>19</v>
      </c>
      <c r="AA56" s="1186">
        <f t="shared" si="13"/>
        <v>20</v>
      </c>
      <c r="AB56" s="695"/>
    </row>
    <row r="57" spans="1:28" ht="17.25" customHeight="1" outlineLevel="1" x14ac:dyDescent="0.45">
      <c r="A57" s="695"/>
      <c r="B57" s="1180"/>
      <c r="C57" s="1181"/>
      <c r="D57" s="1181"/>
      <c r="E57" s="1187"/>
      <c r="F57" s="1181"/>
      <c r="G57" s="1187"/>
      <c r="H57" s="1187"/>
      <c r="I57" s="1181"/>
      <c r="J57" s="1181"/>
      <c r="K57" s="1181"/>
      <c r="L57" s="1181"/>
      <c r="M57" s="1181"/>
      <c r="N57" s="1181"/>
      <c r="O57" s="1181"/>
      <c r="P57" s="1181"/>
      <c r="Q57" s="1181"/>
      <c r="R57" s="1181"/>
      <c r="S57" s="1181"/>
      <c r="T57" s="1181"/>
      <c r="U57" s="1181"/>
      <c r="V57" s="1181"/>
      <c r="W57" s="1181"/>
      <c r="X57" s="1181"/>
      <c r="Y57" s="1181"/>
      <c r="Z57" s="1181"/>
      <c r="AA57" s="1182"/>
      <c r="AB57" s="695"/>
    </row>
    <row r="58" spans="1:28" ht="17.25" customHeight="1" outlineLevel="1" x14ac:dyDescent="0.45">
      <c r="A58" s="695"/>
      <c r="B58" s="1180" t="s">
        <v>85</v>
      </c>
      <c r="C58" s="1181"/>
      <c r="D58" s="1181"/>
      <c r="E58" s="1187"/>
      <c r="F58" s="1187" t="s">
        <v>86</v>
      </c>
      <c r="G58" s="1187"/>
      <c r="H58" s="1207">
        <f>H20</f>
        <v>1415484.8190000001</v>
      </c>
      <c r="I58" s="1207">
        <f t="shared" ref="I58:AA58" si="14">I20</f>
        <v>1408407.3949050002</v>
      </c>
      <c r="J58" s="1207">
        <f t="shared" si="14"/>
        <v>1401365.3579304751</v>
      </c>
      <c r="K58" s="1207">
        <f t="shared" si="14"/>
        <v>1394358.5311408229</v>
      </c>
      <c r="L58" s="1207">
        <f t="shared" si="14"/>
        <v>1387386.7384851188</v>
      </c>
      <c r="M58" s="1207">
        <f t="shared" si="14"/>
        <v>1380449.8047926931</v>
      </c>
      <c r="N58" s="1207">
        <f t="shared" si="14"/>
        <v>1373547.5557687299</v>
      </c>
      <c r="O58" s="1207">
        <f t="shared" si="14"/>
        <v>1366679.817989886</v>
      </c>
      <c r="P58" s="1207">
        <f t="shared" si="14"/>
        <v>1359846.4188999366</v>
      </c>
      <c r="Q58" s="1207">
        <f t="shared" si="14"/>
        <v>1353047.1868054369</v>
      </c>
      <c r="R58" s="1207">
        <f t="shared" si="14"/>
        <v>1346281.9508714096</v>
      </c>
      <c r="S58" s="1207">
        <f t="shared" si="14"/>
        <v>1339550.5411170525</v>
      </c>
      <c r="T58" s="1207">
        <f t="shared" si="14"/>
        <v>1332852.7884114676</v>
      </c>
      <c r="U58" s="1207">
        <f t="shared" si="14"/>
        <v>1326188.5244694103</v>
      </c>
      <c r="V58" s="1207">
        <f t="shared" si="14"/>
        <v>1319557.5818470633</v>
      </c>
      <c r="W58" s="1207">
        <f t="shared" si="14"/>
        <v>1312959.7939378279</v>
      </c>
      <c r="X58" s="1207">
        <f t="shared" si="14"/>
        <v>1306394.9949681386</v>
      </c>
      <c r="Y58" s="1207">
        <f t="shared" si="14"/>
        <v>1299863.019993298</v>
      </c>
      <c r="Z58" s="1207">
        <f t="shared" si="14"/>
        <v>1293363.7048933315</v>
      </c>
      <c r="AA58" s="1208">
        <f t="shared" si="14"/>
        <v>1286896.8863688649</v>
      </c>
      <c r="AB58" s="695"/>
    </row>
    <row r="59" spans="1:28" ht="17.25" customHeight="1" outlineLevel="1" x14ac:dyDescent="0.45">
      <c r="A59" s="695"/>
      <c r="B59" s="1180"/>
      <c r="C59" s="1181"/>
      <c r="D59" s="1181"/>
      <c r="E59" s="1187"/>
      <c r="F59" s="1187"/>
      <c r="G59" s="1187"/>
      <c r="H59" s="1181"/>
      <c r="I59" s="1181"/>
      <c r="J59" s="1181"/>
      <c r="K59" s="1181"/>
      <c r="L59" s="1181"/>
      <c r="M59" s="1181"/>
      <c r="N59" s="1181"/>
      <c r="O59" s="1181"/>
      <c r="P59" s="1181"/>
      <c r="Q59" s="1181"/>
      <c r="R59" s="1181"/>
      <c r="S59" s="1181"/>
      <c r="T59" s="1181"/>
      <c r="U59" s="1181"/>
      <c r="V59" s="1181"/>
      <c r="W59" s="1181"/>
      <c r="X59" s="1181"/>
      <c r="Y59" s="1181"/>
      <c r="Z59" s="1181"/>
      <c r="AA59" s="1182"/>
      <c r="AB59" s="695"/>
    </row>
    <row r="60" spans="1:28" ht="17.25" customHeight="1" outlineLevel="1" x14ac:dyDescent="0.45">
      <c r="A60" s="695"/>
      <c r="B60" s="1180" t="s">
        <v>99</v>
      </c>
      <c r="C60" s="1181"/>
      <c r="D60" s="1181"/>
      <c r="E60" s="1187"/>
      <c r="F60" s="1187" t="s">
        <v>749</v>
      </c>
      <c r="G60" s="1187"/>
      <c r="H60" s="1736">
        <f>$G$50</f>
        <v>70.7048013497743</v>
      </c>
      <c r="I60" s="1736">
        <f t="shared" ref="I60:AA60" si="15">$G$50</f>
        <v>70.7048013497743</v>
      </c>
      <c r="J60" s="1736">
        <f t="shared" si="15"/>
        <v>70.7048013497743</v>
      </c>
      <c r="K60" s="1736">
        <f t="shared" si="15"/>
        <v>70.7048013497743</v>
      </c>
      <c r="L60" s="1736">
        <f t="shared" si="15"/>
        <v>70.7048013497743</v>
      </c>
      <c r="M60" s="1736">
        <f t="shared" si="15"/>
        <v>70.7048013497743</v>
      </c>
      <c r="N60" s="1736">
        <f t="shared" si="15"/>
        <v>70.7048013497743</v>
      </c>
      <c r="O60" s="1736">
        <f t="shared" si="15"/>
        <v>70.7048013497743</v>
      </c>
      <c r="P60" s="1736">
        <f t="shared" si="15"/>
        <v>70.7048013497743</v>
      </c>
      <c r="Q60" s="1736">
        <f t="shared" si="15"/>
        <v>70.7048013497743</v>
      </c>
      <c r="R60" s="1736">
        <f t="shared" si="15"/>
        <v>70.7048013497743</v>
      </c>
      <c r="S60" s="1736">
        <f t="shared" si="15"/>
        <v>70.7048013497743</v>
      </c>
      <c r="T60" s="1736">
        <f t="shared" si="15"/>
        <v>70.7048013497743</v>
      </c>
      <c r="U60" s="1736">
        <f t="shared" si="15"/>
        <v>70.7048013497743</v>
      </c>
      <c r="V60" s="1736">
        <f t="shared" si="15"/>
        <v>70.7048013497743</v>
      </c>
      <c r="W60" s="1736">
        <f t="shared" si="15"/>
        <v>70.7048013497743</v>
      </c>
      <c r="X60" s="1736">
        <f t="shared" si="15"/>
        <v>70.7048013497743</v>
      </c>
      <c r="Y60" s="1736">
        <f t="shared" si="15"/>
        <v>70.7048013497743</v>
      </c>
      <c r="Z60" s="1736">
        <f t="shared" si="15"/>
        <v>70.7048013497743</v>
      </c>
      <c r="AA60" s="1800">
        <f t="shared" si="15"/>
        <v>70.7048013497743</v>
      </c>
      <c r="AB60" s="695"/>
    </row>
    <row r="61" spans="1:28" ht="17.25" customHeight="1" outlineLevel="1" x14ac:dyDescent="0.45">
      <c r="A61" s="695"/>
      <c r="B61" s="1197"/>
      <c r="C61" s="1193"/>
      <c r="D61" s="1193"/>
      <c r="E61" s="1194"/>
      <c r="F61" s="1194"/>
      <c r="G61" s="1194"/>
      <c r="H61" s="1193"/>
      <c r="I61" s="1193"/>
      <c r="J61" s="1193"/>
      <c r="K61" s="1193"/>
      <c r="L61" s="1193"/>
      <c r="M61" s="1193"/>
      <c r="N61" s="1193"/>
      <c r="O61" s="1193"/>
      <c r="P61" s="1193"/>
      <c r="Q61" s="1193"/>
      <c r="R61" s="1193"/>
      <c r="S61" s="1193"/>
      <c r="T61" s="1193"/>
      <c r="U61" s="1193"/>
      <c r="V61" s="1193"/>
      <c r="W61" s="1193"/>
      <c r="X61" s="1193"/>
      <c r="Y61" s="1193"/>
      <c r="Z61" s="1193"/>
      <c r="AA61" s="1209"/>
      <c r="AB61" s="695"/>
    </row>
    <row r="62" spans="1:28" ht="17.25" customHeight="1" outlineLevel="1" x14ac:dyDescent="0.45">
      <c r="A62" s="695"/>
      <c r="B62" s="1180" t="s">
        <v>100</v>
      </c>
      <c r="C62" s="1181"/>
      <c r="D62" s="1181"/>
      <c r="E62" s="1187"/>
      <c r="F62" s="1187" t="s">
        <v>748</v>
      </c>
      <c r="G62" s="1210"/>
      <c r="H62" s="1629">
        <f>H58*H60</f>
        <v>100081572.94101624</v>
      </c>
      <c r="I62" s="1629">
        <f t="shared" ref="I62:AA62" si="16">I58*I60</f>
        <v>99581165.076311171</v>
      </c>
      <c r="J62" s="1629">
        <f t="shared" si="16"/>
        <v>99083259.250929609</v>
      </c>
      <c r="K62" s="1629">
        <f t="shared" si="16"/>
        <v>98587842.954674959</v>
      </c>
      <c r="L62" s="1629">
        <f t="shared" si="16"/>
        <v>98094903.739901587</v>
      </c>
      <c r="M62" s="1629">
        <f t="shared" si="16"/>
        <v>97604429.221202075</v>
      </c>
      <c r="N62" s="1629">
        <f t="shared" si="16"/>
        <v>97116407.075096086</v>
      </c>
      <c r="O62" s="1629">
        <f t="shared" si="16"/>
        <v>96630825.039720595</v>
      </c>
      <c r="P62" s="1629">
        <f t="shared" si="16"/>
        <v>96147670.914521992</v>
      </c>
      <c r="Q62" s="1629">
        <f t="shared" si="16"/>
        <v>95666932.559949368</v>
      </c>
      <c r="R62" s="1629">
        <f t="shared" si="16"/>
        <v>95188597.897149622</v>
      </c>
      <c r="S62" s="1629">
        <f t="shared" si="16"/>
        <v>94712654.907663867</v>
      </c>
      <c r="T62" s="1629">
        <f t="shared" si="16"/>
        <v>94239091.633125573</v>
      </c>
      <c r="U62" s="1629">
        <f t="shared" si="16"/>
        <v>93767896.174959943</v>
      </c>
      <c r="V62" s="1629">
        <f t="shared" si="16"/>
        <v>93299056.694085151</v>
      </c>
      <c r="W62" s="1629">
        <f t="shared" si="16"/>
        <v>92832561.410614729</v>
      </c>
      <c r="X62" s="1629">
        <f t="shared" si="16"/>
        <v>92368398.60356164</v>
      </c>
      <c r="Y62" s="1629">
        <f t="shared" si="16"/>
        <v>91906556.610543832</v>
      </c>
      <c r="Z62" s="1629">
        <f t="shared" si="16"/>
        <v>91447023.82749112</v>
      </c>
      <c r="AA62" s="1627">
        <f t="shared" si="16"/>
        <v>90989788.708353668</v>
      </c>
      <c r="AB62" s="695"/>
    </row>
    <row r="63" spans="1:28" ht="6.75" customHeight="1" outlineLevel="1" x14ac:dyDescent="0.45">
      <c r="A63" s="695"/>
      <c r="B63" s="1180"/>
      <c r="C63" s="1181"/>
      <c r="D63" s="1181"/>
      <c r="E63" s="1187"/>
      <c r="F63" s="1187"/>
      <c r="G63" s="1210"/>
      <c r="H63" s="1629"/>
      <c r="I63" s="1629"/>
      <c r="J63" s="1629"/>
      <c r="K63" s="1629"/>
      <c r="L63" s="1629"/>
      <c r="M63" s="1629"/>
      <c r="N63" s="1629"/>
      <c r="O63" s="1629"/>
      <c r="P63" s="1629"/>
      <c r="Q63" s="1629"/>
      <c r="R63" s="1629"/>
      <c r="S63" s="1629"/>
      <c r="T63" s="1629"/>
      <c r="U63" s="1629"/>
      <c r="V63" s="1629"/>
      <c r="W63" s="1629"/>
      <c r="X63" s="1629"/>
      <c r="Y63" s="1629"/>
      <c r="Z63" s="1629"/>
      <c r="AA63" s="1627"/>
      <c r="AB63" s="695"/>
    </row>
    <row r="64" spans="1:28" ht="17.25" customHeight="1" outlineLevel="1" x14ac:dyDescent="0.45">
      <c r="A64" s="695"/>
      <c r="B64" s="1180" t="s">
        <v>101</v>
      </c>
      <c r="C64" s="1181"/>
      <c r="D64" s="1181"/>
      <c r="E64" s="1187"/>
      <c r="F64" s="1187" t="s">
        <v>748</v>
      </c>
      <c r="G64" s="1210"/>
      <c r="H64" s="1629">
        <f>-H24</f>
        <v>-13414275</v>
      </c>
      <c r="I64" s="1629">
        <f t="shared" ref="I64:AA64" si="17">-I24</f>
        <v>-13682560.5</v>
      </c>
      <c r="J64" s="1629">
        <f t="shared" si="17"/>
        <v>-13956211.709999999</v>
      </c>
      <c r="K64" s="1629">
        <f t="shared" si="17"/>
        <v>-14235335.9442</v>
      </c>
      <c r="L64" s="1629">
        <f t="shared" si="17"/>
        <v>-14520042.663084</v>
      </c>
      <c r="M64" s="1629">
        <f t="shared" si="17"/>
        <v>-14810443.51634568</v>
      </c>
      <c r="N64" s="1629">
        <f t="shared" si="17"/>
        <v>-15106652.386672594</v>
      </c>
      <c r="O64" s="1629">
        <f t="shared" si="17"/>
        <v>-15408785.434406042</v>
      </c>
      <c r="P64" s="1629">
        <f t="shared" si="17"/>
        <v>-15716961.143094165</v>
      </c>
      <c r="Q64" s="1629">
        <f t="shared" si="17"/>
        <v>-16031300.365956049</v>
      </c>
      <c r="R64" s="1629">
        <f t="shared" si="17"/>
        <v>-16351926.37327517</v>
      </c>
      <c r="S64" s="1629">
        <f t="shared" si="17"/>
        <v>-16678964.90074067</v>
      </c>
      <c r="T64" s="1629">
        <f t="shared" si="17"/>
        <v>-17012544.198755488</v>
      </c>
      <c r="U64" s="1629">
        <f t="shared" si="17"/>
        <v>-17352795.082730595</v>
      </c>
      <c r="V64" s="1629">
        <f t="shared" si="17"/>
        <v>-17699850.984385211</v>
      </c>
      <c r="W64" s="1629">
        <f t="shared" si="17"/>
        <v>-18053848.004072908</v>
      </c>
      <c r="X64" s="1629">
        <f t="shared" si="17"/>
        <v>-18414924.96415437</v>
      </c>
      <c r="Y64" s="1629">
        <f t="shared" si="17"/>
        <v>-18783223.46343746</v>
      </c>
      <c r="Z64" s="1629">
        <f t="shared" si="17"/>
        <v>-19158887.932706207</v>
      </c>
      <c r="AA64" s="1627">
        <f t="shared" si="17"/>
        <v>-19542065.691360328</v>
      </c>
      <c r="AB64" s="695"/>
    </row>
    <row r="65" spans="1:28" ht="4.5" customHeight="1" outlineLevel="1" x14ac:dyDescent="0.45">
      <c r="A65" s="695"/>
      <c r="B65" s="1180"/>
      <c r="C65" s="1181"/>
      <c r="D65" s="1181"/>
      <c r="E65" s="1187"/>
      <c r="F65" s="1187"/>
      <c r="G65" s="1210"/>
      <c r="H65" s="1629"/>
      <c r="I65" s="1629"/>
      <c r="J65" s="1629"/>
      <c r="K65" s="1629"/>
      <c r="L65" s="1629"/>
      <c r="M65" s="1629"/>
      <c r="N65" s="1629"/>
      <c r="O65" s="1629"/>
      <c r="P65" s="1629"/>
      <c r="Q65" s="1629"/>
      <c r="R65" s="1629"/>
      <c r="S65" s="1629"/>
      <c r="T65" s="1629"/>
      <c r="U65" s="1629"/>
      <c r="V65" s="1629"/>
      <c r="W65" s="1629"/>
      <c r="X65" s="1629"/>
      <c r="Y65" s="1629"/>
      <c r="Z65" s="1629"/>
      <c r="AA65" s="1627"/>
      <c r="AB65" s="695"/>
    </row>
    <row r="66" spans="1:28" ht="17.25" customHeight="1" outlineLevel="1" x14ac:dyDescent="0.45">
      <c r="A66" s="695"/>
      <c r="B66" s="1196" t="s">
        <v>102</v>
      </c>
      <c r="C66" s="1211"/>
      <c r="D66" s="1211"/>
      <c r="E66" s="1212"/>
      <c r="F66" s="1212"/>
      <c r="G66" s="1213"/>
      <c r="H66" s="1512">
        <f>H62+H64</f>
        <v>86667297.941016242</v>
      </c>
      <c r="I66" s="1512">
        <f t="shared" ref="I66:AA66" si="18">I62+I64</f>
        <v>85898604.576311171</v>
      </c>
      <c r="J66" s="1512">
        <f t="shared" si="18"/>
        <v>85127047.540929615</v>
      </c>
      <c r="K66" s="1512">
        <f t="shared" si="18"/>
        <v>84352507.010474965</v>
      </c>
      <c r="L66" s="1512">
        <f t="shared" si="18"/>
        <v>83574861.076817587</v>
      </c>
      <c r="M66" s="1512">
        <f t="shared" si="18"/>
        <v>82793985.704856396</v>
      </c>
      <c r="N66" s="1512">
        <f t="shared" si="18"/>
        <v>82009754.688423485</v>
      </c>
      <c r="O66" s="1512">
        <f t="shared" si="18"/>
        <v>81222039.605314553</v>
      </c>
      <c r="P66" s="1512">
        <f t="shared" si="18"/>
        <v>80430709.771427825</v>
      </c>
      <c r="Q66" s="1512">
        <f t="shared" si="18"/>
        <v>79635632.193993315</v>
      </c>
      <c r="R66" s="1512">
        <f t="shared" si="18"/>
        <v>78836671.523874447</v>
      </c>
      <c r="S66" s="1512">
        <f t="shared" si="18"/>
        <v>78033690.006923199</v>
      </c>
      <c r="T66" s="1512">
        <f t="shared" si="18"/>
        <v>77226547.434370086</v>
      </c>
      <c r="U66" s="1512">
        <f t="shared" si="18"/>
        <v>76415101.092229351</v>
      </c>
      <c r="V66" s="1512">
        <f t="shared" si="18"/>
        <v>75599205.709699944</v>
      </c>
      <c r="W66" s="1512">
        <f t="shared" si="18"/>
        <v>74778713.406541824</v>
      </c>
      <c r="X66" s="1512">
        <f t="shared" si="18"/>
        <v>73953473.639407277</v>
      </c>
      <c r="Y66" s="1512">
        <f t="shared" si="18"/>
        <v>73123333.147106379</v>
      </c>
      <c r="Z66" s="1512">
        <f t="shared" si="18"/>
        <v>72288135.894784912</v>
      </c>
      <c r="AA66" s="1632">
        <f t="shared" si="18"/>
        <v>71447723.016993344</v>
      </c>
      <c r="AB66" s="695"/>
    </row>
    <row r="67" spans="1:28" ht="7.5" customHeight="1" outlineLevel="1" x14ac:dyDescent="0.45">
      <c r="A67" s="695"/>
      <c r="B67" s="1180"/>
      <c r="C67" s="1181"/>
      <c r="D67" s="1181"/>
      <c r="E67" s="1187"/>
      <c r="F67" s="1187"/>
      <c r="G67" s="1210"/>
      <c r="H67" s="1629"/>
      <c r="I67" s="1629"/>
      <c r="J67" s="1629"/>
      <c r="K67" s="1629"/>
      <c r="L67" s="1629"/>
      <c r="M67" s="1629"/>
      <c r="N67" s="1629"/>
      <c r="O67" s="1629"/>
      <c r="P67" s="1629"/>
      <c r="Q67" s="1629"/>
      <c r="R67" s="1629"/>
      <c r="S67" s="1629"/>
      <c r="T67" s="1629"/>
      <c r="U67" s="1629"/>
      <c r="V67" s="1629"/>
      <c r="W67" s="1629"/>
      <c r="X67" s="1629"/>
      <c r="Y67" s="1629"/>
      <c r="Z67" s="1629"/>
      <c r="AA67" s="1627"/>
      <c r="AB67" s="695"/>
    </row>
    <row r="68" spans="1:28" ht="17.25" customHeight="1" outlineLevel="1" x14ac:dyDescent="0.45">
      <c r="A68" s="695"/>
      <c r="B68" s="1180" t="s">
        <v>103</v>
      </c>
      <c r="C68" s="1181"/>
      <c r="D68" s="1181"/>
      <c r="E68" s="1187"/>
      <c r="F68" s="1187"/>
      <c r="G68" s="1210"/>
      <c r="H68" s="1629">
        <f>-H26</f>
        <v>-25250226.50398647</v>
      </c>
      <c r="I68" s="1629">
        <f t="shared" ref="I68:AA68" si="19">-I26</f>
        <v>-25250226.50398647</v>
      </c>
      <c r="J68" s="1629">
        <f t="shared" si="19"/>
        <v>-25250226.50398647</v>
      </c>
      <c r="K68" s="1629">
        <f t="shared" si="19"/>
        <v>-25250226.50398647</v>
      </c>
      <c r="L68" s="1629">
        <f t="shared" si="19"/>
        <v>-25250226.50398647</v>
      </c>
      <c r="M68" s="1629">
        <f t="shared" si="19"/>
        <v>-25250226.50398647</v>
      </c>
      <c r="N68" s="1629">
        <f t="shared" si="19"/>
        <v>-25250226.50398647</v>
      </c>
      <c r="O68" s="1629">
        <f t="shared" si="19"/>
        <v>-25250226.50398647</v>
      </c>
      <c r="P68" s="1629">
        <f t="shared" si="19"/>
        <v>-25250226.50398647</v>
      </c>
      <c r="Q68" s="1629">
        <f t="shared" si="19"/>
        <v>-25250226.50398647</v>
      </c>
      <c r="R68" s="1629">
        <f t="shared" si="19"/>
        <v>-25250226.50398647</v>
      </c>
      <c r="S68" s="1629">
        <f t="shared" si="19"/>
        <v>-25250226.50398647</v>
      </c>
      <c r="T68" s="1629">
        <f t="shared" si="19"/>
        <v>-25250226.50398647</v>
      </c>
      <c r="U68" s="1629">
        <f t="shared" si="19"/>
        <v>-25250226.50398647</v>
      </c>
      <c r="V68" s="1629">
        <f t="shared" si="19"/>
        <v>-25250226.50398647</v>
      </c>
      <c r="W68" s="1629">
        <f t="shared" si="19"/>
        <v>-25250226.50398647</v>
      </c>
      <c r="X68" s="1629">
        <f t="shared" si="19"/>
        <v>-25250226.50398647</v>
      </c>
      <c r="Y68" s="1629">
        <f t="shared" si="19"/>
        <v>-25250226.50398647</v>
      </c>
      <c r="Z68" s="1629">
        <f t="shared" si="19"/>
        <v>-25250226.50398647</v>
      </c>
      <c r="AA68" s="1627">
        <f t="shared" si="19"/>
        <v>-25250226.50398647</v>
      </c>
      <c r="AB68" s="695"/>
    </row>
    <row r="69" spans="1:28" ht="9" customHeight="1" outlineLevel="1" x14ac:dyDescent="0.45">
      <c r="A69" s="695"/>
      <c r="B69" s="1180"/>
      <c r="C69" s="1181"/>
      <c r="D69" s="1181"/>
      <c r="E69" s="1187"/>
      <c r="F69" s="1187"/>
      <c r="G69" s="1210"/>
      <c r="H69" s="1629"/>
      <c r="I69" s="1629"/>
      <c r="J69" s="1629"/>
      <c r="K69" s="1629"/>
      <c r="L69" s="1629"/>
      <c r="M69" s="1629"/>
      <c r="N69" s="1629"/>
      <c r="O69" s="1629"/>
      <c r="P69" s="1629"/>
      <c r="Q69" s="1629"/>
      <c r="R69" s="1629"/>
      <c r="S69" s="1629"/>
      <c r="T69" s="1629"/>
      <c r="U69" s="1629"/>
      <c r="V69" s="1629"/>
      <c r="W69" s="1629"/>
      <c r="X69" s="1629"/>
      <c r="Y69" s="1629"/>
      <c r="Z69" s="1629"/>
      <c r="AA69" s="1627"/>
      <c r="AB69" s="695"/>
    </row>
    <row r="70" spans="1:28" ht="17.25" customHeight="1" outlineLevel="1" x14ac:dyDescent="0.45">
      <c r="A70" s="695"/>
      <c r="B70" s="1196" t="s">
        <v>104</v>
      </c>
      <c r="C70" s="1211"/>
      <c r="D70" s="1211"/>
      <c r="E70" s="1212"/>
      <c r="F70" s="1212"/>
      <c r="G70" s="1213"/>
      <c r="H70" s="1512">
        <f>H66+H68</f>
        <v>61417071.437029772</v>
      </c>
      <c r="I70" s="1512">
        <f t="shared" ref="I70:AA70" si="20">I66+I68</f>
        <v>60648378.072324701</v>
      </c>
      <c r="J70" s="1512">
        <f t="shared" si="20"/>
        <v>59876821.036943145</v>
      </c>
      <c r="K70" s="1512">
        <f t="shared" si="20"/>
        <v>59102280.506488495</v>
      </c>
      <c r="L70" s="1512">
        <f t="shared" si="20"/>
        <v>58324634.572831117</v>
      </c>
      <c r="M70" s="1512">
        <f t="shared" si="20"/>
        <v>57543759.200869925</v>
      </c>
      <c r="N70" s="1512">
        <f t="shared" si="20"/>
        <v>56759528.184437014</v>
      </c>
      <c r="O70" s="1512">
        <f t="shared" si="20"/>
        <v>55971813.101328082</v>
      </c>
      <c r="P70" s="1512">
        <f t="shared" si="20"/>
        <v>55180483.267441355</v>
      </c>
      <c r="Q70" s="1512">
        <f t="shared" si="20"/>
        <v>54385405.690006845</v>
      </c>
      <c r="R70" s="1512">
        <f t="shared" si="20"/>
        <v>53586445.019887976</v>
      </c>
      <c r="S70" s="1512">
        <f t="shared" si="20"/>
        <v>52783463.502936728</v>
      </c>
      <c r="T70" s="1512">
        <f t="shared" si="20"/>
        <v>51976320.930383615</v>
      </c>
      <c r="U70" s="1512">
        <f t="shared" si="20"/>
        <v>51164874.588242881</v>
      </c>
      <c r="V70" s="1512">
        <f t="shared" si="20"/>
        <v>50348979.205713473</v>
      </c>
      <c r="W70" s="1512">
        <f t="shared" si="20"/>
        <v>49528486.902555354</v>
      </c>
      <c r="X70" s="1512">
        <f t="shared" si="20"/>
        <v>48703247.135420807</v>
      </c>
      <c r="Y70" s="1512">
        <f t="shared" si="20"/>
        <v>47873106.643119909</v>
      </c>
      <c r="Z70" s="1512">
        <f t="shared" si="20"/>
        <v>47037909.390798442</v>
      </c>
      <c r="AA70" s="1632">
        <f t="shared" si="20"/>
        <v>46197496.513006873</v>
      </c>
      <c r="AB70" s="695"/>
    </row>
    <row r="71" spans="1:28" ht="6.75" customHeight="1" outlineLevel="1" x14ac:dyDescent="0.45">
      <c r="A71" s="695"/>
      <c r="B71" s="1180"/>
      <c r="C71" s="1181"/>
      <c r="D71" s="1181"/>
      <c r="E71" s="1187"/>
      <c r="F71" s="1187"/>
      <c r="G71" s="1210"/>
      <c r="H71" s="1629"/>
      <c r="I71" s="1629"/>
      <c r="J71" s="1629"/>
      <c r="K71" s="1629"/>
      <c r="L71" s="1629"/>
      <c r="M71" s="1629"/>
      <c r="N71" s="1629"/>
      <c r="O71" s="1629"/>
      <c r="P71" s="1629"/>
      <c r="Q71" s="1629"/>
      <c r="R71" s="1629"/>
      <c r="S71" s="1629"/>
      <c r="T71" s="1629"/>
      <c r="U71" s="1629"/>
      <c r="V71" s="1629"/>
      <c r="W71" s="1629"/>
      <c r="X71" s="1629"/>
      <c r="Y71" s="1629"/>
      <c r="Z71" s="1629"/>
      <c r="AA71" s="1627"/>
      <c r="AB71" s="695"/>
    </row>
    <row r="72" spans="1:28" ht="17.25" customHeight="1" outlineLevel="1" x14ac:dyDescent="0.45">
      <c r="A72" s="695"/>
      <c r="B72" s="1180" t="str">
        <f t="shared" ref="B72:B77" si="21">B28</f>
        <v xml:space="preserve">Interest Expense, public loan </v>
      </c>
      <c r="C72" s="1181"/>
      <c r="D72" s="1181"/>
      <c r="E72" s="1187"/>
      <c r="F72" s="1187"/>
      <c r="G72" s="1210"/>
      <c r="H72" s="1629">
        <f t="shared" ref="H72:H77" si="22">-H28</f>
        <v>0</v>
      </c>
      <c r="I72" s="1629">
        <f t="shared" ref="I72:AA72" si="23">-I28</f>
        <v>0</v>
      </c>
      <c r="J72" s="1629">
        <f t="shared" si="23"/>
        <v>0</v>
      </c>
      <c r="K72" s="1629">
        <f t="shared" si="23"/>
        <v>0</v>
      </c>
      <c r="L72" s="1629">
        <f t="shared" si="23"/>
        <v>0</v>
      </c>
      <c r="M72" s="1629">
        <f t="shared" si="23"/>
        <v>0</v>
      </c>
      <c r="N72" s="1629">
        <f t="shared" si="23"/>
        <v>0</v>
      </c>
      <c r="O72" s="1629">
        <f t="shared" si="23"/>
        <v>0</v>
      </c>
      <c r="P72" s="1629">
        <f t="shared" si="23"/>
        <v>0</v>
      </c>
      <c r="Q72" s="1629">
        <f t="shared" si="23"/>
        <v>0</v>
      </c>
      <c r="R72" s="1629">
        <f t="shared" si="23"/>
        <v>0</v>
      </c>
      <c r="S72" s="1629">
        <f t="shared" si="23"/>
        <v>0</v>
      </c>
      <c r="T72" s="1629">
        <f t="shared" si="23"/>
        <v>0</v>
      </c>
      <c r="U72" s="1629">
        <f t="shared" si="23"/>
        <v>0</v>
      </c>
      <c r="V72" s="1629">
        <f t="shared" si="23"/>
        <v>0</v>
      </c>
      <c r="W72" s="1629">
        <f t="shared" si="23"/>
        <v>0</v>
      </c>
      <c r="X72" s="1629">
        <f t="shared" si="23"/>
        <v>0</v>
      </c>
      <c r="Y72" s="1629">
        <f t="shared" si="23"/>
        <v>0</v>
      </c>
      <c r="Z72" s="1629">
        <f t="shared" si="23"/>
        <v>0</v>
      </c>
      <c r="AA72" s="1627">
        <f t="shared" si="23"/>
        <v>0</v>
      </c>
      <c r="AB72" s="695"/>
    </row>
    <row r="73" spans="1:28" ht="17.25" customHeight="1" outlineLevel="1" x14ac:dyDescent="0.45">
      <c r="A73" s="695"/>
      <c r="B73" s="1180" t="str">
        <f t="shared" si="21"/>
        <v>Interest Expense, commercial loan with public guarantees</v>
      </c>
      <c r="C73" s="1181"/>
      <c r="D73" s="1181"/>
      <c r="E73" s="1187"/>
      <c r="F73" s="1187"/>
      <c r="G73" s="1210"/>
      <c r="H73" s="1629">
        <f t="shared" si="22"/>
        <v>0</v>
      </c>
      <c r="I73" s="1629">
        <f t="shared" ref="I73:AA73" si="24">-I29</f>
        <v>0</v>
      </c>
      <c r="J73" s="1629">
        <f t="shared" si="24"/>
        <v>0</v>
      </c>
      <c r="K73" s="1629">
        <f t="shared" si="24"/>
        <v>0</v>
      </c>
      <c r="L73" s="1629">
        <f t="shared" si="24"/>
        <v>0</v>
      </c>
      <c r="M73" s="1629">
        <f t="shared" si="24"/>
        <v>0</v>
      </c>
      <c r="N73" s="1629">
        <f t="shared" si="24"/>
        <v>0</v>
      </c>
      <c r="O73" s="1629">
        <f t="shared" si="24"/>
        <v>0</v>
      </c>
      <c r="P73" s="1629">
        <f t="shared" si="24"/>
        <v>0</v>
      </c>
      <c r="Q73" s="1629">
        <f t="shared" si="24"/>
        <v>0</v>
      </c>
      <c r="R73" s="1629">
        <f t="shared" si="24"/>
        <v>0</v>
      </c>
      <c r="S73" s="1629">
        <f t="shared" si="24"/>
        <v>0</v>
      </c>
      <c r="T73" s="1629">
        <f t="shared" si="24"/>
        <v>0</v>
      </c>
      <c r="U73" s="1629">
        <f t="shared" si="24"/>
        <v>0</v>
      </c>
      <c r="V73" s="1629">
        <f t="shared" si="24"/>
        <v>0</v>
      </c>
      <c r="W73" s="1629">
        <f t="shared" si="24"/>
        <v>0</v>
      </c>
      <c r="X73" s="1629">
        <f t="shared" si="24"/>
        <v>0</v>
      </c>
      <c r="Y73" s="1629">
        <f t="shared" si="24"/>
        <v>0</v>
      </c>
      <c r="Z73" s="1629">
        <f t="shared" si="24"/>
        <v>0</v>
      </c>
      <c r="AA73" s="1627">
        <f t="shared" si="24"/>
        <v>0</v>
      </c>
      <c r="AB73" s="695"/>
    </row>
    <row r="74" spans="1:28" ht="17.25" customHeight="1" outlineLevel="1" x14ac:dyDescent="0.45">
      <c r="A74" s="695"/>
      <c r="B74" s="1180" t="str">
        <f t="shared" si="21"/>
        <v>Interest Expense, commercial loan without public guarantees</v>
      </c>
      <c r="C74" s="1181"/>
      <c r="D74" s="1181"/>
      <c r="E74" s="1187"/>
      <c r="F74" s="1187"/>
      <c r="G74" s="1210"/>
      <c r="H74" s="1629">
        <f t="shared" si="22"/>
        <v>-29768688.088910367</v>
      </c>
      <c r="I74" s="1629">
        <f t="shared" ref="I74:AA74" si="25">-I30</f>
        <v>-27980294.198088348</v>
      </c>
      <c r="J74" s="1629">
        <f t="shared" si="25"/>
        <v>-26048828.796000563</v>
      </c>
      <c r="K74" s="1629">
        <f t="shared" si="25"/>
        <v>-23962846.161745753</v>
      </c>
      <c r="L74" s="1629">
        <f t="shared" si="25"/>
        <v>-21709984.916750561</v>
      </c>
      <c r="M74" s="1629">
        <f t="shared" si="25"/>
        <v>-19276894.772155754</v>
      </c>
      <c r="N74" s="1629">
        <f t="shared" si="25"/>
        <v>-16649157.415993363</v>
      </c>
      <c r="O74" s="1629">
        <f t="shared" si="25"/>
        <v>-13811201.071337977</v>
      </c>
      <c r="P74" s="1629">
        <f t="shared" si="25"/>
        <v>-10746208.219110165</v>
      </c>
      <c r="Q74" s="1629">
        <f t="shared" si="25"/>
        <v>-7436015.9387041247</v>
      </c>
      <c r="R74" s="1629">
        <f t="shared" si="25"/>
        <v>-3861008.2758656032</v>
      </c>
      <c r="S74" s="1629">
        <f t="shared" si="25"/>
        <v>0</v>
      </c>
      <c r="T74" s="1629">
        <f t="shared" si="25"/>
        <v>0</v>
      </c>
      <c r="U74" s="1629">
        <f t="shared" si="25"/>
        <v>0</v>
      </c>
      <c r="V74" s="1629">
        <f t="shared" si="25"/>
        <v>0</v>
      </c>
      <c r="W74" s="1629">
        <f t="shared" si="25"/>
        <v>0</v>
      </c>
      <c r="X74" s="1629">
        <f t="shared" si="25"/>
        <v>0</v>
      </c>
      <c r="Y74" s="1629">
        <f t="shared" si="25"/>
        <v>0</v>
      </c>
      <c r="Z74" s="1629">
        <f t="shared" si="25"/>
        <v>0</v>
      </c>
      <c r="AA74" s="1627">
        <f t="shared" si="25"/>
        <v>0</v>
      </c>
      <c r="AB74" s="695"/>
    </row>
    <row r="75" spans="1:28" ht="17.25" customHeight="1" outlineLevel="1" x14ac:dyDescent="0.45">
      <c r="A75" s="695"/>
      <c r="B75" s="1180" t="str">
        <f t="shared" si="21"/>
        <v xml:space="preserve">Front-end Fees </v>
      </c>
      <c r="C75" s="1181"/>
      <c r="D75" s="1181"/>
      <c r="E75" s="1187"/>
      <c r="F75" s="1187"/>
      <c r="G75" s="1210"/>
      <c r="H75" s="1629">
        <f t="shared" si="22"/>
        <v>0</v>
      </c>
      <c r="I75" s="1629">
        <f t="shared" ref="I75:AA75" si="26">-I31</f>
        <v>0</v>
      </c>
      <c r="J75" s="1629">
        <f t="shared" si="26"/>
        <v>0</v>
      </c>
      <c r="K75" s="1629">
        <f t="shared" si="26"/>
        <v>0</v>
      </c>
      <c r="L75" s="1629">
        <f t="shared" si="26"/>
        <v>0</v>
      </c>
      <c r="M75" s="1629">
        <f t="shared" si="26"/>
        <v>0</v>
      </c>
      <c r="N75" s="1629">
        <f t="shared" si="26"/>
        <v>0</v>
      </c>
      <c r="O75" s="1629">
        <f t="shared" si="26"/>
        <v>0</v>
      </c>
      <c r="P75" s="1629">
        <f t="shared" si="26"/>
        <v>0</v>
      </c>
      <c r="Q75" s="1629">
        <f t="shared" si="26"/>
        <v>0</v>
      </c>
      <c r="R75" s="1629">
        <f t="shared" si="26"/>
        <v>0</v>
      </c>
      <c r="S75" s="1629">
        <f t="shared" si="26"/>
        <v>0</v>
      </c>
      <c r="T75" s="1629">
        <f t="shared" si="26"/>
        <v>0</v>
      </c>
      <c r="U75" s="1629">
        <f t="shared" si="26"/>
        <v>0</v>
      </c>
      <c r="V75" s="1629">
        <f t="shared" si="26"/>
        <v>0</v>
      </c>
      <c r="W75" s="1629">
        <f t="shared" si="26"/>
        <v>0</v>
      </c>
      <c r="X75" s="1629">
        <f t="shared" si="26"/>
        <v>0</v>
      </c>
      <c r="Y75" s="1629">
        <f t="shared" si="26"/>
        <v>0</v>
      </c>
      <c r="Z75" s="1629">
        <f t="shared" si="26"/>
        <v>0</v>
      </c>
      <c r="AA75" s="1627">
        <f t="shared" si="26"/>
        <v>0</v>
      </c>
      <c r="AB75" s="695"/>
    </row>
    <row r="76" spans="1:28" ht="17.25" customHeight="1" outlineLevel="1" x14ac:dyDescent="0.45">
      <c r="A76" s="695"/>
      <c r="B76" s="1180" t="str">
        <f t="shared" si="21"/>
        <v xml:space="preserve">Public Guarantee Fees </v>
      </c>
      <c r="C76" s="1181"/>
      <c r="D76" s="1181"/>
      <c r="E76" s="1187"/>
      <c r="F76" s="1187"/>
      <c r="G76" s="1210"/>
      <c r="H76" s="1629">
        <f t="shared" si="22"/>
        <v>0</v>
      </c>
      <c r="I76" s="1629">
        <f t="shared" ref="I76:AA76" si="27">-I32</f>
        <v>0</v>
      </c>
      <c r="J76" s="1629">
        <f t="shared" si="27"/>
        <v>0</v>
      </c>
      <c r="K76" s="1629">
        <f t="shared" si="27"/>
        <v>0</v>
      </c>
      <c r="L76" s="1629">
        <f t="shared" si="27"/>
        <v>0</v>
      </c>
      <c r="M76" s="1629">
        <f t="shared" si="27"/>
        <v>0</v>
      </c>
      <c r="N76" s="1629">
        <f t="shared" si="27"/>
        <v>0</v>
      </c>
      <c r="O76" s="1629">
        <f t="shared" si="27"/>
        <v>0</v>
      </c>
      <c r="P76" s="1629">
        <f t="shared" si="27"/>
        <v>0</v>
      </c>
      <c r="Q76" s="1629">
        <f t="shared" si="27"/>
        <v>0</v>
      </c>
      <c r="R76" s="1629">
        <f t="shared" si="27"/>
        <v>0</v>
      </c>
      <c r="S76" s="1629">
        <f t="shared" si="27"/>
        <v>0</v>
      </c>
      <c r="T76" s="1629">
        <f t="shared" si="27"/>
        <v>0</v>
      </c>
      <c r="U76" s="1629">
        <f t="shared" si="27"/>
        <v>0</v>
      </c>
      <c r="V76" s="1629">
        <f t="shared" si="27"/>
        <v>0</v>
      </c>
      <c r="W76" s="1629">
        <f t="shared" si="27"/>
        <v>0</v>
      </c>
      <c r="X76" s="1629">
        <f t="shared" si="27"/>
        <v>0</v>
      </c>
      <c r="Y76" s="1629">
        <f t="shared" si="27"/>
        <v>0</v>
      </c>
      <c r="Z76" s="1629">
        <f t="shared" si="27"/>
        <v>0</v>
      </c>
      <c r="AA76" s="1627">
        <f t="shared" si="27"/>
        <v>0</v>
      </c>
      <c r="AB76" s="695"/>
    </row>
    <row r="77" spans="1:28" ht="17.25" customHeight="1" outlineLevel="1" x14ac:dyDescent="0.45">
      <c r="A77" s="695"/>
      <c r="B77" s="1180" t="str">
        <f t="shared" si="21"/>
        <v>Political Risk Insurance - Fees &amp; Annual Premium Payments</v>
      </c>
      <c r="C77" s="1181"/>
      <c r="D77" s="1181"/>
      <c r="E77" s="1187"/>
      <c r="F77" s="1187"/>
      <c r="G77" s="1210"/>
      <c r="H77" s="1629">
        <f t="shared" si="22"/>
        <v>0</v>
      </c>
      <c r="I77" s="1629">
        <f t="shared" ref="I77:AA77" si="28">-I33</f>
        <v>0</v>
      </c>
      <c r="J77" s="1629">
        <f t="shared" si="28"/>
        <v>0</v>
      </c>
      <c r="K77" s="1629">
        <f t="shared" si="28"/>
        <v>0</v>
      </c>
      <c r="L77" s="1629">
        <f t="shared" si="28"/>
        <v>0</v>
      </c>
      <c r="M77" s="1629">
        <f t="shared" si="28"/>
        <v>0</v>
      </c>
      <c r="N77" s="1629">
        <f t="shared" si="28"/>
        <v>0</v>
      </c>
      <c r="O77" s="1629">
        <f t="shared" si="28"/>
        <v>0</v>
      </c>
      <c r="P77" s="1629">
        <f t="shared" si="28"/>
        <v>0</v>
      </c>
      <c r="Q77" s="1629">
        <f t="shared" si="28"/>
        <v>0</v>
      </c>
      <c r="R77" s="1629">
        <f t="shared" si="28"/>
        <v>0</v>
      </c>
      <c r="S77" s="1629">
        <f t="shared" si="28"/>
        <v>0</v>
      </c>
      <c r="T77" s="1629">
        <f t="shared" si="28"/>
        <v>0</v>
      </c>
      <c r="U77" s="1629">
        <f t="shared" si="28"/>
        <v>0</v>
      </c>
      <c r="V77" s="1629">
        <f t="shared" si="28"/>
        <v>0</v>
      </c>
      <c r="W77" s="1629">
        <f t="shared" si="28"/>
        <v>0</v>
      </c>
      <c r="X77" s="1629">
        <f t="shared" si="28"/>
        <v>0</v>
      </c>
      <c r="Y77" s="1629">
        <f t="shared" si="28"/>
        <v>0</v>
      </c>
      <c r="Z77" s="1629">
        <f t="shared" si="28"/>
        <v>0</v>
      </c>
      <c r="AA77" s="1627">
        <f t="shared" si="28"/>
        <v>0</v>
      </c>
      <c r="AB77" s="695"/>
    </row>
    <row r="78" spans="1:28" ht="9.75" customHeight="1" outlineLevel="1" x14ac:dyDescent="0.45">
      <c r="A78" s="695"/>
      <c r="B78" s="1180"/>
      <c r="C78" s="1181"/>
      <c r="D78" s="1181"/>
      <c r="E78" s="1187"/>
      <c r="F78" s="1187"/>
      <c r="G78" s="1210"/>
      <c r="H78" s="1629"/>
      <c r="I78" s="1629"/>
      <c r="J78" s="1629"/>
      <c r="K78" s="1629"/>
      <c r="L78" s="1629"/>
      <c r="M78" s="1629"/>
      <c r="N78" s="1629"/>
      <c r="O78" s="1629"/>
      <c r="P78" s="1629"/>
      <c r="Q78" s="1629"/>
      <c r="R78" s="1629"/>
      <c r="S78" s="1629"/>
      <c r="T78" s="1629"/>
      <c r="U78" s="1629"/>
      <c r="V78" s="1629"/>
      <c r="W78" s="1629"/>
      <c r="X78" s="1629"/>
      <c r="Y78" s="1629"/>
      <c r="Z78" s="1629"/>
      <c r="AA78" s="1627"/>
      <c r="AB78" s="695"/>
    </row>
    <row r="79" spans="1:28" ht="17.25" customHeight="1" outlineLevel="1" x14ac:dyDescent="0.45">
      <c r="A79" s="695"/>
      <c r="B79" s="1196" t="s">
        <v>105</v>
      </c>
      <c r="C79" s="1211"/>
      <c r="D79" s="1211"/>
      <c r="E79" s="1212"/>
      <c r="F79" s="1212"/>
      <c r="G79" s="1213"/>
      <c r="H79" s="1512">
        <f>H70+(SUM(H72:H77))</f>
        <v>31648383.348119404</v>
      </c>
      <c r="I79" s="1512">
        <f t="shared" ref="I79:AA79" si="29">I70+(SUM(I72:I77))</f>
        <v>32668083.874236353</v>
      </c>
      <c r="J79" s="1512">
        <f t="shared" si="29"/>
        <v>33827992.240942582</v>
      </c>
      <c r="K79" s="1512">
        <f t="shared" si="29"/>
        <v>35139434.344742745</v>
      </c>
      <c r="L79" s="1512">
        <f t="shared" si="29"/>
        <v>36614649.656080559</v>
      </c>
      <c r="M79" s="1512">
        <f t="shared" si="29"/>
        <v>38266864.428714171</v>
      </c>
      <c r="N79" s="1512">
        <f t="shared" si="29"/>
        <v>40110370.768443651</v>
      </c>
      <c r="O79" s="1512">
        <f t="shared" si="29"/>
        <v>42160612.029990107</v>
      </c>
      <c r="P79" s="1512">
        <f t="shared" si="29"/>
        <v>44434275.048331186</v>
      </c>
      <c r="Q79" s="1512">
        <f t="shared" si="29"/>
        <v>46949389.751302719</v>
      </c>
      <c r="R79" s="1512">
        <f t="shared" si="29"/>
        <v>49725436.744022369</v>
      </c>
      <c r="S79" s="1512">
        <f t="shared" si="29"/>
        <v>52783463.502936728</v>
      </c>
      <c r="T79" s="1512">
        <f t="shared" si="29"/>
        <v>51976320.930383615</v>
      </c>
      <c r="U79" s="1512">
        <f t="shared" si="29"/>
        <v>51164874.588242881</v>
      </c>
      <c r="V79" s="1512">
        <f t="shared" si="29"/>
        <v>50348979.205713473</v>
      </c>
      <c r="W79" s="1512">
        <f t="shared" si="29"/>
        <v>49528486.902555354</v>
      </c>
      <c r="X79" s="1512">
        <f t="shared" si="29"/>
        <v>48703247.135420807</v>
      </c>
      <c r="Y79" s="1512">
        <f t="shared" si="29"/>
        <v>47873106.643119909</v>
      </c>
      <c r="Z79" s="1512">
        <f t="shared" si="29"/>
        <v>47037909.390798442</v>
      </c>
      <c r="AA79" s="1632">
        <f t="shared" si="29"/>
        <v>46197496.513006873</v>
      </c>
      <c r="AB79" s="695"/>
    </row>
    <row r="80" spans="1:28" ht="6.75" customHeight="1" outlineLevel="1" x14ac:dyDescent="0.45">
      <c r="A80" s="695"/>
      <c r="B80" s="1180"/>
      <c r="C80" s="1181"/>
      <c r="D80" s="1181"/>
      <c r="E80" s="1187"/>
      <c r="F80" s="1187"/>
      <c r="G80" s="1210"/>
      <c r="H80" s="1629"/>
      <c r="I80" s="1629"/>
      <c r="J80" s="1629"/>
      <c r="K80" s="1629"/>
      <c r="L80" s="1629"/>
      <c r="M80" s="1629"/>
      <c r="N80" s="1629"/>
      <c r="O80" s="1629"/>
      <c r="P80" s="1629"/>
      <c r="Q80" s="1629"/>
      <c r="R80" s="1629"/>
      <c r="S80" s="1629"/>
      <c r="T80" s="1629"/>
      <c r="U80" s="1629"/>
      <c r="V80" s="1629"/>
      <c r="W80" s="1629"/>
      <c r="X80" s="1629"/>
      <c r="Y80" s="1629"/>
      <c r="Z80" s="1629"/>
      <c r="AA80" s="1627"/>
      <c r="AB80" s="695"/>
    </row>
    <row r="81" spans="1:28" ht="17.25" customHeight="1" outlineLevel="1" x14ac:dyDescent="0.45">
      <c r="A81" s="695"/>
      <c r="B81" s="1180" t="s">
        <v>106</v>
      </c>
      <c r="C81" s="1181"/>
      <c r="D81" s="1181"/>
      <c r="E81" s="1187"/>
      <c r="F81" s="1187"/>
      <c r="G81" s="1210"/>
      <c r="H81" s="1629">
        <f>IF(H79&lt;0,(-H79*'III. Inputs, Renewable Energy'!$U$18),(-'V. LCOE, RE Generation'!H79*'III. Inputs, Renewable Energy'!$U$18))</f>
        <v>-7912095.837029851</v>
      </c>
      <c r="I81" s="1629">
        <f>IF(I79&lt;0,(-I79*'III. Inputs, Renewable Energy'!$U$18),(-'V. LCOE, RE Generation'!I79*'III. Inputs, Renewable Energy'!$U$18))</f>
        <v>-8167020.9685590882</v>
      </c>
      <c r="J81" s="1629">
        <f>IF(J79&lt;0,(-J79*'III. Inputs, Renewable Energy'!$U$18),(-'V. LCOE, RE Generation'!J79*'III. Inputs, Renewable Energy'!$U$18))</f>
        <v>-8456998.0602356456</v>
      </c>
      <c r="K81" s="1629">
        <f>IF(K79&lt;0,(-K79*'III. Inputs, Renewable Energy'!$U$18),(-'V. LCOE, RE Generation'!K79*'III. Inputs, Renewable Energy'!$U$18))</f>
        <v>-8784858.5861856863</v>
      </c>
      <c r="L81" s="1629">
        <f>IF(L79&lt;0,(-L79*'III. Inputs, Renewable Energy'!$U$18),(-'V. LCOE, RE Generation'!L79*'III. Inputs, Renewable Energy'!$U$18))</f>
        <v>-9153662.4140201397</v>
      </c>
      <c r="M81" s="1629">
        <f>IF(M79&lt;0,(-M79*'III. Inputs, Renewable Energy'!$U$18),(-'V. LCOE, RE Generation'!M79*'III. Inputs, Renewable Energy'!$U$18))</f>
        <v>-9566716.1071785428</v>
      </c>
      <c r="N81" s="1629">
        <f>IF(N79&lt;0,(-N79*'III. Inputs, Renewable Energy'!$U$18),(-'V. LCOE, RE Generation'!N79*'III. Inputs, Renewable Energy'!$U$18))</f>
        <v>-10027592.692110913</v>
      </c>
      <c r="O81" s="1629">
        <f>IF(O79&lt;0,(-O79*'III. Inputs, Renewable Energy'!$U$18),(-'V. LCOE, RE Generation'!O79*'III. Inputs, Renewable Energy'!$U$18))</f>
        <v>-10540153.007497527</v>
      </c>
      <c r="P81" s="1629">
        <f>IF(P79&lt;0,(-P79*'III. Inputs, Renewable Energy'!$U$18),(-'V. LCOE, RE Generation'!P79*'III. Inputs, Renewable Energy'!$U$18))</f>
        <v>-11108568.762082797</v>
      </c>
      <c r="Q81" s="1629">
        <f>IF(Q79&lt;0,(-Q79*'III. Inputs, Renewable Energy'!$U$18),(-'V. LCOE, RE Generation'!Q79*'III. Inputs, Renewable Energy'!$U$18))</f>
        <v>-11737347.43782568</v>
      </c>
      <c r="R81" s="1629">
        <f>IF(R79&lt;0,(-R79*'III. Inputs, Renewable Energy'!$U$18),(-'V. LCOE, RE Generation'!R79*'III. Inputs, Renewable Energy'!$U$18))</f>
        <v>-12431359.186005592</v>
      </c>
      <c r="S81" s="1629">
        <f>IF(S79&lt;0,(-S79*'III. Inputs, Renewable Energy'!$U$18),(-'V. LCOE, RE Generation'!S79*'III. Inputs, Renewable Energy'!$U$18))</f>
        <v>-13195865.875734182</v>
      </c>
      <c r="T81" s="1629">
        <f>IF(T79&lt;0,(-T79*'III. Inputs, Renewable Energy'!$U$18),(-'V. LCOE, RE Generation'!T79*'III. Inputs, Renewable Energy'!$U$18))</f>
        <v>-12994080.232595904</v>
      </c>
      <c r="U81" s="1629">
        <f>IF(U79&lt;0,(-U79*'III. Inputs, Renewable Energy'!$U$18),(-'V. LCOE, RE Generation'!U79*'III. Inputs, Renewable Energy'!$U$18))</f>
        <v>-12791218.64706072</v>
      </c>
      <c r="V81" s="1629">
        <f>IF(V79&lt;0,(-V79*'III. Inputs, Renewable Energy'!$U$18),(-'V. LCOE, RE Generation'!V79*'III. Inputs, Renewable Energy'!$U$18))</f>
        <v>-12587244.801428368</v>
      </c>
      <c r="W81" s="1629">
        <f>IF(W79&lt;0,(-W79*'III. Inputs, Renewable Energy'!$U$18),(-'V. LCOE, RE Generation'!W79*'III. Inputs, Renewable Energy'!$U$18))</f>
        <v>-12382121.725638838</v>
      </c>
      <c r="X81" s="1629">
        <f>IF(X79&lt;0,(-X79*'III. Inputs, Renewable Energy'!$U$18),(-'V. LCOE, RE Generation'!X79*'III. Inputs, Renewable Energy'!$U$18))</f>
        <v>-12175811.783855202</v>
      </c>
      <c r="Y81" s="1629">
        <f>IF(Y79&lt;0,(-Y79*'III. Inputs, Renewable Energy'!$U$18),(-'V. LCOE, RE Generation'!Y79*'III. Inputs, Renewable Energy'!$U$18))</f>
        <v>-11968276.660779977</v>
      </c>
      <c r="Z81" s="1629">
        <f>IF(Z79&lt;0,(-Z79*'III. Inputs, Renewable Energy'!$U$18),(-'V. LCOE, RE Generation'!Z79*'III. Inputs, Renewable Energy'!$U$18))</f>
        <v>-11759477.347699611</v>
      </c>
      <c r="AA81" s="1627">
        <f>IF(AA79&lt;0,(-AA79*'III. Inputs, Renewable Energy'!$U$18),(-'V. LCOE, RE Generation'!AA79*'III. Inputs, Renewable Energy'!$U$18))</f>
        <v>-11549374.128251718</v>
      </c>
      <c r="AB81" s="695"/>
    </row>
    <row r="82" spans="1:28" ht="6.75" customHeight="1" outlineLevel="1" x14ac:dyDescent="0.45">
      <c r="A82" s="695"/>
      <c r="B82" s="1197"/>
      <c r="C82" s="1193"/>
      <c r="D82" s="1193"/>
      <c r="E82" s="1194"/>
      <c r="F82" s="1194"/>
      <c r="G82" s="1214"/>
      <c r="H82" s="1630"/>
      <c r="I82" s="1630"/>
      <c r="J82" s="1630"/>
      <c r="K82" s="1630"/>
      <c r="L82" s="1630"/>
      <c r="M82" s="1630"/>
      <c r="N82" s="1630"/>
      <c r="O82" s="1630"/>
      <c r="P82" s="1630"/>
      <c r="Q82" s="1630"/>
      <c r="R82" s="1630"/>
      <c r="S82" s="1630"/>
      <c r="T82" s="1630"/>
      <c r="U82" s="1630"/>
      <c r="V82" s="1630"/>
      <c r="W82" s="1630"/>
      <c r="X82" s="1630"/>
      <c r="Y82" s="1630"/>
      <c r="Z82" s="1630"/>
      <c r="AA82" s="1631"/>
      <c r="AB82" s="695"/>
    </row>
    <row r="83" spans="1:28" ht="17.25" customHeight="1" outlineLevel="1" x14ac:dyDescent="0.45">
      <c r="A83" s="695"/>
      <c r="B83" s="1196" t="s">
        <v>107</v>
      </c>
      <c r="C83" s="1211"/>
      <c r="D83" s="1211"/>
      <c r="E83" s="1212"/>
      <c r="F83" s="1212"/>
      <c r="G83" s="1213"/>
      <c r="H83" s="1512">
        <f>H79+H81</f>
        <v>23736287.511089552</v>
      </c>
      <c r="I83" s="1512">
        <f t="shared" ref="I83:AA83" si="30">I79+I81</f>
        <v>24501062.905677266</v>
      </c>
      <c r="J83" s="1512">
        <f t="shared" si="30"/>
        <v>25370994.180706937</v>
      </c>
      <c r="K83" s="1512">
        <f t="shared" si="30"/>
        <v>26354575.758557059</v>
      </c>
      <c r="L83" s="1512">
        <f t="shared" si="30"/>
        <v>27460987.242060419</v>
      </c>
      <c r="M83" s="1512">
        <f t="shared" si="30"/>
        <v>28700148.321535628</v>
      </c>
      <c r="N83" s="1512">
        <f t="shared" si="30"/>
        <v>30082778.07633274</v>
      </c>
      <c r="O83" s="1512">
        <f t="shared" si="30"/>
        <v>31620459.02249258</v>
      </c>
      <c r="P83" s="1512">
        <f t="shared" si="30"/>
        <v>33325706.28624839</v>
      </c>
      <c r="Q83" s="1512">
        <f t="shared" si="30"/>
        <v>35212042.313477039</v>
      </c>
      <c r="R83" s="1512">
        <f t="shared" si="30"/>
        <v>37294077.558016777</v>
      </c>
      <c r="S83" s="1512">
        <f t="shared" si="30"/>
        <v>39587597.627202548</v>
      </c>
      <c r="T83" s="1512">
        <f t="shared" si="30"/>
        <v>38982240.69778771</v>
      </c>
      <c r="U83" s="1512">
        <f t="shared" si="30"/>
        <v>38373655.941182159</v>
      </c>
      <c r="V83" s="1512">
        <f t="shared" si="30"/>
        <v>37761734.404285103</v>
      </c>
      <c r="W83" s="1512">
        <f t="shared" si="30"/>
        <v>37146365.176916517</v>
      </c>
      <c r="X83" s="1512">
        <f t="shared" si="30"/>
        <v>36527435.351565607</v>
      </c>
      <c r="Y83" s="1512">
        <f t="shared" si="30"/>
        <v>35904829.982339934</v>
      </c>
      <c r="Z83" s="1512">
        <f t="shared" si="30"/>
        <v>35278432.04309883</v>
      </c>
      <c r="AA83" s="1632">
        <f t="shared" si="30"/>
        <v>34648122.384755157</v>
      </c>
      <c r="AB83" s="695"/>
    </row>
    <row r="84" spans="1:28" ht="17.25" customHeight="1" outlineLevel="1" x14ac:dyDescent="0.45">
      <c r="A84" s="695"/>
      <c r="B84" s="1180"/>
      <c r="C84" s="1181"/>
      <c r="D84" s="1181"/>
      <c r="E84" s="1187"/>
      <c r="F84" s="1187"/>
      <c r="G84" s="1210"/>
      <c r="H84" s="1215"/>
      <c r="I84" s="1215"/>
      <c r="J84" s="1215"/>
      <c r="K84" s="1215"/>
      <c r="L84" s="1215"/>
      <c r="M84" s="1215"/>
      <c r="N84" s="1215"/>
      <c r="O84" s="1215"/>
      <c r="P84" s="1215"/>
      <c r="Q84" s="1215"/>
      <c r="R84" s="1215"/>
      <c r="S84" s="1215"/>
      <c r="T84" s="1215"/>
      <c r="U84" s="1215"/>
      <c r="V84" s="1215"/>
      <c r="W84" s="1215"/>
      <c r="X84" s="1215"/>
      <c r="Y84" s="1215"/>
      <c r="Z84" s="1215"/>
      <c r="AA84" s="1216"/>
      <c r="AB84" s="695"/>
    </row>
    <row r="85" spans="1:28" ht="17.25" customHeight="1" outlineLevel="1" x14ac:dyDescent="0.45">
      <c r="A85" s="695"/>
      <c r="B85" s="1180" t="s">
        <v>108</v>
      </c>
      <c r="C85" s="1181"/>
      <c r="D85" s="1181"/>
      <c r="E85" s="1187"/>
      <c r="F85" s="1187" t="s">
        <v>748</v>
      </c>
      <c r="G85" s="1629">
        <f>-('III. Inputs, Renewable Energy'!$U$14*'III. Inputs, Renewable Energy'!$U$15)</f>
        <v>-531583715.87339938</v>
      </c>
      <c r="H85" s="1215"/>
      <c r="I85" s="1215"/>
      <c r="J85" s="1215"/>
      <c r="K85" s="1215"/>
      <c r="L85" s="1215"/>
      <c r="M85" s="1215"/>
      <c r="N85" s="1215"/>
      <c r="O85" s="1215"/>
      <c r="P85" s="1215"/>
      <c r="Q85" s="1215"/>
      <c r="R85" s="1215"/>
      <c r="S85" s="1215"/>
      <c r="T85" s="1215"/>
      <c r="U85" s="1215"/>
      <c r="V85" s="1215"/>
      <c r="W85" s="1215"/>
      <c r="X85" s="1215"/>
      <c r="Y85" s="1215"/>
      <c r="Z85" s="1215"/>
      <c r="AA85" s="1216"/>
      <c r="AB85" s="695"/>
    </row>
    <row r="86" spans="1:28" ht="17.25" customHeight="1" outlineLevel="1" x14ac:dyDescent="0.45">
      <c r="A86" s="695"/>
      <c r="B86" s="1197" t="s">
        <v>109</v>
      </c>
      <c r="C86" s="1193"/>
      <c r="D86" s="1193"/>
      <c r="E86" s="1194"/>
      <c r="F86" s="1194" t="s">
        <v>748</v>
      </c>
      <c r="G86" s="1630">
        <f>('III. Inputs, Renewable Energy'!U14*'III. Inputs, Renewable Energy'!$U$15*'III. Inputs, Renewable Energy'!$S$34)</f>
        <v>372108601.11137956</v>
      </c>
      <c r="H86" s="1217"/>
      <c r="I86" s="1217"/>
      <c r="J86" s="1217"/>
      <c r="K86" s="1217"/>
      <c r="L86" s="1217"/>
      <c r="M86" s="1217"/>
      <c r="N86" s="1217"/>
      <c r="O86" s="1217"/>
      <c r="P86" s="1217"/>
      <c r="Q86" s="1217"/>
      <c r="R86" s="1217"/>
      <c r="S86" s="1217"/>
      <c r="T86" s="1217"/>
      <c r="U86" s="1217"/>
      <c r="V86" s="1217"/>
      <c r="W86" s="1217"/>
      <c r="X86" s="1217"/>
      <c r="Y86" s="1217"/>
      <c r="Z86" s="1217"/>
      <c r="AA86" s="1218"/>
      <c r="AB86" s="695"/>
    </row>
    <row r="87" spans="1:28" ht="17.25" customHeight="1" outlineLevel="1" x14ac:dyDescent="0.45">
      <c r="A87" s="695"/>
      <c r="B87" s="1180" t="s">
        <v>110</v>
      </c>
      <c r="C87" s="1181"/>
      <c r="D87" s="1181"/>
      <c r="E87" s="1187"/>
      <c r="F87" s="1187" t="s">
        <v>748</v>
      </c>
      <c r="G87" s="1629">
        <f>G85+G86</f>
        <v>-159475114.76201981</v>
      </c>
      <c r="H87" s="1215"/>
      <c r="I87" s="1215"/>
      <c r="J87" s="1215"/>
      <c r="K87" s="1215"/>
      <c r="L87" s="1215"/>
      <c r="M87" s="1215"/>
      <c r="N87" s="1215"/>
      <c r="O87" s="1215"/>
      <c r="P87" s="1215"/>
      <c r="Q87" s="1215"/>
      <c r="R87" s="1215"/>
      <c r="S87" s="1215"/>
      <c r="T87" s="1215"/>
      <c r="U87" s="1215"/>
      <c r="V87" s="1215"/>
      <c r="W87" s="1215"/>
      <c r="X87" s="1215"/>
      <c r="Y87" s="1215"/>
      <c r="Z87" s="1215"/>
      <c r="AA87" s="1216"/>
      <c r="AB87" s="695"/>
    </row>
    <row r="88" spans="1:28" ht="10.5" customHeight="1" outlineLevel="1" x14ac:dyDescent="0.45">
      <c r="A88" s="695"/>
      <c r="B88" s="1180"/>
      <c r="C88" s="1181"/>
      <c r="D88" s="1181"/>
      <c r="E88" s="1187"/>
      <c r="F88" s="1187"/>
      <c r="G88" s="1215"/>
      <c r="H88" s="1215"/>
      <c r="I88" s="1215"/>
      <c r="J88" s="1215"/>
      <c r="K88" s="1215"/>
      <c r="L88" s="1215"/>
      <c r="M88" s="1215"/>
      <c r="N88" s="1215"/>
      <c r="O88" s="1215"/>
      <c r="P88" s="1215"/>
      <c r="Q88" s="1215"/>
      <c r="R88" s="1215"/>
      <c r="S88" s="1215"/>
      <c r="T88" s="1215"/>
      <c r="U88" s="1215"/>
      <c r="V88" s="1215"/>
      <c r="W88" s="1215"/>
      <c r="X88" s="1215"/>
      <c r="Y88" s="1215"/>
      <c r="Z88" s="1215"/>
      <c r="AA88" s="1216"/>
      <c r="AB88" s="695"/>
    </row>
    <row r="89" spans="1:28" ht="6.75" customHeight="1" outlineLevel="1" x14ac:dyDescent="0.45">
      <c r="A89" s="695"/>
      <c r="B89" s="1180"/>
      <c r="C89" s="1181"/>
      <c r="D89" s="1181"/>
      <c r="E89" s="1187"/>
      <c r="F89" s="1187"/>
      <c r="G89" s="1215"/>
      <c r="H89" s="1215"/>
      <c r="I89" s="1215"/>
      <c r="J89" s="1215"/>
      <c r="K89" s="1215"/>
      <c r="L89" s="1215"/>
      <c r="M89" s="1215"/>
      <c r="N89" s="1215"/>
      <c r="O89" s="1215"/>
      <c r="P89" s="1215"/>
      <c r="Q89" s="1215"/>
      <c r="R89" s="1215"/>
      <c r="S89" s="1215"/>
      <c r="T89" s="1215"/>
      <c r="U89" s="1215"/>
      <c r="V89" s="1215"/>
      <c r="W89" s="1215"/>
      <c r="X89" s="1215"/>
      <c r="Y89" s="1215"/>
      <c r="Z89" s="1215"/>
      <c r="AA89" s="1216"/>
      <c r="AB89" s="695"/>
    </row>
    <row r="90" spans="1:28" ht="17.25" customHeight="1" outlineLevel="1" x14ac:dyDescent="0.45">
      <c r="A90" s="695"/>
      <c r="B90" s="1180" t="s">
        <v>111</v>
      </c>
      <c r="C90" s="1181"/>
      <c r="D90" s="1181"/>
      <c r="E90" s="1187"/>
      <c r="F90" s="1187"/>
      <c r="G90" s="1629"/>
      <c r="H90" s="1629">
        <f>H83</f>
        <v>23736287.511089552</v>
      </c>
      <c r="I90" s="1629">
        <f t="shared" ref="I90:AA90" si="31">I83</f>
        <v>24501062.905677266</v>
      </c>
      <c r="J90" s="1629">
        <f t="shared" si="31"/>
        <v>25370994.180706937</v>
      </c>
      <c r="K90" s="1629">
        <f t="shared" si="31"/>
        <v>26354575.758557059</v>
      </c>
      <c r="L90" s="1629">
        <f t="shared" si="31"/>
        <v>27460987.242060419</v>
      </c>
      <c r="M90" s="1629">
        <f t="shared" si="31"/>
        <v>28700148.321535628</v>
      </c>
      <c r="N90" s="1629">
        <f t="shared" si="31"/>
        <v>30082778.07633274</v>
      </c>
      <c r="O90" s="1629">
        <f t="shared" si="31"/>
        <v>31620459.02249258</v>
      </c>
      <c r="P90" s="1629">
        <f t="shared" si="31"/>
        <v>33325706.28624839</v>
      </c>
      <c r="Q90" s="1629">
        <f t="shared" si="31"/>
        <v>35212042.313477039</v>
      </c>
      <c r="R90" s="1629">
        <f t="shared" si="31"/>
        <v>37294077.558016777</v>
      </c>
      <c r="S90" s="1629">
        <f t="shared" si="31"/>
        <v>39587597.627202548</v>
      </c>
      <c r="T90" s="1629">
        <f t="shared" si="31"/>
        <v>38982240.69778771</v>
      </c>
      <c r="U90" s="1629">
        <f t="shared" si="31"/>
        <v>38373655.941182159</v>
      </c>
      <c r="V90" s="1629">
        <f t="shared" si="31"/>
        <v>37761734.404285103</v>
      </c>
      <c r="W90" s="1629">
        <f t="shared" si="31"/>
        <v>37146365.176916517</v>
      </c>
      <c r="X90" s="1629">
        <f t="shared" si="31"/>
        <v>36527435.351565607</v>
      </c>
      <c r="Y90" s="1629">
        <f t="shared" si="31"/>
        <v>35904829.982339934</v>
      </c>
      <c r="Z90" s="1629">
        <f t="shared" si="31"/>
        <v>35278432.04309883</v>
      </c>
      <c r="AA90" s="1627">
        <f t="shared" si="31"/>
        <v>34648122.384755157</v>
      </c>
      <c r="AB90" s="695"/>
    </row>
    <row r="91" spans="1:28" ht="17.25" customHeight="1" outlineLevel="1" x14ac:dyDescent="0.45">
      <c r="A91" s="695"/>
      <c r="B91" s="1180" t="s">
        <v>112</v>
      </c>
      <c r="C91" s="1181"/>
      <c r="D91" s="1181"/>
      <c r="E91" s="1187"/>
      <c r="F91" s="1187" t="s">
        <v>748</v>
      </c>
      <c r="G91" s="1629"/>
      <c r="H91" s="1629">
        <f t="shared" ref="H91:AA91" si="32">-H68</f>
        <v>25250226.50398647</v>
      </c>
      <c r="I91" s="1629">
        <f t="shared" si="32"/>
        <v>25250226.50398647</v>
      </c>
      <c r="J91" s="1629">
        <f t="shared" si="32"/>
        <v>25250226.50398647</v>
      </c>
      <c r="K91" s="1629">
        <f t="shared" si="32"/>
        <v>25250226.50398647</v>
      </c>
      <c r="L91" s="1629">
        <f t="shared" si="32"/>
        <v>25250226.50398647</v>
      </c>
      <c r="M91" s="1629">
        <f t="shared" si="32"/>
        <v>25250226.50398647</v>
      </c>
      <c r="N91" s="1629">
        <f t="shared" si="32"/>
        <v>25250226.50398647</v>
      </c>
      <c r="O91" s="1629">
        <f t="shared" si="32"/>
        <v>25250226.50398647</v>
      </c>
      <c r="P91" s="1629">
        <f t="shared" si="32"/>
        <v>25250226.50398647</v>
      </c>
      <c r="Q91" s="1629">
        <f t="shared" si="32"/>
        <v>25250226.50398647</v>
      </c>
      <c r="R91" s="1629">
        <f t="shared" si="32"/>
        <v>25250226.50398647</v>
      </c>
      <c r="S91" s="1629">
        <f t="shared" si="32"/>
        <v>25250226.50398647</v>
      </c>
      <c r="T91" s="1629">
        <f t="shared" si="32"/>
        <v>25250226.50398647</v>
      </c>
      <c r="U91" s="1629">
        <f t="shared" si="32"/>
        <v>25250226.50398647</v>
      </c>
      <c r="V91" s="1629">
        <f t="shared" si="32"/>
        <v>25250226.50398647</v>
      </c>
      <c r="W91" s="1629">
        <f t="shared" si="32"/>
        <v>25250226.50398647</v>
      </c>
      <c r="X91" s="1629">
        <f t="shared" si="32"/>
        <v>25250226.50398647</v>
      </c>
      <c r="Y91" s="1629">
        <f t="shared" si="32"/>
        <v>25250226.50398647</v>
      </c>
      <c r="Z91" s="1629">
        <f t="shared" si="32"/>
        <v>25250226.50398647</v>
      </c>
      <c r="AA91" s="1627">
        <f t="shared" si="32"/>
        <v>25250226.50398647</v>
      </c>
      <c r="AB91" s="695"/>
    </row>
    <row r="92" spans="1:28" ht="17.25" customHeight="1" outlineLevel="1" x14ac:dyDescent="0.45">
      <c r="A92" s="695"/>
      <c r="B92" s="1180"/>
      <c r="C92" s="1181"/>
      <c r="D92" s="1181"/>
      <c r="E92" s="1187"/>
      <c r="F92" s="1187"/>
      <c r="G92" s="1629"/>
      <c r="H92" s="1629"/>
      <c r="I92" s="1629"/>
      <c r="J92" s="1629"/>
      <c r="K92" s="1629"/>
      <c r="L92" s="1629"/>
      <c r="M92" s="1629"/>
      <c r="N92" s="1629"/>
      <c r="O92" s="1629"/>
      <c r="P92" s="1629"/>
      <c r="Q92" s="1629"/>
      <c r="R92" s="1629"/>
      <c r="S92" s="1629"/>
      <c r="T92" s="1629"/>
      <c r="U92" s="1629"/>
      <c r="V92" s="1629"/>
      <c r="W92" s="1629"/>
      <c r="X92" s="1629"/>
      <c r="Y92" s="1629"/>
      <c r="Z92" s="1629"/>
      <c r="AA92" s="1627"/>
      <c r="AB92" s="695"/>
    </row>
    <row r="93" spans="1:28" ht="17.25" customHeight="1" outlineLevel="1" x14ac:dyDescent="0.45">
      <c r="A93" s="695"/>
      <c r="B93" s="1180" t="s">
        <v>113</v>
      </c>
      <c r="C93" s="1181"/>
      <c r="D93" s="1181"/>
      <c r="E93" s="1187"/>
      <c r="F93" s="1187" t="s">
        <v>748</v>
      </c>
      <c r="G93" s="1629"/>
      <c r="H93" s="1629"/>
      <c r="I93" s="1629"/>
      <c r="J93" s="1629"/>
      <c r="K93" s="1629"/>
      <c r="L93" s="1629"/>
      <c r="M93" s="1629"/>
      <c r="N93" s="1629"/>
      <c r="O93" s="1629"/>
      <c r="P93" s="1629"/>
      <c r="Q93" s="1629"/>
      <c r="R93" s="1629"/>
      <c r="S93" s="1629"/>
      <c r="T93" s="1629"/>
      <c r="U93" s="1629"/>
      <c r="V93" s="1629"/>
      <c r="W93" s="1629"/>
      <c r="X93" s="1629"/>
      <c r="Y93" s="1629"/>
      <c r="Z93" s="1629"/>
      <c r="AA93" s="1627"/>
      <c r="AB93" s="695"/>
    </row>
    <row r="94" spans="1:28" ht="17.25" customHeight="1" outlineLevel="1" x14ac:dyDescent="0.45">
      <c r="A94" s="695"/>
      <c r="B94" s="1180" t="s">
        <v>114</v>
      </c>
      <c r="C94" s="1181"/>
      <c r="D94" s="1181"/>
      <c r="E94" s="1187"/>
      <c r="F94" s="1187" t="s">
        <v>748</v>
      </c>
      <c r="G94" s="1629"/>
      <c r="H94" s="1629"/>
      <c r="I94" s="1629"/>
      <c r="J94" s="1629"/>
      <c r="K94" s="1629"/>
      <c r="L94" s="1629"/>
      <c r="M94" s="1629"/>
      <c r="N94" s="1629"/>
      <c r="O94" s="1629"/>
      <c r="P94" s="1629"/>
      <c r="Q94" s="1629"/>
      <c r="R94" s="1629"/>
      <c r="S94" s="1629"/>
      <c r="T94" s="1629"/>
      <c r="U94" s="1629"/>
      <c r="V94" s="1629"/>
      <c r="W94" s="1629"/>
      <c r="X94" s="1629"/>
      <c r="Y94" s="1629"/>
      <c r="Z94" s="1629"/>
      <c r="AA94" s="1627"/>
      <c r="AB94" s="695"/>
    </row>
    <row r="95" spans="1:28" ht="17.25" customHeight="1" outlineLevel="1" x14ac:dyDescent="0.45">
      <c r="A95" s="695"/>
      <c r="B95" s="1180" t="s">
        <v>115</v>
      </c>
      <c r="C95" s="1181"/>
      <c r="D95" s="1181"/>
      <c r="E95" s="1187"/>
      <c r="F95" s="1187" t="s">
        <v>748</v>
      </c>
      <c r="G95" s="1629"/>
      <c r="H95" s="1629">
        <f>-(H207+H228+H249)</f>
        <v>-22354923.635275282</v>
      </c>
      <c r="I95" s="1629">
        <f t="shared" ref="I95:AA95" si="33">-(I207+I228+I249)</f>
        <v>-24143317.526097301</v>
      </c>
      <c r="J95" s="1629">
        <f t="shared" si="33"/>
        <v>-26074782.92818509</v>
      </c>
      <c r="K95" s="1629">
        <f t="shared" si="33"/>
        <v>-28160765.562439896</v>
      </c>
      <c r="L95" s="1629">
        <f t="shared" si="33"/>
        <v>-30413626.807435088</v>
      </c>
      <c r="M95" s="1629">
        <f t="shared" si="33"/>
        <v>-32846716.952029902</v>
      </c>
      <c r="N95" s="1629">
        <f t="shared" si="33"/>
        <v>-35474454.30819229</v>
      </c>
      <c r="O95" s="1629">
        <f t="shared" si="33"/>
        <v>-38312410.65284767</v>
      </c>
      <c r="P95" s="1629">
        <f t="shared" si="33"/>
        <v>-41377403.505075485</v>
      </c>
      <c r="Q95" s="1629">
        <f t="shared" si="33"/>
        <v>-44687595.78548152</v>
      </c>
      <c r="R95" s="1629">
        <f t="shared" si="33"/>
        <v>-48262603.448320046</v>
      </c>
      <c r="S95" s="1629">
        <f t="shared" si="33"/>
        <v>0</v>
      </c>
      <c r="T95" s="1629">
        <f t="shared" si="33"/>
        <v>0</v>
      </c>
      <c r="U95" s="1629">
        <f t="shared" si="33"/>
        <v>0</v>
      </c>
      <c r="V95" s="1629">
        <f t="shared" si="33"/>
        <v>0</v>
      </c>
      <c r="W95" s="1629">
        <f t="shared" si="33"/>
        <v>0</v>
      </c>
      <c r="X95" s="1629">
        <f t="shared" si="33"/>
        <v>0</v>
      </c>
      <c r="Y95" s="1629">
        <f t="shared" si="33"/>
        <v>0</v>
      </c>
      <c r="Z95" s="1629">
        <f t="shared" si="33"/>
        <v>0</v>
      </c>
      <c r="AA95" s="1627">
        <f t="shared" si="33"/>
        <v>0</v>
      </c>
      <c r="AB95" s="695"/>
    </row>
    <row r="96" spans="1:28" ht="17.25" customHeight="1" outlineLevel="1" x14ac:dyDescent="0.45">
      <c r="A96" s="695"/>
      <c r="B96" s="1197" t="s">
        <v>116</v>
      </c>
      <c r="C96" s="1193"/>
      <c r="D96" s="1193"/>
      <c r="E96" s="1194"/>
      <c r="F96" s="1194" t="s">
        <v>748</v>
      </c>
      <c r="G96" s="1630"/>
      <c r="H96" s="1630"/>
      <c r="I96" s="1630"/>
      <c r="J96" s="1630"/>
      <c r="K96" s="1630"/>
      <c r="L96" s="1630"/>
      <c r="M96" s="1630"/>
      <c r="N96" s="1630"/>
      <c r="O96" s="1630"/>
      <c r="P96" s="1630"/>
      <c r="Q96" s="1630"/>
      <c r="R96" s="1630"/>
      <c r="S96" s="1630"/>
      <c r="T96" s="1630"/>
      <c r="U96" s="1630"/>
      <c r="V96" s="1630"/>
      <c r="W96" s="1630"/>
      <c r="X96" s="1630"/>
      <c r="Y96" s="1630"/>
      <c r="Z96" s="1630"/>
      <c r="AA96" s="1631"/>
      <c r="AB96" s="695"/>
    </row>
    <row r="97" spans="1:28" ht="17.25" customHeight="1" outlineLevel="1" x14ac:dyDescent="0.45">
      <c r="A97" s="695"/>
      <c r="B97" s="1180" t="s">
        <v>117</v>
      </c>
      <c r="C97" s="1181"/>
      <c r="D97" s="1181"/>
      <c r="E97" s="1187"/>
      <c r="F97" s="1187" t="s">
        <v>748</v>
      </c>
      <c r="G97" s="1629">
        <f>G87</f>
        <v>-159475114.76201981</v>
      </c>
      <c r="H97" s="1629">
        <f>H90+H91+H95</f>
        <v>26631590.379800744</v>
      </c>
      <c r="I97" s="1629">
        <f t="shared" ref="I97:AA97" si="34">I90+I91+I95</f>
        <v>25607971.883566435</v>
      </c>
      <c r="J97" s="1629">
        <f t="shared" si="34"/>
        <v>24546437.756508321</v>
      </c>
      <c r="K97" s="1629">
        <f t="shared" si="34"/>
        <v>23444036.700103633</v>
      </c>
      <c r="L97" s="1629">
        <f t="shared" si="34"/>
        <v>22297586.938611798</v>
      </c>
      <c r="M97" s="1629">
        <f t="shared" si="34"/>
        <v>21103657.873492192</v>
      </c>
      <c r="N97" s="1629">
        <f t="shared" si="34"/>
        <v>19858550.272126921</v>
      </c>
      <c r="O97" s="1629">
        <f t="shared" si="34"/>
        <v>18558274.87363138</v>
      </c>
      <c r="P97" s="1629">
        <f t="shared" si="34"/>
        <v>17198529.285159379</v>
      </c>
      <c r="Q97" s="1629">
        <f t="shared" si="34"/>
        <v>15774673.03198199</v>
      </c>
      <c r="R97" s="1629">
        <f t="shared" si="34"/>
        <v>14281700.613683201</v>
      </c>
      <c r="S97" s="1629">
        <f t="shared" si="34"/>
        <v>64837824.131189018</v>
      </c>
      <c r="T97" s="1629">
        <f t="shared" si="34"/>
        <v>64232467.20177418</v>
      </c>
      <c r="U97" s="1629">
        <f t="shared" si="34"/>
        <v>63623882.445168629</v>
      </c>
      <c r="V97" s="1629">
        <f t="shared" si="34"/>
        <v>63011960.908271573</v>
      </c>
      <c r="W97" s="1629">
        <f t="shared" si="34"/>
        <v>62396591.680902988</v>
      </c>
      <c r="X97" s="1629">
        <f t="shared" si="34"/>
        <v>61777661.855552077</v>
      </c>
      <c r="Y97" s="1629">
        <f t="shared" si="34"/>
        <v>61155056.486326404</v>
      </c>
      <c r="Z97" s="1629">
        <f t="shared" si="34"/>
        <v>60528658.5470853</v>
      </c>
      <c r="AA97" s="1627">
        <f t="shared" si="34"/>
        <v>59898348.888741627</v>
      </c>
      <c r="AB97" s="695"/>
    </row>
    <row r="98" spans="1:28" ht="7.5" customHeight="1" outlineLevel="1" x14ac:dyDescent="0.45">
      <c r="A98" s="695"/>
      <c r="B98" s="1180"/>
      <c r="C98" s="1181"/>
      <c r="D98" s="1181"/>
      <c r="E98" s="1187"/>
      <c r="F98" s="1187"/>
      <c r="G98" s="1181"/>
      <c r="H98" s="1181"/>
      <c r="I98" s="1181"/>
      <c r="J98" s="1181"/>
      <c r="K98" s="1181"/>
      <c r="L98" s="1181"/>
      <c r="M98" s="1181"/>
      <c r="N98" s="1181"/>
      <c r="O98" s="1181"/>
      <c r="P98" s="1181"/>
      <c r="Q98" s="1181"/>
      <c r="R98" s="1181"/>
      <c r="S98" s="1181"/>
      <c r="T98" s="1181"/>
      <c r="U98" s="1181"/>
      <c r="V98" s="1181"/>
      <c r="W98" s="1181"/>
      <c r="X98" s="1181"/>
      <c r="Y98" s="1181"/>
      <c r="Z98" s="1181"/>
      <c r="AA98" s="1182"/>
      <c r="AB98" s="695"/>
    </row>
    <row r="99" spans="1:28" ht="17.25" customHeight="1" outlineLevel="1" x14ac:dyDescent="0.45">
      <c r="A99" s="695"/>
      <c r="B99" s="1180" t="s">
        <v>118</v>
      </c>
      <c r="C99" s="1181"/>
      <c r="D99" s="1181"/>
      <c r="E99" s="1181"/>
      <c r="F99" s="1181"/>
      <c r="G99" s="1629">
        <f>NPV($G$46,G97:AA97)</f>
        <v>-5.5720154036823502E-9</v>
      </c>
      <c r="H99" s="1181"/>
      <c r="I99" s="1181"/>
      <c r="J99" s="1181"/>
      <c r="K99" s="1181"/>
      <c r="L99" s="1181"/>
      <c r="M99" s="1181"/>
      <c r="N99" s="1181"/>
      <c r="O99" s="1181"/>
      <c r="P99" s="1181"/>
      <c r="Q99" s="1181"/>
      <c r="R99" s="1181"/>
      <c r="S99" s="1181"/>
      <c r="T99" s="1181"/>
      <c r="U99" s="1181"/>
      <c r="V99" s="1181"/>
      <c r="W99" s="1181"/>
      <c r="X99" s="1181"/>
      <c r="Y99" s="1181"/>
      <c r="Z99" s="1181"/>
      <c r="AA99" s="1182"/>
      <c r="AB99" s="695"/>
    </row>
    <row r="100" spans="1:28" ht="17.25" customHeight="1" outlineLevel="1" thickBot="1" x14ac:dyDescent="0.5">
      <c r="A100" s="695"/>
      <c r="B100" s="1219"/>
      <c r="C100" s="1204"/>
      <c r="D100" s="1204"/>
      <c r="E100" s="1204"/>
      <c r="F100" s="1204"/>
      <c r="G100" s="1204"/>
      <c r="H100" s="1204"/>
      <c r="I100" s="1204"/>
      <c r="J100" s="1204"/>
      <c r="K100" s="1204"/>
      <c r="L100" s="1204"/>
      <c r="M100" s="1204"/>
      <c r="N100" s="1204"/>
      <c r="O100" s="1204"/>
      <c r="P100" s="1204"/>
      <c r="Q100" s="1204"/>
      <c r="R100" s="1204"/>
      <c r="S100" s="1204"/>
      <c r="T100" s="1204"/>
      <c r="U100" s="1204"/>
      <c r="V100" s="1204"/>
      <c r="W100" s="1204"/>
      <c r="X100" s="1204"/>
      <c r="Y100" s="1204"/>
      <c r="Z100" s="1204"/>
      <c r="AA100" s="1205"/>
      <c r="AB100" s="695"/>
    </row>
    <row r="101" spans="1:28" ht="17.25" customHeight="1" x14ac:dyDescent="0.45">
      <c r="A101" s="695"/>
      <c r="B101" s="695"/>
      <c r="C101" s="695"/>
      <c r="D101" s="695"/>
      <c r="E101" s="695"/>
      <c r="F101" s="695"/>
      <c r="G101" s="695"/>
      <c r="H101" s="695"/>
      <c r="I101" s="695"/>
      <c r="J101" s="695"/>
      <c r="K101" s="695"/>
      <c r="L101" s="695"/>
      <c r="M101" s="695"/>
      <c r="N101" s="695"/>
      <c r="O101" s="695"/>
      <c r="P101" s="695"/>
      <c r="Q101" s="695"/>
      <c r="R101" s="695"/>
      <c r="S101" s="695"/>
      <c r="T101" s="695"/>
      <c r="U101" s="695"/>
      <c r="V101" s="695"/>
      <c r="W101" s="695"/>
      <c r="X101" s="695"/>
      <c r="Y101" s="695"/>
      <c r="Z101" s="695"/>
      <c r="AA101" s="695"/>
      <c r="AB101" s="695"/>
    </row>
    <row r="102" spans="1:28" s="457" customFormat="1" ht="12.75" customHeight="1" x14ac:dyDescent="0.45">
      <c r="A102" s="462" t="s">
        <v>390</v>
      </c>
      <c r="B102" s="462"/>
      <c r="C102" s="462"/>
      <c r="D102" s="462"/>
      <c r="E102" s="462"/>
      <c r="F102" s="462"/>
      <c r="G102" s="462"/>
      <c r="H102" s="462"/>
      <c r="I102" s="462"/>
      <c r="J102" s="463"/>
      <c r="K102" s="464"/>
      <c r="L102" s="464"/>
      <c r="M102" s="464"/>
      <c r="N102" s="464"/>
      <c r="O102" s="464"/>
      <c r="P102" s="464"/>
      <c r="Q102" s="464"/>
      <c r="R102" s="464"/>
      <c r="S102" s="464"/>
      <c r="T102" s="464"/>
      <c r="U102" s="464"/>
      <c r="V102" s="464"/>
      <c r="W102" s="464"/>
      <c r="X102" s="464"/>
      <c r="Y102" s="464"/>
      <c r="Z102" s="464"/>
      <c r="AA102" s="464"/>
      <c r="AB102" s="461"/>
    </row>
    <row r="103" spans="1:28" ht="17.25" customHeight="1" thickBot="1" x14ac:dyDescent="0.5">
      <c r="A103" s="695"/>
      <c r="B103" s="695"/>
      <c r="C103" s="695"/>
      <c r="D103" s="695"/>
      <c r="E103" s="695"/>
      <c r="F103" s="695"/>
      <c r="G103" s="695"/>
      <c r="H103" s="695"/>
      <c r="I103" s="695"/>
      <c r="J103" s="695"/>
      <c r="K103" s="695"/>
      <c r="L103" s="695"/>
      <c r="M103" s="695"/>
      <c r="N103" s="695"/>
      <c r="O103" s="695"/>
      <c r="P103" s="695"/>
      <c r="Q103" s="695"/>
      <c r="R103" s="695"/>
      <c r="S103" s="695"/>
      <c r="T103" s="695"/>
      <c r="U103" s="695"/>
      <c r="V103" s="695"/>
      <c r="W103" s="695"/>
      <c r="X103" s="695"/>
      <c r="Y103" s="695"/>
      <c r="Z103" s="695"/>
      <c r="AA103" s="695"/>
      <c r="AB103" s="695"/>
    </row>
    <row r="104" spans="1:28" ht="17.25" customHeight="1" x14ac:dyDescent="0.45">
      <c r="A104" s="695"/>
      <c r="B104" s="1220" t="s">
        <v>391</v>
      </c>
      <c r="C104" s="1221"/>
      <c r="D104" s="1221"/>
      <c r="E104" s="1221"/>
      <c r="F104" s="1221"/>
      <c r="G104" s="1221"/>
      <c r="H104" s="1221"/>
      <c r="I104" s="1221"/>
      <c r="J104" s="1221"/>
      <c r="K104" s="1221"/>
      <c r="L104" s="1221"/>
      <c r="M104" s="1221"/>
      <c r="N104" s="1221"/>
      <c r="O104" s="1221"/>
      <c r="P104" s="1221"/>
      <c r="Q104" s="1221"/>
      <c r="R104" s="1221"/>
      <c r="S104" s="1221"/>
      <c r="T104" s="1221"/>
      <c r="U104" s="1221"/>
      <c r="V104" s="1221"/>
      <c r="W104" s="1221"/>
      <c r="X104" s="1221"/>
      <c r="Y104" s="1221"/>
      <c r="Z104" s="1221"/>
      <c r="AA104" s="1222"/>
      <c r="AB104" s="695"/>
    </row>
    <row r="105" spans="1:28" ht="17.25" customHeight="1" x14ac:dyDescent="0.45">
      <c r="A105" s="695"/>
      <c r="B105" s="1223"/>
      <c r="C105" s="1224"/>
      <c r="D105" s="1224"/>
      <c r="E105" s="1224"/>
      <c r="F105" s="1224"/>
      <c r="G105" s="1224"/>
      <c r="H105" s="1224"/>
      <c r="I105" s="1224"/>
      <c r="J105" s="1224"/>
      <c r="K105" s="1224"/>
      <c r="L105" s="1224"/>
      <c r="M105" s="1224"/>
      <c r="N105" s="1224"/>
      <c r="O105" s="1224"/>
      <c r="P105" s="1224"/>
      <c r="Q105" s="1224"/>
      <c r="R105" s="1224"/>
      <c r="S105" s="1224"/>
      <c r="T105" s="1224"/>
      <c r="U105" s="1224"/>
      <c r="V105" s="1224"/>
      <c r="W105" s="1224"/>
      <c r="X105" s="1224"/>
      <c r="Y105" s="1224"/>
      <c r="Z105" s="1224"/>
      <c r="AA105" s="1225"/>
      <c r="AB105" s="695"/>
    </row>
    <row r="106" spans="1:28" ht="13.15" x14ac:dyDescent="0.45">
      <c r="A106" s="695"/>
      <c r="B106" s="1226" t="s">
        <v>51</v>
      </c>
      <c r="C106" s="1227"/>
      <c r="D106" s="1227"/>
      <c r="E106" s="1228"/>
      <c r="F106" s="1227"/>
      <c r="G106" s="1228">
        <v>0</v>
      </c>
      <c r="H106" s="1228">
        <v>1</v>
      </c>
      <c r="I106" s="1228">
        <v>2</v>
      </c>
      <c r="J106" s="1228">
        <v>3</v>
      </c>
      <c r="K106" s="1228">
        <v>4</v>
      </c>
      <c r="L106" s="1228">
        <v>5</v>
      </c>
      <c r="M106" s="1228">
        <v>6</v>
      </c>
      <c r="N106" s="1228">
        <v>7</v>
      </c>
      <c r="O106" s="1228">
        <v>8</v>
      </c>
      <c r="P106" s="1228">
        <v>9</v>
      </c>
      <c r="Q106" s="1228">
        <v>10</v>
      </c>
      <c r="R106" s="1228">
        <v>11</v>
      </c>
      <c r="S106" s="1228">
        <v>12</v>
      </c>
      <c r="T106" s="1228">
        <v>13</v>
      </c>
      <c r="U106" s="1228">
        <v>14</v>
      </c>
      <c r="V106" s="1228">
        <v>15</v>
      </c>
      <c r="W106" s="1228">
        <v>16</v>
      </c>
      <c r="X106" s="1228">
        <v>17</v>
      </c>
      <c r="Y106" s="1228">
        <v>18</v>
      </c>
      <c r="Z106" s="1228">
        <v>19</v>
      </c>
      <c r="AA106" s="1229">
        <v>20</v>
      </c>
      <c r="AB106" s="695"/>
    </row>
    <row r="107" spans="1:28" x14ac:dyDescent="0.45">
      <c r="A107" s="695"/>
      <c r="B107" s="1223"/>
      <c r="C107" s="1224"/>
      <c r="D107" s="1224"/>
      <c r="E107" s="1224"/>
      <c r="F107" s="1224"/>
      <c r="G107" s="1224"/>
      <c r="H107" s="1224"/>
      <c r="I107" s="1224"/>
      <c r="J107" s="1224"/>
      <c r="K107" s="1224"/>
      <c r="L107" s="1224"/>
      <c r="M107" s="1224"/>
      <c r="N107" s="1224"/>
      <c r="O107" s="1224"/>
      <c r="P107" s="1224"/>
      <c r="Q107" s="1224"/>
      <c r="R107" s="1224"/>
      <c r="S107" s="1224"/>
      <c r="T107" s="1224"/>
      <c r="U107" s="1224"/>
      <c r="V107" s="1224"/>
      <c r="W107" s="1224"/>
      <c r="X107" s="1224"/>
      <c r="Y107" s="1224"/>
      <c r="Z107" s="1224"/>
      <c r="AA107" s="1225"/>
      <c r="AB107" s="695"/>
    </row>
    <row r="108" spans="1:28" x14ac:dyDescent="0.45">
      <c r="A108" s="695"/>
      <c r="B108" s="1223" t="s">
        <v>653</v>
      </c>
      <c r="C108" s="1224"/>
      <c r="D108" s="1224"/>
      <c r="E108" s="1230"/>
      <c r="F108" s="1224"/>
      <c r="G108" s="1231">
        <v>1</v>
      </c>
      <c r="H108" s="1231">
        <f>IF(H$16&gt;'III. Inputs, Renewable Energy'!$U$16,0, $G$18*(1-'III. Inputs, Renewable Energy'!$U$259)^H16)</f>
        <v>0.995</v>
      </c>
      <c r="I108" s="1231">
        <f>IF(I$16&gt;'III. Inputs, Renewable Energy'!$U$16,0, $G$18*(1-'III. Inputs, Renewable Energy'!$U$259)^I16)</f>
        <v>0.99002500000000004</v>
      </c>
      <c r="J108" s="1231">
        <f>IF(J$16&gt;'III. Inputs, Renewable Energy'!$U$16,0, $G$18*(1-'III. Inputs, Renewable Energy'!$U$259)^J16)</f>
        <v>0.98507487500000002</v>
      </c>
      <c r="K108" s="1231">
        <f>IF(K$16&gt;'III. Inputs, Renewable Energy'!$U$16,0, $G$18*(1-'III. Inputs, Renewable Energy'!$U$259)^K16)</f>
        <v>0.98014950062500006</v>
      </c>
      <c r="L108" s="1231">
        <f>IF(L$16&gt;'III. Inputs, Renewable Energy'!$U$16,0, $G$18*(1-'III. Inputs, Renewable Energy'!$U$259)^L16)</f>
        <v>0.97524875312187509</v>
      </c>
      <c r="M108" s="1231">
        <f>IF(M$16&gt;'III. Inputs, Renewable Energy'!$U$16,0, $G$18*(1-'III. Inputs, Renewable Energy'!$U$259)^M16)</f>
        <v>0.97037250935626573</v>
      </c>
      <c r="N108" s="1231">
        <f>IF(N$16&gt;'III. Inputs, Renewable Energy'!$U$16,0, $G$18*(1-'III. Inputs, Renewable Energy'!$U$259)^N16)</f>
        <v>0.96552064680948435</v>
      </c>
      <c r="O108" s="1231">
        <f>IF(O$16&gt;'III. Inputs, Renewable Energy'!$U$16,0, $G$18*(1-'III. Inputs, Renewable Energy'!$U$259)^O16)</f>
        <v>0.96069304357543694</v>
      </c>
      <c r="P108" s="1231">
        <f>IF(P$16&gt;'III. Inputs, Renewable Energy'!$U$16,0, $G$18*(1-'III. Inputs, Renewable Energy'!$U$259)^P16)</f>
        <v>0.95588957835755972</v>
      </c>
      <c r="Q108" s="1231">
        <f>IF(Q$16&gt;'III. Inputs, Renewable Energy'!$U$16,0, $G$18*(1-'III. Inputs, Renewable Energy'!$U$259)^Q16)</f>
        <v>0.95111013046577197</v>
      </c>
      <c r="R108" s="1231">
        <f>IF(R$16&gt;'III. Inputs, Renewable Energy'!$U$16,0, $G$18*(1-'III. Inputs, Renewable Energy'!$U$259)^R16)</f>
        <v>0.94635457981344306</v>
      </c>
      <c r="S108" s="1231">
        <f>IF(S$16&gt;'III. Inputs, Renewable Energy'!$U$16,0, $G$18*(1-'III. Inputs, Renewable Energy'!$U$259)^S16)</f>
        <v>0.94162280691437594</v>
      </c>
      <c r="T108" s="1231">
        <f>IF(T$16&gt;'III. Inputs, Renewable Energy'!$U$16,0, $G$18*(1-'III. Inputs, Renewable Energy'!$U$259)^T16)</f>
        <v>0.93691469287980411</v>
      </c>
      <c r="U108" s="1231">
        <f>IF(U$16&gt;'III. Inputs, Renewable Energy'!$U$16,0, $G$18*(1-'III. Inputs, Renewable Energy'!$U$259)^U16)</f>
        <v>0.93223011941540512</v>
      </c>
      <c r="V108" s="1231">
        <f>IF(V$16&gt;'III. Inputs, Renewable Energy'!$U$16,0, $G$18*(1-'III. Inputs, Renewable Energy'!$U$259)^V16)</f>
        <v>0.92756896881832807</v>
      </c>
      <c r="W108" s="1231">
        <f>IF(W$16&gt;'III. Inputs, Renewable Energy'!$U$16,0, $G$18*(1-'III. Inputs, Renewable Energy'!$U$259)^W16)</f>
        <v>0.92293112397423638</v>
      </c>
      <c r="X108" s="1231">
        <f>IF(X$16&gt;'III. Inputs, Renewable Energy'!$U$16,0, $G$18*(1-'III. Inputs, Renewable Energy'!$U$259)^X16)</f>
        <v>0.9183164683543652</v>
      </c>
      <c r="Y108" s="1231">
        <f>IF(Y$16&gt;'III. Inputs, Renewable Energy'!$U$16,0, $G$18*(1-'III. Inputs, Renewable Energy'!$U$259)^Y16)</f>
        <v>0.91372488601259338</v>
      </c>
      <c r="Z108" s="1231">
        <f>IF(Z$16&gt;'III. Inputs, Renewable Energy'!$U$16,0, $G$18*(1-'III. Inputs, Renewable Energy'!$U$259)^Z16)</f>
        <v>0.90915626158253038</v>
      </c>
      <c r="AA108" s="1232">
        <f>IF(AA$16&gt;'III. Inputs, Renewable Energy'!$U$16,0, $G$18*(1-'III. Inputs, Renewable Energy'!$U$259)^AA16)</f>
        <v>0.90461048027461777</v>
      </c>
      <c r="AB108" s="695"/>
    </row>
    <row r="109" spans="1:28" ht="4.5" customHeight="1" x14ac:dyDescent="0.45">
      <c r="A109" s="695"/>
      <c r="B109" s="1223"/>
      <c r="C109" s="1224"/>
      <c r="D109" s="1224"/>
      <c r="E109" s="1230"/>
      <c r="F109" s="1224"/>
      <c r="G109" s="1224"/>
      <c r="H109" s="1224"/>
      <c r="I109" s="1224"/>
      <c r="J109" s="1224"/>
      <c r="K109" s="1224"/>
      <c r="L109" s="1224"/>
      <c r="M109" s="1224"/>
      <c r="N109" s="1224"/>
      <c r="O109" s="1224"/>
      <c r="P109" s="1224"/>
      <c r="Q109" s="1224"/>
      <c r="R109" s="1224"/>
      <c r="S109" s="1224"/>
      <c r="T109" s="1224"/>
      <c r="U109" s="1224"/>
      <c r="V109" s="1224"/>
      <c r="W109" s="1224"/>
      <c r="X109" s="1224"/>
      <c r="Y109" s="1224"/>
      <c r="Z109" s="1224"/>
      <c r="AA109" s="1225"/>
      <c r="AB109" s="695"/>
    </row>
    <row r="110" spans="1:28" x14ac:dyDescent="0.45">
      <c r="A110" s="695"/>
      <c r="B110" s="1223" t="s">
        <v>85</v>
      </c>
      <c r="C110" s="1224"/>
      <c r="D110" s="1224"/>
      <c r="E110" s="1224"/>
      <c r="F110" s="1230" t="s">
        <v>86</v>
      </c>
      <c r="G110" s="1224"/>
      <c r="H110" s="1233">
        <f>IF(H$16&gt;'III. Inputs, Renewable Energy'!$U$16, 0, 'III. Inputs, Renewable Energy'!$U$14*'III. Inputs, Renewable Energy'!$U$257*(G108+H108)/2)</f>
        <v>1415484.8190000001</v>
      </c>
      <c r="I110" s="1233">
        <f>IF(I$16&gt;'III. Inputs, Renewable Energy'!$U$16, 0, 'III. Inputs, Renewable Energy'!$U$14*'III. Inputs, Renewable Energy'!$U$257*(H108+I108)/2)</f>
        <v>1408407.3949050002</v>
      </c>
      <c r="J110" s="1233">
        <f>IF(J$16&gt;'III. Inputs, Renewable Energy'!$U$16, 0, 'III. Inputs, Renewable Energy'!$U$14*'III. Inputs, Renewable Energy'!$U$257*(I108+J108)/2)</f>
        <v>1401365.3579304751</v>
      </c>
      <c r="K110" s="1233">
        <f>IF(K$16&gt;'III. Inputs, Renewable Energy'!$U$16, 0, 'III. Inputs, Renewable Energy'!$U$14*'III. Inputs, Renewable Energy'!$U$257*(J108+K108)/2)</f>
        <v>1394358.5311408229</v>
      </c>
      <c r="L110" s="1233">
        <f>IF(L$16&gt;'III. Inputs, Renewable Energy'!$U$16, 0, 'III. Inputs, Renewable Energy'!$U$14*'III. Inputs, Renewable Energy'!$U$257*(K108+L108)/2)</f>
        <v>1387386.7384851188</v>
      </c>
      <c r="M110" s="1233">
        <f>IF(M$16&gt;'III. Inputs, Renewable Energy'!$U$16, 0, 'III. Inputs, Renewable Energy'!$U$14*'III. Inputs, Renewable Energy'!$U$257*(L108+M108)/2)</f>
        <v>1380449.8047926931</v>
      </c>
      <c r="N110" s="1233">
        <f>IF(N$16&gt;'III. Inputs, Renewable Energy'!$U$16, 0, 'III. Inputs, Renewable Energy'!$U$14*'III. Inputs, Renewable Energy'!$U$257*(M108+N108)/2)</f>
        <v>1373547.5557687299</v>
      </c>
      <c r="O110" s="1233">
        <f>IF(O$16&gt;'III. Inputs, Renewable Energy'!$U$16, 0, 'III. Inputs, Renewable Energy'!$U$14*'III. Inputs, Renewable Energy'!$U$257*(N108+O108)/2)</f>
        <v>1366679.817989886</v>
      </c>
      <c r="P110" s="1233">
        <f>IF(P$16&gt;'III. Inputs, Renewable Energy'!$U$16, 0, 'III. Inputs, Renewable Energy'!$U$14*'III. Inputs, Renewable Energy'!$U$257*(O108+P108)/2)</f>
        <v>1359846.4188999366</v>
      </c>
      <c r="Q110" s="1233">
        <f>IF(Q$16&gt;'III. Inputs, Renewable Energy'!$U$16, 0, 'III. Inputs, Renewable Energy'!$U$14*'III. Inputs, Renewable Energy'!$U$257*(P108+Q108)/2)</f>
        <v>1353047.1868054369</v>
      </c>
      <c r="R110" s="1233">
        <f>IF(R$16&gt;'III. Inputs, Renewable Energy'!$U$16, 0, 'III. Inputs, Renewable Energy'!$U$14*'III. Inputs, Renewable Energy'!$U$257*(Q108+R108)/2)</f>
        <v>1346281.9508714096</v>
      </c>
      <c r="S110" s="1233">
        <f>IF(S$16&gt;'III. Inputs, Renewable Energy'!$U$16, 0, 'III. Inputs, Renewable Energy'!$U$14*'III. Inputs, Renewable Energy'!$U$257*(R108+S108)/2)</f>
        <v>1339550.5411170525</v>
      </c>
      <c r="T110" s="1233">
        <f>IF(T$16&gt;'III. Inputs, Renewable Energy'!$U$16, 0, 'III. Inputs, Renewable Energy'!$U$14*'III. Inputs, Renewable Energy'!$U$257*(S108+T108)/2)</f>
        <v>1332852.7884114676</v>
      </c>
      <c r="U110" s="1233">
        <f>IF(U$16&gt;'III. Inputs, Renewable Energy'!$U$16, 0, 'III. Inputs, Renewable Energy'!$U$14*'III. Inputs, Renewable Energy'!$U$257*(T108+U108)/2)</f>
        <v>1326188.5244694103</v>
      </c>
      <c r="V110" s="1233">
        <f>IF(V$16&gt;'III. Inputs, Renewable Energy'!$U$16, 0, 'III. Inputs, Renewable Energy'!$U$14*'III. Inputs, Renewable Energy'!$U$257*(U108+V108)/2)</f>
        <v>1319557.5818470633</v>
      </c>
      <c r="W110" s="1233">
        <f>IF(W$16&gt;'III. Inputs, Renewable Energy'!$U$16, 0, 'III. Inputs, Renewable Energy'!$U$14*'III. Inputs, Renewable Energy'!$U$257*(V108+W108)/2)</f>
        <v>1312959.7939378279</v>
      </c>
      <c r="X110" s="1233">
        <f>IF(X$16&gt;'III. Inputs, Renewable Energy'!$U$16, 0, 'III. Inputs, Renewable Energy'!$U$14*'III. Inputs, Renewable Energy'!$U$257*(W108+X108)/2)</f>
        <v>1306394.9949681386</v>
      </c>
      <c r="Y110" s="1233">
        <f>IF(Y$16&gt;'III. Inputs, Renewable Energy'!$U$16, 0, 'III. Inputs, Renewable Energy'!$U$14*'III. Inputs, Renewable Energy'!$U$257*(X108+Y108)/2)</f>
        <v>1299863.019993298</v>
      </c>
      <c r="Z110" s="1233">
        <f>IF(Z$16&gt;'III. Inputs, Renewable Energy'!$U$16, 0, 'III. Inputs, Renewable Energy'!$U$14*'III. Inputs, Renewable Energy'!$U$257*(Y108+Z108)/2)</f>
        <v>1293363.7048933315</v>
      </c>
      <c r="AA110" s="1234">
        <f>IF(AA$16&gt;'III. Inputs, Renewable Energy'!$U$16, 0, 'III. Inputs, Renewable Energy'!$U$14*'III. Inputs, Renewable Energy'!$U$257*(Z108+AA108)/2)</f>
        <v>1286896.8863688649</v>
      </c>
      <c r="AB110" s="695"/>
    </row>
    <row r="111" spans="1:28" ht="7.5" customHeight="1" x14ac:dyDescent="0.45">
      <c r="A111" s="695"/>
      <c r="B111" s="1223"/>
      <c r="C111" s="1224"/>
      <c r="D111" s="1224"/>
      <c r="E111" s="1230"/>
      <c r="F111" s="1224"/>
      <c r="G111" s="1224"/>
      <c r="H111" s="1224"/>
      <c r="I111" s="1224"/>
      <c r="J111" s="1224"/>
      <c r="K111" s="1224"/>
      <c r="L111" s="1224"/>
      <c r="M111" s="1224"/>
      <c r="N111" s="1224"/>
      <c r="O111" s="1224"/>
      <c r="P111" s="1224"/>
      <c r="Q111" s="1224"/>
      <c r="R111" s="1224"/>
      <c r="S111" s="1224"/>
      <c r="T111" s="1224"/>
      <c r="U111" s="1224"/>
      <c r="V111" s="1224"/>
      <c r="W111" s="1224"/>
      <c r="X111" s="1224"/>
      <c r="Y111" s="1224"/>
      <c r="Z111" s="1224"/>
      <c r="AA111" s="1225"/>
      <c r="AB111" s="695"/>
    </row>
    <row r="112" spans="1:28" ht="13.15" x14ac:dyDescent="0.45">
      <c r="A112" s="695"/>
      <c r="B112" s="1226" t="s">
        <v>87</v>
      </c>
      <c r="C112" s="1235"/>
      <c r="D112" s="1235"/>
      <c r="E112" s="1236"/>
      <c r="F112" s="1236"/>
      <c r="G112" s="1236"/>
      <c r="H112" s="1236"/>
      <c r="I112" s="1236"/>
      <c r="J112" s="1236"/>
      <c r="K112" s="1236"/>
      <c r="L112" s="1236"/>
      <c r="M112" s="1236"/>
      <c r="N112" s="1236"/>
      <c r="O112" s="1236"/>
      <c r="P112" s="1236"/>
      <c r="Q112" s="1236"/>
      <c r="R112" s="1236"/>
      <c r="S112" s="1236"/>
      <c r="T112" s="1236"/>
      <c r="U112" s="1236"/>
      <c r="V112" s="1236"/>
      <c r="W112" s="1236"/>
      <c r="X112" s="1236"/>
      <c r="Y112" s="1236"/>
      <c r="Z112" s="1236"/>
      <c r="AA112" s="1237"/>
      <c r="AB112" s="695"/>
    </row>
    <row r="113" spans="1:28" x14ac:dyDescent="0.45">
      <c r="A113" s="695"/>
      <c r="B113" s="1223"/>
      <c r="C113" s="1224"/>
      <c r="D113" s="1224"/>
      <c r="E113" s="1230"/>
      <c r="F113" s="1224"/>
      <c r="G113" s="1224"/>
      <c r="H113" s="1224"/>
      <c r="I113" s="1224"/>
      <c r="J113" s="1224"/>
      <c r="K113" s="1224"/>
      <c r="L113" s="1224"/>
      <c r="M113" s="1224"/>
      <c r="N113" s="1224"/>
      <c r="O113" s="1224"/>
      <c r="P113" s="1224"/>
      <c r="Q113" s="1224"/>
      <c r="R113" s="1224"/>
      <c r="S113" s="1224"/>
      <c r="T113" s="1224"/>
      <c r="U113" s="1224"/>
      <c r="V113" s="1224"/>
      <c r="W113" s="1224"/>
      <c r="X113" s="1224"/>
      <c r="Y113" s="1224"/>
      <c r="Z113" s="1224"/>
      <c r="AA113" s="1225"/>
      <c r="AB113" s="695"/>
    </row>
    <row r="114" spans="1:28" x14ac:dyDescent="0.45">
      <c r="A114" s="695"/>
      <c r="B114" s="1223" t="s">
        <v>88</v>
      </c>
      <c r="C114" s="1224"/>
      <c r="D114" s="1224"/>
      <c r="E114" s="1230"/>
      <c r="F114" s="1230" t="s">
        <v>748</v>
      </c>
      <c r="G114" s="1633"/>
      <c r="H114" s="1634">
        <f>IF(H$16&gt;'III. Inputs, Renewable Energy'!$U$16,0,'III. Inputs, Renewable Energy'!$S$269*'III. Inputs, Renewable Energy'!$U$14*(1+'III. Inputs, Renewable Energy'!$S$270)^(H$16-1))</f>
        <v>13414275</v>
      </c>
      <c r="I114" s="1634">
        <f>IF(I$16&gt;'III. Inputs, Renewable Energy'!$U$16,0,'III. Inputs, Renewable Energy'!$S$269*'III. Inputs, Renewable Energy'!$U$14*(1+'III. Inputs, Renewable Energy'!$S$270)^(I$16-1))</f>
        <v>13682560.5</v>
      </c>
      <c r="J114" s="1634">
        <f>IF(J$16&gt;'III. Inputs, Renewable Energy'!$U$16,0,'III. Inputs, Renewable Energy'!$S$269*'III. Inputs, Renewable Energy'!$U$14*(1+'III. Inputs, Renewable Energy'!$S$270)^(J$16-1))</f>
        <v>13956211.709999999</v>
      </c>
      <c r="K114" s="1634">
        <f>IF(K$16&gt;'III. Inputs, Renewable Energy'!$U$16,0,'III. Inputs, Renewable Energy'!$S$269*'III. Inputs, Renewable Energy'!$U$14*(1+'III. Inputs, Renewable Energy'!$S$270)^(K$16-1))</f>
        <v>14235335.9442</v>
      </c>
      <c r="L114" s="1634">
        <f>IF(L$16&gt;'III. Inputs, Renewable Energy'!$U$16,0,'III. Inputs, Renewable Energy'!$S$269*'III. Inputs, Renewable Energy'!$U$14*(1+'III. Inputs, Renewable Energy'!$S$270)^(L$16-1))</f>
        <v>14520042.663084</v>
      </c>
      <c r="M114" s="1634">
        <f>IF(M$16&gt;'III. Inputs, Renewable Energy'!$U$16,0,'III. Inputs, Renewable Energy'!$S$269*'III. Inputs, Renewable Energy'!$U$14*(1+'III. Inputs, Renewable Energy'!$S$270)^(M$16-1))</f>
        <v>14810443.51634568</v>
      </c>
      <c r="N114" s="1634">
        <f>IF(N$16&gt;'III. Inputs, Renewable Energy'!$U$16,0,'III. Inputs, Renewable Energy'!$S$269*'III. Inputs, Renewable Energy'!$U$14*(1+'III. Inputs, Renewable Energy'!$S$270)^(N$16-1))</f>
        <v>15106652.386672594</v>
      </c>
      <c r="O114" s="1634">
        <f>IF(O$16&gt;'III. Inputs, Renewable Energy'!$U$16,0,'III. Inputs, Renewable Energy'!$S$269*'III. Inputs, Renewable Energy'!$U$14*(1+'III. Inputs, Renewable Energy'!$S$270)^(O$16-1))</f>
        <v>15408785.434406042</v>
      </c>
      <c r="P114" s="1634">
        <f>IF(P$16&gt;'III. Inputs, Renewable Energy'!$U$16,0,'III. Inputs, Renewable Energy'!$S$269*'III. Inputs, Renewable Energy'!$U$14*(1+'III. Inputs, Renewable Energy'!$S$270)^(P$16-1))</f>
        <v>15716961.143094165</v>
      </c>
      <c r="Q114" s="1634">
        <f>IF(Q$16&gt;'III. Inputs, Renewable Energy'!$U$16,0,'III. Inputs, Renewable Energy'!$S$269*'III. Inputs, Renewable Energy'!$U$14*(1+'III. Inputs, Renewable Energy'!$S$270)^(Q$16-1))</f>
        <v>16031300.365956049</v>
      </c>
      <c r="R114" s="1634">
        <f>IF(R$16&gt;'III. Inputs, Renewable Energy'!$U$16,0,'III. Inputs, Renewable Energy'!$S$269*'III. Inputs, Renewable Energy'!$U$14*(1+'III. Inputs, Renewable Energy'!$S$270)^(R$16-1))</f>
        <v>16351926.37327517</v>
      </c>
      <c r="S114" s="1634">
        <f>IF(S$16&gt;'III. Inputs, Renewable Energy'!$U$16,0,'III. Inputs, Renewable Energy'!$S$269*'III. Inputs, Renewable Energy'!$U$14*(1+'III. Inputs, Renewable Energy'!$S$270)^(S$16-1))</f>
        <v>16678964.90074067</v>
      </c>
      <c r="T114" s="1634">
        <f>IF(T$16&gt;'III. Inputs, Renewable Energy'!$U$16,0,'III. Inputs, Renewable Energy'!$S$269*'III. Inputs, Renewable Energy'!$U$14*(1+'III. Inputs, Renewable Energy'!$S$270)^(T$16-1))</f>
        <v>17012544.198755488</v>
      </c>
      <c r="U114" s="1634">
        <f>IF(U$16&gt;'III. Inputs, Renewable Energy'!$U$16,0,'III. Inputs, Renewable Energy'!$S$269*'III. Inputs, Renewable Energy'!$U$14*(1+'III. Inputs, Renewable Energy'!$S$270)^(U$16-1))</f>
        <v>17352795.082730595</v>
      </c>
      <c r="V114" s="1634">
        <f>IF(V$16&gt;'III. Inputs, Renewable Energy'!$U$16,0,'III. Inputs, Renewable Energy'!$S$269*'III. Inputs, Renewable Energy'!$U$14*(1+'III. Inputs, Renewable Energy'!$S$270)^(V$16-1))</f>
        <v>17699850.984385211</v>
      </c>
      <c r="W114" s="1634">
        <f>IF(W$16&gt;'III. Inputs, Renewable Energy'!$U$16,0,'III. Inputs, Renewable Energy'!$S$269*'III. Inputs, Renewable Energy'!$U$14*(1+'III. Inputs, Renewable Energy'!$S$270)^(W$16-1))</f>
        <v>18053848.004072908</v>
      </c>
      <c r="X114" s="1634">
        <f>IF(X$16&gt;'III. Inputs, Renewable Energy'!$U$16,0,'III. Inputs, Renewable Energy'!$S$269*'III. Inputs, Renewable Energy'!$U$14*(1+'III. Inputs, Renewable Energy'!$S$270)^(X$16-1))</f>
        <v>18414924.96415437</v>
      </c>
      <c r="Y114" s="1634">
        <f>IF(Y$16&gt;'III. Inputs, Renewable Energy'!$U$16,0,'III. Inputs, Renewable Energy'!$S$269*'III. Inputs, Renewable Energy'!$U$14*(1+'III. Inputs, Renewable Energy'!$S$270)^(Y$16-1))</f>
        <v>18783223.46343746</v>
      </c>
      <c r="Z114" s="1634">
        <f>IF(Z$16&gt;'III. Inputs, Renewable Energy'!$U$16,0,'III. Inputs, Renewable Energy'!$S$269*'III. Inputs, Renewable Energy'!$U$14*(1+'III. Inputs, Renewable Energy'!$S$270)^(Z$16-1))</f>
        <v>19158887.932706207</v>
      </c>
      <c r="AA114" s="1635">
        <f>IF(AA$16&gt;'III. Inputs, Renewable Energy'!$U$16,0,'III. Inputs, Renewable Energy'!$S$269*'III. Inputs, Renewable Energy'!$U$14*(1+'III. Inputs, Renewable Energy'!$S$270)^(AA$16-1))</f>
        <v>19542065.691360328</v>
      </c>
      <c r="AB114" s="695"/>
    </row>
    <row r="115" spans="1:28" x14ac:dyDescent="0.45">
      <c r="A115" s="695"/>
      <c r="B115" s="1223"/>
      <c r="C115" s="1224"/>
      <c r="D115" s="1224"/>
      <c r="E115" s="1230"/>
      <c r="F115" s="1230"/>
      <c r="G115" s="1633"/>
      <c r="H115" s="1634"/>
      <c r="I115" s="1634"/>
      <c r="J115" s="1634"/>
      <c r="K115" s="1634"/>
      <c r="L115" s="1634"/>
      <c r="M115" s="1634"/>
      <c r="N115" s="1634"/>
      <c r="O115" s="1634"/>
      <c r="P115" s="1634"/>
      <c r="Q115" s="1634"/>
      <c r="R115" s="1634"/>
      <c r="S115" s="1634"/>
      <c r="T115" s="1634"/>
      <c r="U115" s="1634"/>
      <c r="V115" s="1634"/>
      <c r="W115" s="1634"/>
      <c r="X115" s="1634"/>
      <c r="Y115" s="1634"/>
      <c r="Z115" s="1634"/>
      <c r="AA115" s="1636"/>
      <c r="AB115" s="695"/>
    </row>
    <row r="116" spans="1:28" x14ac:dyDescent="0.45">
      <c r="A116" s="695"/>
      <c r="B116" s="1223" t="s">
        <v>89</v>
      </c>
      <c r="C116" s="1224"/>
      <c r="D116" s="1224"/>
      <c r="E116" s="1230"/>
      <c r="F116" s="1230" t="s">
        <v>748</v>
      </c>
      <c r="G116" s="1633"/>
      <c r="H116" s="1633">
        <f>H379</f>
        <v>25250226.50398647</v>
      </c>
      <c r="I116" s="1633">
        <f>I379</f>
        <v>25250226.50398647</v>
      </c>
      <c r="J116" s="1633">
        <f t="shared" ref="J116:AA116" si="35">J379</f>
        <v>25250226.50398647</v>
      </c>
      <c r="K116" s="1633">
        <f t="shared" si="35"/>
        <v>25250226.50398647</v>
      </c>
      <c r="L116" s="1633">
        <f t="shared" si="35"/>
        <v>25250226.50398647</v>
      </c>
      <c r="M116" s="1633">
        <f t="shared" si="35"/>
        <v>25250226.50398647</v>
      </c>
      <c r="N116" s="1633">
        <f t="shared" si="35"/>
        <v>25250226.50398647</v>
      </c>
      <c r="O116" s="1633">
        <f t="shared" si="35"/>
        <v>25250226.50398647</v>
      </c>
      <c r="P116" s="1633">
        <f t="shared" si="35"/>
        <v>25250226.50398647</v>
      </c>
      <c r="Q116" s="1633">
        <f t="shared" si="35"/>
        <v>25250226.50398647</v>
      </c>
      <c r="R116" s="1633">
        <f t="shared" si="35"/>
        <v>25250226.50398647</v>
      </c>
      <c r="S116" s="1633">
        <f t="shared" si="35"/>
        <v>25250226.50398647</v>
      </c>
      <c r="T116" s="1633">
        <f t="shared" si="35"/>
        <v>25250226.50398647</v>
      </c>
      <c r="U116" s="1633">
        <f t="shared" si="35"/>
        <v>25250226.50398647</v>
      </c>
      <c r="V116" s="1633">
        <f t="shared" si="35"/>
        <v>25250226.50398647</v>
      </c>
      <c r="W116" s="1633">
        <f t="shared" si="35"/>
        <v>25250226.50398647</v>
      </c>
      <c r="X116" s="1633">
        <f t="shared" si="35"/>
        <v>25250226.50398647</v>
      </c>
      <c r="Y116" s="1633">
        <f t="shared" si="35"/>
        <v>25250226.50398647</v>
      </c>
      <c r="Z116" s="1633">
        <f t="shared" si="35"/>
        <v>25250226.50398647</v>
      </c>
      <c r="AA116" s="1635">
        <f t="shared" si="35"/>
        <v>25250226.50398647</v>
      </c>
      <c r="AB116" s="695"/>
    </row>
    <row r="117" spans="1:28" x14ac:dyDescent="0.45">
      <c r="A117" s="695"/>
      <c r="B117" s="1223"/>
      <c r="C117" s="1224"/>
      <c r="D117" s="1224"/>
      <c r="E117" s="1230"/>
      <c r="F117" s="1230"/>
      <c r="G117" s="1633"/>
      <c r="H117" s="1633"/>
      <c r="I117" s="1633"/>
      <c r="J117" s="1633"/>
      <c r="K117" s="1633"/>
      <c r="L117" s="1633"/>
      <c r="M117" s="1633"/>
      <c r="N117" s="1633"/>
      <c r="O117" s="1633"/>
      <c r="P117" s="1633"/>
      <c r="Q117" s="1633"/>
      <c r="R117" s="1633"/>
      <c r="S117" s="1633"/>
      <c r="T117" s="1633"/>
      <c r="U117" s="1633"/>
      <c r="V117" s="1633"/>
      <c r="W117" s="1633"/>
      <c r="X117" s="1633"/>
      <c r="Y117" s="1633"/>
      <c r="Z117" s="1633"/>
      <c r="AA117" s="1635"/>
      <c r="AB117" s="695"/>
    </row>
    <row r="118" spans="1:28" x14ac:dyDescent="0.45">
      <c r="A118" s="695"/>
      <c r="B118" s="1223" t="s">
        <v>219</v>
      </c>
      <c r="C118" s="1224"/>
      <c r="D118" s="1224"/>
      <c r="E118" s="1230"/>
      <c r="F118" s="1230" t="s">
        <v>748</v>
      </c>
      <c r="G118" s="1633"/>
      <c r="H118" s="1633">
        <f>H282</f>
        <v>4624778.3280985747</v>
      </c>
      <c r="I118" s="1633">
        <f>I282</f>
        <v>4469470.1769591141</v>
      </c>
      <c r="J118" s="1633">
        <f t="shared" ref="J118:AA118" si="36">J282</f>
        <v>4307949.6997740762</v>
      </c>
      <c r="K118" s="1633">
        <f t="shared" si="36"/>
        <v>4139968.4035016359</v>
      </c>
      <c r="L118" s="1633">
        <f t="shared" si="36"/>
        <v>3965267.8553782981</v>
      </c>
      <c r="M118" s="1633">
        <f t="shared" si="36"/>
        <v>3783579.2853300278</v>
      </c>
      <c r="N118" s="1633">
        <f t="shared" si="36"/>
        <v>3594623.1724798251</v>
      </c>
      <c r="O118" s="1633">
        <f t="shared" si="36"/>
        <v>3398108.8151156157</v>
      </c>
      <c r="P118" s="1633">
        <f t="shared" si="36"/>
        <v>3193733.8834568369</v>
      </c>
      <c r="Q118" s="1633">
        <f t="shared" si="36"/>
        <v>2981183.9545317078</v>
      </c>
      <c r="R118" s="1633">
        <f t="shared" si="36"/>
        <v>2760132.0284495722</v>
      </c>
      <c r="S118" s="1633">
        <f t="shared" si="36"/>
        <v>2530238.0253241523</v>
      </c>
      <c r="T118" s="1633">
        <f t="shared" si="36"/>
        <v>2291148.2620737157</v>
      </c>
      <c r="U118" s="1633">
        <f t="shared" si="36"/>
        <v>2042494.9082932612</v>
      </c>
      <c r="V118" s="1633">
        <f t="shared" si="36"/>
        <v>1783895.4203615887</v>
      </c>
      <c r="W118" s="1633">
        <f t="shared" si="36"/>
        <v>1514951.9529126491</v>
      </c>
      <c r="X118" s="1633">
        <f t="shared" si="36"/>
        <v>1235250.7467657521</v>
      </c>
      <c r="Y118" s="1633">
        <f t="shared" si="36"/>
        <v>944361.49237297929</v>
      </c>
      <c r="Z118" s="1633">
        <f t="shared" si="36"/>
        <v>641836.66780449532</v>
      </c>
      <c r="AA118" s="1635">
        <f t="shared" si="36"/>
        <v>327210.85025327216</v>
      </c>
      <c r="AB118" s="695"/>
    </row>
    <row r="119" spans="1:28" x14ac:dyDescent="0.45">
      <c r="A119" s="695"/>
      <c r="B119" s="1223" t="s">
        <v>160</v>
      </c>
      <c r="C119" s="1224"/>
      <c r="D119" s="1224"/>
      <c r="E119" s="1230"/>
      <c r="F119" s="1230" t="s">
        <v>748</v>
      </c>
      <c r="G119" s="1633"/>
      <c r="H119" s="1633">
        <f>H303</f>
        <v>0</v>
      </c>
      <c r="I119" s="1633">
        <f>I303</f>
        <v>0</v>
      </c>
      <c r="J119" s="1633">
        <f t="shared" ref="J119:AA119" si="37">J303</f>
        <v>0</v>
      </c>
      <c r="K119" s="1633">
        <f t="shared" si="37"/>
        <v>0</v>
      </c>
      <c r="L119" s="1633">
        <f t="shared" si="37"/>
        <v>0</v>
      </c>
      <c r="M119" s="1633">
        <f t="shared" si="37"/>
        <v>0</v>
      </c>
      <c r="N119" s="1633">
        <f t="shared" si="37"/>
        <v>0</v>
      </c>
      <c r="O119" s="1633">
        <f t="shared" si="37"/>
        <v>0</v>
      </c>
      <c r="P119" s="1633">
        <f t="shared" si="37"/>
        <v>0</v>
      </c>
      <c r="Q119" s="1633">
        <f t="shared" si="37"/>
        <v>0</v>
      </c>
      <c r="R119" s="1633">
        <f t="shared" si="37"/>
        <v>0</v>
      </c>
      <c r="S119" s="1633">
        <f t="shared" si="37"/>
        <v>0</v>
      </c>
      <c r="T119" s="1633">
        <f t="shared" si="37"/>
        <v>0</v>
      </c>
      <c r="U119" s="1633">
        <f t="shared" si="37"/>
        <v>0</v>
      </c>
      <c r="V119" s="1633">
        <f t="shared" si="37"/>
        <v>0</v>
      </c>
      <c r="W119" s="1633">
        <f t="shared" si="37"/>
        <v>0</v>
      </c>
      <c r="X119" s="1633">
        <f t="shared" si="37"/>
        <v>0</v>
      </c>
      <c r="Y119" s="1633">
        <f t="shared" si="37"/>
        <v>0</v>
      </c>
      <c r="Z119" s="1633">
        <f t="shared" si="37"/>
        <v>0</v>
      </c>
      <c r="AA119" s="1635">
        <f t="shared" si="37"/>
        <v>0</v>
      </c>
      <c r="AB119" s="695"/>
    </row>
    <row r="120" spans="1:28" x14ac:dyDescent="0.45">
      <c r="A120" s="695"/>
      <c r="B120" s="1223" t="s">
        <v>161</v>
      </c>
      <c r="C120" s="1224"/>
      <c r="D120" s="1224"/>
      <c r="E120" s="1230"/>
      <c r="F120" s="1230" t="s">
        <v>748</v>
      </c>
      <c r="G120" s="1633"/>
      <c r="H120" s="1633">
        <f>H324</f>
        <v>15738659.581327328</v>
      </c>
      <c r="I120" s="1633">
        <f>I324</f>
        <v>14796634.34348681</v>
      </c>
      <c r="J120" s="1633">
        <f t="shared" ref="J120:AA120" si="38">J324</f>
        <v>13799652.162909089</v>
      </c>
      <c r="K120" s="1633">
        <f t="shared" si="38"/>
        <v>12744506.898788488</v>
      </c>
      <c r="L120" s="1633">
        <f t="shared" si="38"/>
        <v>11627805.3668203</v>
      </c>
      <c r="M120" s="1633">
        <f t="shared" si="38"/>
        <v>10445956.427243792</v>
      </c>
      <c r="N120" s="1633">
        <f t="shared" si="38"/>
        <v>9195159.4362910558</v>
      </c>
      <c r="O120" s="1633">
        <f t="shared" si="38"/>
        <v>7871392.0239032991</v>
      </c>
      <c r="P120" s="1633">
        <f t="shared" si="38"/>
        <v>6470397.1584095769</v>
      </c>
      <c r="Q120" s="1633">
        <f t="shared" si="38"/>
        <v>4987669.4565700348</v>
      </c>
      <c r="R120" s="1633">
        <f t="shared" si="38"/>
        <v>3418440.6949588321</v>
      </c>
      <c r="S120" s="1633">
        <f t="shared" si="38"/>
        <v>1757664.4760935863</v>
      </c>
      <c r="T120" s="1633">
        <f t="shared" si="38"/>
        <v>0</v>
      </c>
      <c r="U120" s="1633">
        <f t="shared" si="38"/>
        <v>0</v>
      </c>
      <c r="V120" s="1633">
        <f t="shared" si="38"/>
        <v>0</v>
      </c>
      <c r="W120" s="1633">
        <f t="shared" si="38"/>
        <v>0</v>
      </c>
      <c r="X120" s="1633">
        <f t="shared" si="38"/>
        <v>0</v>
      </c>
      <c r="Y120" s="1633">
        <f t="shared" si="38"/>
        <v>0</v>
      </c>
      <c r="Z120" s="1633">
        <f t="shared" si="38"/>
        <v>0</v>
      </c>
      <c r="AA120" s="1635">
        <f t="shared" si="38"/>
        <v>0</v>
      </c>
      <c r="AB120" s="695"/>
    </row>
    <row r="121" spans="1:28" x14ac:dyDescent="0.45">
      <c r="A121" s="695"/>
      <c r="B121" s="1223" t="s">
        <v>120</v>
      </c>
      <c r="C121" s="1224"/>
      <c r="D121" s="1224"/>
      <c r="E121" s="1230"/>
      <c r="F121" s="1230" t="s">
        <v>748</v>
      </c>
      <c r="G121" s="1633"/>
      <c r="H121" s="1633">
        <f>(H293+H314+H335)</f>
        <v>0</v>
      </c>
      <c r="I121" s="1633">
        <f>(I293+I314+I335)</f>
        <v>0</v>
      </c>
      <c r="J121" s="1633">
        <f t="shared" ref="J121:AA121" si="39">(J293+J314+J335)</f>
        <v>0</v>
      </c>
      <c r="K121" s="1633">
        <f t="shared" si="39"/>
        <v>0</v>
      </c>
      <c r="L121" s="1633">
        <f t="shared" si="39"/>
        <v>0</v>
      </c>
      <c r="M121" s="1633">
        <f t="shared" si="39"/>
        <v>0</v>
      </c>
      <c r="N121" s="1633">
        <f t="shared" si="39"/>
        <v>0</v>
      </c>
      <c r="O121" s="1633">
        <f t="shared" si="39"/>
        <v>0</v>
      </c>
      <c r="P121" s="1633">
        <f t="shared" si="39"/>
        <v>0</v>
      </c>
      <c r="Q121" s="1633">
        <f t="shared" si="39"/>
        <v>0</v>
      </c>
      <c r="R121" s="1633">
        <f t="shared" si="39"/>
        <v>0</v>
      </c>
      <c r="S121" s="1633">
        <f t="shared" si="39"/>
        <v>0</v>
      </c>
      <c r="T121" s="1633">
        <f t="shared" si="39"/>
        <v>0</v>
      </c>
      <c r="U121" s="1633">
        <f t="shared" si="39"/>
        <v>0</v>
      </c>
      <c r="V121" s="1633">
        <f t="shared" si="39"/>
        <v>0</v>
      </c>
      <c r="W121" s="1633">
        <f t="shared" si="39"/>
        <v>0</v>
      </c>
      <c r="X121" s="1633">
        <f t="shared" si="39"/>
        <v>0</v>
      </c>
      <c r="Y121" s="1633">
        <f t="shared" si="39"/>
        <v>0</v>
      </c>
      <c r="Z121" s="1633">
        <f t="shared" si="39"/>
        <v>0</v>
      </c>
      <c r="AA121" s="1635">
        <f t="shared" si="39"/>
        <v>0</v>
      </c>
      <c r="AB121" s="695"/>
    </row>
    <row r="122" spans="1:28" x14ac:dyDescent="0.45">
      <c r="A122" s="695"/>
      <c r="B122" s="1223" t="s">
        <v>162</v>
      </c>
      <c r="C122" s="1224"/>
      <c r="D122" s="1224"/>
      <c r="E122" s="1230"/>
      <c r="F122" s="1230" t="s">
        <v>748</v>
      </c>
      <c r="G122" s="1633"/>
      <c r="H122" s="1633">
        <f>(H315+H316)</f>
        <v>0</v>
      </c>
      <c r="I122" s="1633">
        <f>I316</f>
        <v>0</v>
      </c>
      <c r="J122" s="1633">
        <f t="shared" ref="J122:AA122" si="40">J316</f>
        <v>0</v>
      </c>
      <c r="K122" s="1633">
        <f t="shared" si="40"/>
        <v>0</v>
      </c>
      <c r="L122" s="1633">
        <f t="shared" si="40"/>
        <v>0</v>
      </c>
      <c r="M122" s="1633">
        <f t="shared" si="40"/>
        <v>0</v>
      </c>
      <c r="N122" s="1633">
        <f t="shared" si="40"/>
        <v>0</v>
      </c>
      <c r="O122" s="1633">
        <f t="shared" si="40"/>
        <v>0</v>
      </c>
      <c r="P122" s="1633">
        <f t="shared" si="40"/>
        <v>0</v>
      </c>
      <c r="Q122" s="1633">
        <f t="shared" si="40"/>
        <v>0</v>
      </c>
      <c r="R122" s="1633">
        <f t="shared" si="40"/>
        <v>0</v>
      </c>
      <c r="S122" s="1633">
        <f t="shared" si="40"/>
        <v>0</v>
      </c>
      <c r="T122" s="1633">
        <f t="shared" si="40"/>
        <v>0</v>
      </c>
      <c r="U122" s="1633">
        <f t="shared" si="40"/>
        <v>0</v>
      </c>
      <c r="V122" s="1633">
        <f t="shared" si="40"/>
        <v>0</v>
      </c>
      <c r="W122" s="1633">
        <f t="shared" si="40"/>
        <v>0</v>
      </c>
      <c r="X122" s="1633">
        <f t="shared" si="40"/>
        <v>0</v>
      </c>
      <c r="Y122" s="1633">
        <f t="shared" si="40"/>
        <v>0</v>
      </c>
      <c r="Z122" s="1633">
        <f t="shared" si="40"/>
        <v>0</v>
      </c>
      <c r="AA122" s="1635">
        <f t="shared" si="40"/>
        <v>0</v>
      </c>
      <c r="AB122" s="695"/>
    </row>
    <row r="123" spans="1:28" x14ac:dyDescent="0.45">
      <c r="A123" s="695"/>
      <c r="B123" s="1223" t="s">
        <v>121</v>
      </c>
      <c r="C123" s="1224"/>
      <c r="D123" s="1224"/>
      <c r="E123" s="1230"/>
      <c r="F123" s="1230" t="s">
        <v>748</v>
      </c>
      <c r="G123" s="1633"/>
      <c r="H123" s="1633">
        <f>(H345+H346)</f>
        <v>0</v>
      </c>
      <c r="I123" s="1633">
        <f>I346</f>
        <v>0</v>
      </c>
      <c r="J123" s="1633">
        <f t="shared" ref="J123:AA123" si="41">J346</f>
        <v>0</v>
      </c>
      <c r="K123" s="1633">
        <f t="shared" si="41"/>
        <v>0</v>
      </c>
      <c r="L123" s="1633">
        <f t="shared" si="41"/>
        <v>0</v>
      </c>
      <c r="M123" s="1633">
        <f t="shared" si="41"/>
        <v>0</v>
      </c>
      <c r="N123" s="1633">
        <f t="shared" si="41"/>
        <v>0</v>
      </c>
      <c r="O123" s="1633">
        <f t="shared" si="41"/>
        <v>0</v>
      </c>
      <c r="P123" s="1633">
        <f t="shared" si="41"/>
        <v>0</v>
      </c>
      <c r="Q123" s="1633">
        <f t="shared" si="41"/>
        <v>0</v>
      </c>
      <c r="R123" s="1633">
        <f t="shared" si="41"/>
        <v>0</v>
      </c>
      <c r="S123" s="1633">
        <f t="shared" si="41"/>
        <v>0</v>
      </c>
      <c r="T123" s="1633">
        <f t="shared" si="41"/>
        <v>0</v>
      </c>
      <c r="U123" s="1633">
        <f t="shared" si="41"/>
        <v>0</v>
      </c>
      <c r="V123" s="1633">
        <f t="shared" si="41"/>
        <v>0</v>
      </c>
      <c r="W123" s="1633">
        <f t="shared" si="41"/>
        <v>0</v>
      </c>
      <c r="X123" s="1633">
        <f t="shared" si="41"/>
        <v>0</v>
      </c>
      <c r="Y123" s="1633">
        <f t="shared" si="41"/>
        <v>0</v>
      </c>
      <c r="Z123" s="1633">
        <f t="shared" si="41"/>
        <v>0</v>
      </c>
      <c r="AA123" s="1635">
        <f t="shared" si="41"/>
        <v>0</v>
      </c>
      <c r="AB123" s="695"/>
    </row>
    <row r="124" spans="1:28" x14ac:dyDescent="0.45">
      <c r="A124" s="695"/>
      <c r="B124" s="1223"/>
      <c r="C124" s="1224"/>
      <c r="D124" s="1224"/>
      <c r="E124" s="1230"/>
      <c r="F124" s="1230"/>
      <c r="G124" s="1633"/>
      <c r="H124" s="1633"/>
      <c r="I124" s="1633"/>
      <c r="J124" s="1633"/>
      <c r="K124" s="1633"/>
      <c r="L124" s="1633"/>
      <c r="M124" s="1633"/>
      <c r="N124" s="1633"/>
      <c r="O124" s="1633"/>
      <c r="P124" s="1633"/>
      <c r="Q124" s="1633"/>
      <c r="R124" s="1633"/>
      <c r="S124" s="1633"/>
      <c r="T124" s="1633"/>
      <c r="U124" s="1633"/>
      <c r="V124" s="1633"/>
      <c r="W124" s="1633"/>
      <c r="X124" s="1633"/>
      <c r="Y124" s="1633"/>
      <c r="Z124" s="1633"/>
      <c r="AA124" s="1635"/>
      <c r="AB124" s="695"/>
    </row>
    <row r="125" spans="1:28" x14ac:dyDescent="0.45">
      <c r="A125" s="695"/>
      <c r="B125" s="1223"/>
      <c r="C125" s="1224"/>
      <c r="D125" s="1224"/>
      <c r="E125" s="1230"/>
      <c r="F125" s="1230"/>
      <c r="G125" s="1633"/>
      <c r="H125" s="1633"/>
      <c r="I125" s="1633"/>
      <c r="J125" s="1633"/>
      <c r="K125" s="1633"/>
      <c r="L125" s="1633"/>
      <c r="M125" s="1633"/>
      <c r="N125" s="1633"/>
      <c r="O125" s="1633"/>
      <c r="P125" s="1633"/>
      <c r="Q125" s="1633"/>
      <c r="R125" s="1633"/>
      <c r="S125" s="1633"/>
      <c r="T125" s="1633"/>
      <c r="U125" s="1633"/>
      <c r="V125" s="1633"/>
      <c r="W125" s="1633"/>
      <c r="X125" s="1633"/>
      <c r="Y125" s="1633"/>
      <c r="Z125" s="1633"/>
      <c r="AA125" s="1635"/>
      <c r="AB125" s="695"/>
    </row>
    <row r="126" spans="1:28" ht="13.15" x14ac:dyDescent="0.45">
      <c r="A126" s="695"/>
      <c r="B126" s="1238" t="s">
        <v>400</v>
      </c>
      <c r="C126" s="1224"/>
      <c r="D126" s="1224"/>
      <c r="E126" s="1230"/>
      <c r="F126" s="1230"/>
      <c r="G126" s="1633"/>
      <c r="H126" s="1633"/>
      <c r="I126" s="1633"/>
      <c r="J126" s="1633"/>
      <c r="K126" s="1633"/>
      <c r="L126" s="1633"/>
      <c r="M126" s="1633"/>
      <c r="N126" s="1633"/>
      <c r="O126" s="1633"/>
      <c r="P126" s="1633"/>
      <c r="Q126" s="1633"/>
      <c r="R126" s="1633"/>
      <c r="S126" s="1633"/>
      <c r="T126" s="1633"/>
      <c r="U126" s="1633"/>
      <c r="V126" s="1633"/>
      <c r="W126" s="1633"/>
      <c r="X126" s="1633"/>
      <c r="Y126" s="1633"/>
      <c r="Z126" s="1633"/>
      <c r="AA126" s="1635"/>
      <c r="AB126" s="695"/>
    </row>
    <row r="127" spans="1:28" x14ac:dyDescent="0.45">
      <c r="A127" s="695"/>
      <c r="B127" s="1223"/>
      <c r="C127" s="1224"/>
      <c r="D127" s="1224"/>
      <c r="E127" s="1230"/>
      <c r="F127" s="1230"/>
      <c r="G127" s="1633"/>
      <c r="H127" s="1633"/>
      <c r="I127" s="1633"/>
      <c r="J127" s="1633"/>
      <c r="K127" s="1633"/>
      <c r="L127" s="1633"/>
      <c r="M127" s="1633"/>
      <c r="N127" s="1633"/>
      <c r="O127" s="1633"/>
      <c r="P127" s="1633"/>
      <c r="Q127" s="1633"/>
      <c r="R127" s="1633"/>
      <c r="S127" s="1633"/>
      <c r="T127" s="1633"/>
      <c r="U127" s="1633"/>
      <c r="V127" s="1633"/>
      <c r="W127" s="1633"/>
      <c r="X127" s="1633"/>
      <c r="Y127" s="1633"/>
      <c r="Z127" s="1633"/>
      <c r="AA127" s="1635"/>
      <c r="AB127" s="695"/>
    </row>
    <row r="128" spans="1:28" x14ac:dyDescent="0.45">
      <c r="A128" s="695"/>
      <c r="B128" s="1223" t="str">
        <f>B114</f>
        <v>Operations &amp; Maintenance Expenses</v>
      </c>
      <c r="C128" s="1224"/>
      <c r="D128" s="1224"/>
      <c r="E128" s="1230"/>
      <c r="F128" s="1230" t="s">
        <v>748</v>
      </c>
      <c r="G128" s="1633"/>
      <c r="H128" s="1633">
        <f>-H114</f>
        <v>-13414275</v>
      </c>
      <c r="I128" s="1633">
        <f>-I114</f>
        <v>-13682560.5</v>
      </c>
      <c r="J128" s="1633">
        <f t="shared" ref="J128:AA128" si="42">-J114</f>
        <v>-13956211.709999999</v>
      </c>
      <c r="K128" s="1633">
        <f t="shared" si="42"/>
        <v>-14235335.9442</v>
      </c>
      <c r="L128" s="1633">
        <f t="shared" si="42"/>
        <v>-14520042.663084</v>
      </c>
      <c r="M128" s="1633">
        <f t="shared" si="42"/>
        <v>-14810443.51634568</v>
      </c>
      <c r="N128" s="1633">
        <f t="shared" si="42"/>
        <v>-15106652.386672594</v>
      </c>
      <c r="O128" s="1633">
        <f t="shared" si="42"/>
        <v>-15408785.434406042</v>
      </c>
      <c r="P128" s="1633">
        <f t="shared" si="42"/>
        <v>-15716961.143094165</v>
      </c>
      <c r="Q128" s="1633">
        <f t="shared" si="42"/>
        <v>-16031300.365956049</v>
      </c>
      <c r="R128" s="1633">
        <f t="shared" si="42"/>
        <v>-16351926.37327517</v>
      </c>
      <c r="S128" s="1633">
        <f t="shared" si="42"/>
        <v>-16678964.90074067</v>
      </c>
      <c r="T128" s="1633">
        <f t="shared" si="42"/>
        <v>-17012544.198755488</v>
      </c>
      <c r="U128" s="1633">
        <f t="shared" si="42"/>
        <v>-17352795.082730595</v>
      </c>
      <c r="V128" s="1633">
        <f t="shared" si="42"/>
        <v>-17699850.984385211</v>
      </c>
      <c r="W128" s="1633">
        <f t="shared" si="42"/>
        <v>-18053848.004072908</v>
      </c>
      <c r="X128" s="1633">
        <f t="shared" si="42"/>
        <v>-18414924.96415437</v>
      </c>
      <c r="Y128" s="1633">
        <f t="shared" si="42"/>
        <v>-18783223.46343746</v>
      </c>
      <c r="Z128" s="1633">
        <f t="shared" si="42"/>
        <v>-19158887.932706207</v>
      </c>
      <c r="AA128" s="1635">
        <f t="shared" si="42"/>
        <v>-19542065.691360328</v>
      </c>
      <c r="AB128" s="695"/>
    </row>
    <row r="129" spans="1:28" x14ac:dyDescent="0.45">
      <c r="A129" s="695"/>
      <c r="B129" s="1223" t="str">
        <f>B121</f>
        <v xml:space="preserve">Front-end Fees </v>
      </c>
      <c r="C129" s="1224"/>
      <c r="D129" s="1224"/>
      <c r="E129" s="1230"/>
      <c r="F129" s="1230" t="s">
        <v>748</v>
      </c>
      <c r="G129" s="1633"/>
      <c r="H129" s="1633">
        <f t="shared" ref="H129:I131" si="43">-H121</f>
        <v>0</v>
      </c>
      <c r="I129" s="1633">
        <f t="shared" si="43"/>
        <v>0</v>
      </c>
      <c r="J129" s="1633">
        <f t="shared" ref="J129:AA129" si="44">-J121</f>
        <v>0</v>
      </c>
      <c r="K129" s="1633">
        <f t="shared" si="44"/>
        <v>0</v>
      </c>
      <c r="L129" s="1633">
        <f t="shared" si="44"/>
        <v>0</v>
      </c>
      <c r="M129" s="1633">
        <f t="shared" si="44"/>
        <v>0</v>
      </c>
      <c r="N129" s="1633">
        <f t="shared" si="44"/>
        <v>0</v>
      </c>
      <c r="O129" s="1633">
        <f t="shared" si="44"/>
        <v>0</v>
      </c>
      <c r="P129" s="1633">
        <f t="shared" si="44"/>
        <v>0</v>
      </c>
      <c r="Q129" s="1633">
        <f t="shared" si="44"/>
        <v>0</v>
      </c>
      <c r="R129" s="1633">
        <f t="shared" si="44"/>
        <v>0</v>
      </c>
      <c r="S129" s="1633">
        <f t="shared" si="44"/>
        <v>0</v>
      </c>
      <c r="T129" s="1633">
        <f t="shared" si="44"/>
        <v>0</v>
      </c>
      <c r="U129" s="1633">
        <f t="shared" si="44"/>
        <v>0</v>
      </c>
      <c r="V129" s="1633">
        <f t="shared" si="44"/>
        <v>0</v>
      </c>
      <c r="W129" s="1633">
        <f t="shared" si="44"/>
        <v>0</v>
      </c>
      <c r="X129" s="1633">
        <f t="shared" si="44"/>
        <v>0</v>
      </c>
      <c r="Y129" s="1633">
        <f t="shared" si="44"/>
        <v>0</v>
      </c>
      <c r="Z129" s="1633">
        <f t="shared" si="44"/>
        <v>0</v>
      </c>
      <c r="AA129" s="1635">
        <f t="shared" si="44"/>
        <v>0</v>
      </c>
      <c r="AB129" s="695"/>
    </row>
    <row r="130" spans="1:28" x14ac:dyDescent="0.45">
      <c r="A130" s="695"/>
      <c r="B130" s="1223" t="str">
        <f>B122</f>
        <v xml:space="preserve">Public Guarantee Fees </v>
      </c>
      <c r="C130" s="1224"/>
      <c r="D130" s="1224"/>
      <c r="E130" s="1230"/>
      <c r="F130" s="1230" t="s">
        <v>748</v>
      </c>
      <c r="G130" s="1633"/>
      <c r="H130" s="1633">
        <f t="shared" si="43"/>
        <v>0</v>
      </c>
      <c r="I130" s="1633">
        <f t="shared" si="43"/>
        <v>0</v>
      </c>
      <c r="J130" s="1633">
        <f t="shared" ref="J130:AA130" si="45">-J122</f>
        <v>0</v>
      </c>
      <c r="K130" s="1633">
        <f t="shared" si="45"/>
        <v>0</v>
      </c>
      <c r="L130" s="1633">
        <f t="shared" si="45"/>
        <v>0</v>
      </c>
      <c r="M130" s="1633">
        <f t="shared" si="45"/>
        <v>0</v>
      </c>
      <c r="N130" s="1633">
        <f t="shared" si="45"/>
        <v>0</v>
      </c>
      <c r="O130" s="1633">
        <f t="shared" si="45"/>
        <v>0</v>
      </c>
      <c r="P130" s="1633">
        <f t="shared" si="45"/>
        <v>0</v>
      </c>
      <c r="Q130" s="1633">
        <f t="shared" si="45"/>
        <v>0</v>
      </c>
      <c r="R130" s="1633">
        <f t="shared" si="45"/>
        <v>0</v>
      </c>
      <c r="S130" s="1633">
        <f t="shared" si="45"/>
        <v>0</v>
      </c>
      <c r="T130" s="1633">
        <f t="shared" si="45"/>
        <v>0</v>
      </c>
      <c r="U130" s="1633">
        <f t="shared" si="45"/>
        <v>0</v>
      </c>
      <c r="V130" s="1633">
        <f t="shared" si="45"/>
        <v>0</v>
      </c>
      <c r="W130" s="1633">
        <f t="shared" si="45"/>
        <v>0</v>
      </c>
      <c r="X130" s="1633">
        <f t="shared" si="45"/>
        <v>0</v>
      </c>
      <c r="Y130" s="1633">
        <f t="shared" si="45"/>
        <v>0</v>
      </c>
      <c r="Z130" s="1633">
        <f t="shared" si="45"/>
        <v>0</v>
      </c>
      <c r="AA130" s="1635">
        <f t="shared" si="45"/>
        <v>0</v>
      </c>
      <c r="AB130" s="695"/>
    </row>
    <row r="131" spans="1:28" x14ac:dyDescent="0.45">
      <c r="A131" s="695"/>
      <c r="B131" s="1223" t="str">
        <f>B123</f>
        <v>Political Risk Insurance - Fees &amp; Annual Premium Payments</v>
      </c>
      <c r="C131" s="1224"/>
      <c r="D131" s="1224"/>
      <c r="E131" s="1230"/>
      <c r="F131" s="1230" t="s">
        <v>748</v>
      </c>
      <c r="G131" s="1633"/>
      <c r="H131" s="1633">
        <f t="shared" si="43"/>
        <v>0</v>
      </c>
      <c r="I131" s="1633">
        <f t="shared" si="43"/>
        <v>0</v>
      </c>
      <c r="J131" s="1633">
        <f t="shared" ref="J131:AA131" si="46">-J123</f>
        <v>0</v>
      </c>
      <c r="K131" s="1633">
        <f t="shared" si="46"/>
        <v>0</v>
      </c>
      <c r="L131" s="1633">
        <f t="shared" si="46"/>
        <v>0</v>
      </c>
      <c r="M131" s="1633">
        <f t="shared" si="46"/>
        <v>0</v>
      </c>
      <c r="N131" s="1633">
        <f t="shared" si="46"/>
        <v>0</v>
      </c>
      <c r="O131" s="1633">
        <f t="shared" si="46"/>
        <v>0</v>
      </c>
      <c r="P131" s="1633">
        <f t="shared" si="46"/>
        <v>0</v>
      </c>
      <c r="Q131" s="1633">
        <f t="shared" si="46"/>
        <v>0</v>
      </c>
      <c r="R131" s="1633">
        <f t="shared" si="46"/>
        <v>0</v>
      </c>
      <c r="S131" s="1633">
        <f t="shared" si="46"/>
        <v>0</v>
      </c>
      <c r="T131" s="1633">
        <f t="shared" si="46"/>
        <v>0</v>
      </c>
      <c r="U131" s="1633">
        <f t="shared" si="46"/>
        <v>0</v>
      </c>
      <c r="V131" s="1633">
        <f t="shared" si="46"/>
        <v>0</v>
      </c>
      <c r="W131" s="1633">
        <f t="shared" si="46"/>
        <v>0</v>
      </c>
      <c r="X131" s="1633">
        <f t="shared" si="46"/>
        <v>0</v>
      </c>
      <c r="Y131" s="1633">
        <f t="shared" si="46"/>
        <v>0</v>
      </c>
      <c r="Z131" s="1633">
        <f t="shared" si="46"/>
        <v>0</v>
      </c>
      <c r="AA131" s="1635">
        <f t="shared" si="46"/>
        <v>0</v>
      </c>
      <c r="AB131" s="695"/>
    </row>
    <row r="132" spans="1:28" x14ac:dyDescent="0.45">
      <c r="A132" s="695"/>
      <c r="B132" s="1223" t="s">
        <v>90</v>
      </c>
      <c r="C132" s="1224"/>
      <c r="D132" s="1224"/>
      <c r="E132" s="1230"/>
      <c r="F132" s="1230" t="s">
        <v>748</v>
      </c>
      <c r="G132" s="1633"/>
      <c r="H132" s="1633">
        <f>-(H284+H305+H326)</f>
        <v>-40393538.259297773</v>
      </c>
      <c r="I132" s="1633">
        <f t="shared" ref="I132:AA132" si="47">-(I284+I305+I326)</f>
        <v>-40393538.259297773</v>
      </c>
      <c r="J132" s="1633">
        <f t="shared" si="47"/>
        <v>-40393538.259297773</v>
      </c>
      <c r="K132" s="1633">
        <f t="shared" si="47"/>
        <v>-40393538.259297773</v>
      </c>
      <c r="L132" s="1633">
        <f t="shared" si="47"/>
        <v>-40393538.259297773</v>
      </c>
      <c r="M132" s="1633">
        <f t="shared" si="47"/>
        <v>-40393538.259297773</v>
      </c>
      <c r="N132" s="1633">
        <f t="shared" si="47"/>
        <v>-40393538.259297773</v>
      </c>
      <c r="O132" s="1633">
        <f t="shared" si="47"/>
        <v>-40393538.259297773</v>
      </c>
      <c r="P132" s="1633">
        <f t="shared" si="47"/>
        <v>-40393538.259297773</v>
      </c>
      <c r="Q132" s="1633">
        <f t="shared" si="47"/>
        <v>-40393538.259297773</v>
      </c>
      <c r="R132" s="1633">
        <f t="shared" si="47"/>
        <v>-40393538.259297773</v>
      </c>
      <c r="S132" s="1633">
        <f t="shared" si="47"/>
        <v>-40393538.259297773</v>
      </c>
      <c r="T132" s="1633">
        <f t="shared" si="47"/>
        <v>-8507482.1065850761</v>
      </c>
      <c r="U132" s="1633">
        <f t="shared" si="47"/>
        <v>-8507482.1065850761</v>
      </c>
      <c r="V132" s="1633">
        <f t="shared" si="47"/>
        <v>-8507482.1065850742</v>
      </c>
      <c r="W132" s="1633">
        <f t="shared" si="47"/>
        <v>-8507482.1065850761</v>
      </c>
      <c r="X132" s="1633">
        <f t="shared" si="47"/>
        <v>-8507482.1065850761</v>
      </c>
      <c r="Y132" s="1633">
        <f t="shared" si="47"/>
        <v>-8507482.1065850761</v>
      </c>
      <c r="Z132" s="1633">
        <f t="shared" si="47"/>
        <v>-8507482.1065850761</v>
      </c>
      <c r="AA132" s="1635">
        <f t="shared" si="47"/>
        <v>-8507482.1065850761</v>
      </c>
      <c r="AB132" s="695"/>
    </row>
    <row r="133" spans="1:28" x14ac:dyDescent="0.45">
      <c r="A133" s="695"/>
      <c r="B133" s="1239" t="s">
        <v>91</v>
      </c>
      <c r="C133" s="1235"/>
      <c r="D133" s="1235"/>
      <c r="E133" s="1236"/>
      <c r="F133" s="1236" t="s">
        <v>748</v>
      </c>
      <c r="G133" s="1637"/>
      <c r="H133" s="1637">
        <f>(H114+H116+H121+H122+H123+H118+H119+H120)*'III. Inputs, Renewable Energy'!$U$18</f>
        <v>14756984.853353092</v>
      </c>
      <c r="I133" s="1637">
        <f>(I114+I116+I121+I122+I123+I118+I119+I120)*'III. Inputs, Renewable Energy'!$U$18</f>
        <v>14549722.881108098</v>
      </c>
      <c r="J133" s="1637">
        <f>(J114+J116+J121+J122+J123+J118+J119+J120)*'III. Inputs, Renewable Energy'!$U$18</f>
        <v>14328510.01916741</v>
      </c>
      <c r="K133" s="1637">
        <f>(K114+K116+K121+K122+K123+K118+K119+K120)*'III. Inputs, Renewable Energy'!$U$18</f>
        <v>14092509.43761915</v>
      </c>
      <c r="L133" s="1637">
        <f>(L114+L116+L121+L122+L123+L118+L119+L120)*'III. Inputs, Renewable Energy'!$U$18</f>
        <v>13840835.597317267</v>
      </c>
      <c r="M133" s="1637">
        <f>(M114+M116+M121+M122+M123+M118+M119+M120)*'III. Inputs, Renewable Energy'!$U$18</f>
        <v>13572551.433226492</v>
      </c>
      <c r="N133" s="1637">
        <f>(N114+N116+N121+N122+N123+N118+N119+N120)*'III. Inputs, Renewable Energy'!$U$18</f>
        <v>13286665.374857485</v>
      </c>
      <c r="O133" s="1637">
        <f>(O114+O116+O121+O122+O123+O118+O119+O120)*'III. Inputs, Renewable Energy'!$U$18</f>
        <v>12982128.194352858</v>
      </c>
      <c r="P133" s="1637">
        <f>(P114+P116+P121+P122+P123+P118+P119+P120)*'III. Inputs, Renewable Energy'!$U$18</f>
        <v>12657829.672236763</v>
      </c>
      <c r="Q133" s="1637">
        <f>(Q114+Q116+Q121+Q122+Q123+Q118+Q119+Q120)*'III. Inputs, Renewable Energy'!$U$18</f>
        <v>12312595.070261065</v>
      </c>
      <c r="R133" s="1637">
        <f>(R114+R116+R121+R122+R123+R118+R119+R120)*'III. Inputs, Renewable Energy'!$U$18</f>
        <v>11945181.40016751</v>
      </c>
      <c r="S133" s="1637">
        <f>(S114+S116+S121+S122+S123+S118+S119+S120)*'III. Inputs, Renewable Energy'!$U$18</f>
        <v>11554273.476536218</v>
      </c>
      <c r="T133" s="1637">
        <f>(T114+T116+T121+T122+T123+T118+T119+T120)*'III. Inputs, Renewable Energy'!$U$18</f>
        <v>11138479.741203919</v>
      </c>
      <c r="U133" s="1637">
        <f>(U114+U116+U121+U122+U123+U118+U119+U120)*'III. Inputs, Renewable Energy'!$U$18</f>
        <v>11161379.123752583</v>
      </c>
      <c r="V133" s="1637">
        <f>(V114+V116+V121+V122+V123+V118+V119+V120)*'III. Inputs, Renewable Energy'!$U$18</f>
        <v>11183493.227183318</v>
      </c>
      <c r="W133" s="1637">
        <f>(W114+W116+W121+W122+W123+W118+W119+W120)*'III. Inputs, Renewable Energy'!$U$18</f>
        <v>11204756.615243008</v>
      </c>
      <c r="X133" s="1637">
        <f>(X114+X116+X121+X122+X123+X118+X119+X120)*'III. Inputs, Renewable Energy'!$U$18</f>
        <v>11225100.553726649</v>
      </c>
      <c r="Y133" s="1637">
        <f>(Y114+Y116+Y121+Y122+Y123+Y118+Y119+Y120)*'III. Inputs, Renewable Energy'!$U$18</f>
        <v>11244452.864949228</v>
      </c>
      <c r="Z133" s="1637">
        <f>(Z114+Z116+Z121+Z122+Z123+Z118+Z119+Z120)*'III. Inputs, Renewable Energy'!$U$18</f>
        <v>11262737.776124293</v>
      </c>
      <c r="AA133" s="1638">
        <f>(AA114+AA116+AA121+AA122+AA123+AA118+AA119+AA120)*'III. Inputs, Renewable Energy'!$U$18</f>
        <v>11279875.761400018</v>
      </c>
      <c r="AB133" s="695"/>
    </row>
    <row r="134" spans="1:28" x14ac:dyDescent="0.45">
      <c r="A134" s="695"/>
      <c r="B134" s="1223" t="s">
        <v>92</v>
      </c>
      <c r="C134" s="1224"/>
      <c r="D134" s="1224"/>
      <c r="E134" s="1230"/>
      <c r="F134" s="1230" t="s">
        <v>748</v>
      </c>
      <c r="G134" s="1633">
        <f>-'III. Inputs, Renewable Energy'!$U$14*'III. Inputs, Renewable Energy'!$U$15*'III. Inputs, Renewable Energy'!$V$33</f>
        <v>-146185521.86518484</v>
      </c>
      <c r="H134" s="1633">
        <f>SUM(H128:H133)</f>
        <v>-39050828.405944683</v>
      </c>
      <c r="I134" s="1633">
        <f>SUM(I128:I133)</f>
        <v>-39526375.878189676</v>
      </c>
      <c r="J134" s="1633">
        <f t="shared" ref="J134:AA134" si="48">SUM(J128:J133)</f>
        <v>-40021239.950130366</v>
      </c>
      <c r="K134" s="1633">
        <f t="shared" si="48"/>
        <v>-40536364.765878625</v>
      </c>
      <c r="L134" s="1633">
        <f t="shared" si="48"/>
        <v>-41072745.32506451</v>
      </c>
      <c r="M134" s="1633">
        <f t="shared" si="48"/>
        <v>-41631430.342416957</v>
      </c>
      <c r="N134" s="1633">
        <f t="shared" si="48"/>
        <v>-42213525.271112882</v>
      </c>
      <c r="O134" s="1633">
        <f t="shared" si="48"/>
        <v>-42820195.499350958</v>
      </c>
      <c r="P134" s="1633">
        <f t="shared" si="48"/>
        <v>-43452669.730155177</v>
      </c>
      <c r="Q134" s="1633">
        <f t="shared" si="48"/>
        <v>-44112243.554992765</v>
      </c>
      <c r="R134" s="1633">
        <f t="shared" si="48"/>
        <v>-44800283.232405432</v>
      </c>
      <c r="S134" s="1633">
        <f t="shared" si="48"/>
        <v>-45518229.683502227</v>
      </c>
      <c r="T134" s="1633">
        <f t="shared" si="48"/>
        <v>-14381546.564136647</v>
      </c>
      <c r="U134" s="1633">
        <f t="shared" si="48"/>
        <v>-14698898.065563086</v>
      </c>
      <c r="V134" s="1633">
        <f t="shared" si="48"/>
        <v>-15023839.863786967</v>
      </c>
      <c r="W134" s="1633">
        <f t="shared" si="48"/>
        <v>-15356573.495414974</v>
      </c>
      <c r="X134" s="1633">
        <f t="shared" si="48"/>
        <v>-15697306.517012799</v>
      </c>
      <c r="Y134" s="1633">
        <f t="shared" si="48"/>
        <v>-16046252.70507331</v>
      </c>
      <c r="Z134" s="1633">
        <f t="shared" si="48"/>
        <v>-16403632.263166992</v>
      </c>
      <c r="AA134" s="1635">
        <f t="shared" si="48"/>
        <v>-16769672.036545385</v>
      </c>
      <c r="AB134" s="695"/>
    </row>
    <row r="135" spans="1:28" x14ac:dyDescent="0.45">
      <c r="A135" s="695"/>
      <c r="B135" s="1223"/>
      <c r="C135" s="1224"/>
      <c r="D135" s="1224"/>
      <c r="E135" s="1230"/>
      <c r="F135" s="1224"/>
      <c r="G135" s="1224"/>
      <c r="H135" s="1224"/>
      <c r="I135" s="1224"/>
      <c r="J135" s="1224"/>
      <c r="K135" s="1224"/>
      <c r="L135" s="1224"/>
      <c r="M135" s="1224"/>
      <c r="N135" s="1224"/>
      <c r="O135" s="1224"/>
      <c r="P135" s="1224"/>
      <c r="Q135" s="1224"/>
      <c r="R135" s="1224"/>
      <c r="S135" s="1224"/>
      <c r="T135" s="1224"/>
      <c r="U135" s="1224"/>
      <c r="V135" s="1224"/>
      <c r="W135" s="1224"/>
      <c r="X135" s="1224"/>
      <c r="Y135" s="1224"/>
      <c r="Z135" s="1224"/>
      <c r="AA135" s="1225"/>
      <c r="AB135" s="695"/>
    </row>
    <row r="136" spans="1:28" x14ac:dyDescent="0.45">
      <c r="A136" s="695"/>
      <c r="B136" s="1223" t="s">
        <v>93</v>
      </c>
      <c r="C136" s="1224"/>
      <c r="D136" s="1224"/>
      <c r="E136" s="1230"/>
      <c r="F136" s="1224"/>
      <c r="G136" s="1231">
        <f>SUM('III. Inputs, Renewable Energy'!$V$41)</f>
        <v>0.12994976297665545</v>
      </c>
      <c r="H136" s="1224"/>
      <c r="I136" s="1224"/>
      <c r="J136" s="1224"/>
      <c r="K136" s="1224"/>
      <c r="L136" s="1224"/>
      <c r="M136" s="1224"/>
      <c r="N136" s="1224"/>
      <c r="O136" s="1224"/>
      <c r="P136" s="1224"/>
      <c r="Q136" s="1224"/>
      <c r="R136" s="1224"/>
      <c r="S136" s="1224"/>
      <c r="T136" s="1224"/>
      <c r="U136" s="1224"/>
      <c r="V136" s="1224"/>
      <c r="W136" s="1224"/>
      <c r="X136" s="1224"/>
      <c r="Y136" s="1224"/>
      <c r="Z136" s="1224"/>
      <c r="AA136" s="1225"/>
      <c r="AB136" s="695"/>
    </row>
    <row r="137" spans="1:28" x14ac:dyDescent="0.45">
      <c r="A137" s="695"/>
      <c r="B137" s="1223" t="s">
        <v>94</v>
      </c>
      <c r="C137" s="1224"/>
      <c r="D137" s="1224"/>
      <c r="E137" s="1230"/>
      <c r="F137" s="1224"/>
      <c r="G137" s="1633">
        <f>NPV(G136,H134:AA134)+G134</f>
        <v>-407320645.26837623</v>
      </c>
      <c r="H137" s="1224"/>
      <c r="I137" s="1224"/>
      <c r="J137" s="1224"/>
      <c r="K137" s="1224"/>
      <c r="L137" s="1224"/>
      <c r="M137" s="1224"/>
      <c r="N137" s="1224"/>
      <c r="O137" s="1224"/>
      <c r="P137" s="1224"/>
      <c r="Q137" s="1224"/>
      <c r="R137" s="1224"/>
      <c r="S137" s="1224"/>
      <c r="T137" s="1224"/>
      <c r="U137" s="1224"/>
      <c r="V137" s="1224"/>
      <c r="W137" s="1224"/>
      <c r="X137" s="1224"/>
      <c r="Y137" s="1224"/>
      <c r="Z137" s="1224"/>
      <c r="AA137" s="1225"/>
      <c r="AB137" s="695"/>
    </row>
    <row r="138" spans="1:28" ht="17.25" customHeight="1" x14ac:dyDescent="0.45">
      <c r="A138" s="695"/>
      <c r="B138" s="1223" t="s">
        <v>95</v>
      </c>
      <c r="C138" s="1224"/>
      <c r="D138" s="1224"/>
      <c r="E138" s="1230"/>
      <c r="F138" s="1224"/>
      <c r="G138" s="1233">
        <f>-NPV($G$136,H110:AA110)</f>
        <v>-9664815.0736720432</v>
      </c>
      <c r="H138" s="1224"/>
      <c r="I138" s="1224"/>
      <c r="J138" s="1224"/>
      <c r="K138" s="1224"/>
      <c r="L138" s="1224"/>
      <c r="M138" s="1224"/>
      <c r="N138" s="1224"/>
      <c r="O138" s="1224"/>
      <c r="P138" s="1224"/>
      <c r="Q138" s="1224"/>
      <c r="R138" s="1224"/>
      <c r="S138" s="1224"/>
      <c r="T138" s="1224"/>
      <c r="U138" s="1224"/>
      <c r="V138" s="1224"/>
      <c r="W138" s="1224"/>
      <c r="X138" s="1224"/>
      <c r="Y138" s="1224"/>
      <c r="Z138" s="1224"/>
      <c r="AA138" s="1225"/>
      <c r="AB138" s="695"/>
    </row>
    <row r="139" spans="1:28" ht="17.25" customHeight="1" thickBot="1" x14ac:dyDescent="0.5">
      <c r="A139" s="695"/>
      <c r="B139" s="1223" t="s">
        <v>96</v>
      </c>
      <c r="C139" s="1224"/>
      <c r="D139" s="1224"/>
      <c r="E139" s="1230"/>
      <c r="F139" s="1230" t="s">
        <v>749</v>
      </c>
      <c r="G139" s="1801">
        <f>IF(OR(G137=0, G138=0), 0, G137/G138)</f>
        <v>42.144691043076428</v>
      </c>
      <c r="H139" s="1224"/>
      <c r="I139" s="1224"/>
      <c r="J139" s="1224"/>
      <c r="K139" s="1224"/>
      <c r="L139" s="1224"/>
      <c r="M139" s="1224"/>
      <c r="N139" s="1224"/>
      <c r="O139" s="1224"/>
      <c r="P139" s="1224"/>
      <c r="Q139" s="1224"/>
      <c r="R139" s="1224"/>
      <c r="S139" s="1224"/>
      <c r="T139" s="1224"/>
      <c r="U139" s="1224"/>
      <c r="V139" s="1224"/>
      <c r="W139" s="1224"/>
      <c r="X139" s="1224"/>
      <c r="Y139" s="1224"/>
      <c r="Z139" s="1224"/>
      <c r="AA139" s="1225"/>
      <c r="AB139" s="695"/>
    </row>
    <row r="140" spans="1:28" ht="17.25" customHeight="1" thickBot="1" x14ac:dyDescent="0.5">
      <c r="A140" s="695"/>
      <c r="B140" s="1240" t="s">
        <v>97</v>
      </c>
      <c r="C140" s="1241"/>
      <c r="D140" s="1241"/>
      <c r="E140" s="1242"/>
      <c r="F140" s="1242" t="s">
        <v>749</v>
      </c>
      <c r="G140" s="1802">
        <f>$G$139/(1-'III. Inputs, Renewable Energy'!$U$18)</f>
        <v>56.192921390768568</v>
      </c>
      <c r="H140" s="1224"/>
      <c r="I140" s="1224"/>
      <c r="J140" s="1224"/>
      <c r="K140" s="1224"/>
      <c r="L140" s="1224"/>
      <c r="M140" s="1224"/>
      <c r="N140" s="1224"/>
      <c r="O140" s="1224"/>
      <c r="P140" s="1224"/>
      <c r="Q140" s="1224"/>
      <c r="R140" s="1224"/>
      <c r="S140" s="1224"/>
      <c r="T140" s="1224"/>
      <c r="U140" s="1224"/>
      <c r="V140" s="1224"/>
      <c r="W140" s="1224"/>
      <c r="X140" s="1224"/>
      <c r="Y140" s="1224"/>
      <c r="Z140" s="1224"/>
      <c r="AA140" s="1225"/>
      <c r="AB140" s="695"/>
    </row>
    <row r="141" spans="1:28" ht="17.25" customHeight="1" thickBot="1" x14ac:dyDescent="0.5">
      <c r="A141" s="695"/>
      <c r="B141" s="1243"/>
      <c r="C141" s="1244"/>
      <c r="D141" s="1244"/>
      <c r="E141" s="1245"/>
      <c r="F141" s="1245"/>
      <c r="G141" s="1803"/>
      <c r="H141" s="1246"/>
      <c r="I141" s="1246"/>
      <c r="J141" s="1246"/>
      <c r="K141" s="1246"/>
      <c r="L141" s="1246"/>
      <c r="M141" s="1246"/>
      <c r="N141" s="1246"/>
      <c r="O141" s="1246"/>
      <c r="P141" s="1246"/>
      <c r="Q141" s="1246"/>
      <c r="R141" s="1246"/>
      <c r="S141" s="1246"/>
      <c r="T141" s="1246"/>
      <c r="U141" s="1246"/>
      <c r="V141" s="1246"/>
      <c r="W141" s="1246"/>
      <c r="X141" s="1246"/>
      <c r="Y141" s="1246"/>
      <c r="Z141" s="1246"/>
      <c r="AA141" s="1247"/>
      <c r="AB141" s="695"/>
    </row>
    <row r="142" spans="1:28" ht="17.25" customHeight="1" thickBot="1" x14ac:dyDescent="0.5">
      <c r="A142" s="695"/>
      <c r="B142" s="695"/>
      <c r="C142" s="695"/>
      <c r="D142" s="695"/>
      <c r="E142" s="695"/>
      <c r="F142" s="695"/>
      <c r="G142" s="695"/>
      <c r="H142" s="695"/>
      <c r="I142" s="695"/>
      <c r="J142" s="695"/>
      <c r="K142" s="695"/>
      <c r="L142" s="695"/>
      <c r="M142" s="695"/>
      <c r="N142" s="695"/>
      <c r="O142" s="695"/>
      <c r="P142" s="695"/>
      <c r="Q142" s="695"/>
      <c r="R142" s="695"/>
      <c r="S142" s="695"/>
      <c r="T142" s="695"/>
      <c r="U142" s="695"/>
      <c r="V142" s="695"/>
      <c r="W142" s="695"/>
      <c r="X142" s="695"/>
      <c r="Y142" s="695"/>
      <c r="Z142" s="695"/>
      <c r="AA142" s="695"/>
      <c r="AB142" s="695"/>
    </row>
    <row r="143" spans="1:28" ht="10.5" customHeight="1" outlineLevel="1" x14ac:dyDescent="0.45">
      <c r="A143" s="695"/>
      <c r="B143" s="1248"/>
      <c r="C143" s="1221"/>
      <c r="D143" s="1221"/>
      <c r="E143" s="1221"/>
      <c r="F143" s="1221"/>
      <c r="G143" s="1221"/>
      <c r="H143" s="1221"/>
      <c r="I143" s="1221"/>
      <c r="J143" s="1221"/>
      <c r="K143" s="1221"/>
      <c r="L143" s="1221"/>
      <c r="M143" s="1221"/>
      <c r="N143" s="1221"/>
      <c r="O143" s="1221"/>
      <c r="P143" s="1221"/>
      <c r="Q143" s="1221"/>
      <c r="R143" s="1221"/>
      <c r="S143" s="1221"/>
      <c r="T143" s="1221"/>
      <c r="U143" s="1221"/>
      <c r="V143" s="1221"/>
      <c r="W143" s="1221"/>
      <c r="X143" s="1221"/>
      <c r="Y143" s="1221"/>
      <c r="Z143" s="1221"/>
      <c r="AA143" s="1222"/>
      <c r="AB143" s="695"/>
    </row>
    <row r="144" spans="1:28" ht="17.25" customHeight="1" outlineLevel="1" x14ac:dyDescent="0.45">
      <c r="A144" s="695"/>
      <c r="B144" s="1238" t="s">
        <v>98</v>
      </c>
      <c r="C144" s="1224"/>
      <c r="D144" s="1224"/>
      <c r="E144" s="1224"/>
      <c r="F144" s="1224"/>
      <c r="G144" s="1224"/>
      <c r="H144" s="1224"/>
      <c r="I144" s="1224"/>
      <c r="J144" s="1224"/>
      <c r="K144" s="1224"/>
      <c r="L144" s="1224"/>
      <c r="M144" s="1224"/>
      <c r="N144" s="1224"/>
      <c r="O144" s="1224"/>
      <c r="P144" s="1224"/>
      <c r="Q144" s="1224"/>
      <c r="R144" s="1224"/>
      <c r="S144" s="1224"/>
      <c r="T144" s="1224"/>
      <c r="U144" s="1224"/>
      <c r="V144" s="1224"/>
      <c r="W144" s="1224"/>
      <c r="X144" s="1224"/>
      <c r="Y144" s="1224"/>
      <c r="Z144" s="1224"/>
      <c r="AA144" s="1225"/>
      <c r="AB144" s="695"/>
    </row>
    <row r="145" spans="1:28" ht="6.75" customHeight="1" outlineLevel="1" x14ac:dyDescent="0.45">
      <c r="A145" s="695"/>
      <c r="B145" s="1223"/>
      <c r="C145" s="1224"/>
      <c r="D145" s="1224"/>
      <c r="E145" s="1230"/>
      <c r="F145" s="1224"/>
      <c r="G145" s="1224"/>
      <c r="H145" s="1224"/>
      <c r="I145" s="1224"/>
      <c r="J145" s="1224"/>
      <c r="K145" s="1224"/>
      <c r="L145" s="1224"/>
      <c r="M145" s="1224"/>
      <c r="N145" s="1224"/>
      <c r="O145" s="1224"/>
      <c r="P145" s="1224"/>
      <c r="Q145" s="1224"/>
      <c r="R145" s="1224"/>
      <c r="S145" s="1224"/>
      <c r="T145" s="1224"/>
      <c r="U145" s="1224"/>
      <c r="V145" s="1224"/>
      <c r="W145" s="1224"/>
      <c r="X145" s="1224"/>
      <c r="Y145" s="1224"/>
      <c r="Z145" s="1224"/>
      <c r="AA145" s="1225"/>
      <c r="AB145" s="695"/>
    </row>
    <row r="146" spans="1:28" ht="17.25" customHeight="1" outlineLevel="1" x14ac:dyDescent="0.45">
      <c r="A146" s="695"/>
      <c r="B146" s="1226" t="s">
        <v>51</v>
      </c>
      <c r="C146" s="1227"/>
      <c r="D146" s="1227"/>
      <c r="E146" s="1228"/>
      <c r="F146" s="1227"/>
      <c r="G146" s="1228">
        <f>G106</f>
        <v>0</v>
      </c>
      <c r="H146" s="1228">
        <f t="shared" ref="H146:AA146" si="49">H106</f>
        <v>1</v>
      </c>
      <c r="I146" s="1228">
        <f t="shared" si="49"/>
        <v>2</v>
      </c>
      <c r="J146" s="1228">
        <f t="shared" si="49"/>
        <v>3</v>
      </c>
      <c r="K146" s="1228">
        <f t="shared" si="49"/>
        <v>4</v>
      </c>
      <c r="L146" s="1228">
        <f t="shared" si="49"/>
        <v>5</v>
      </c>
      <c r="M146" s="1228">
        <f t="shared" si="49"/>
        <v>6</v>
      </c>
      <c r="N146" s="1228">
        <f t="shared" si="49"/>
        <v>7</v>
      </c>
      <c r="O146" s="1228">
        <f t="shared" si="49"/>
        <v>8</v>
      </c>
      <c r="P146" s="1228">
        <f t="shared" si="49"/>
        <v>9</v>
      </c>
      <c r="Q146" s="1228">
        <f t="shared" si="49"/>
        <v>10</v>
      </c>
      <c r="R146" s="1228">
        <f t="shared" si="49"/>
        <v>11</v>
      </c>
      <c r="S146" s="1228">
        <f t="shared" si="49"/>
        <v>12</v>
      </c>
      <c r="T146" s="1228">
        <f t="shared" si="49"/>
        <v>13</v>
      </c>
      <c r="U146" s="1228">
        <f t="shared" si="49"/>
        <v>14</v>
      </c>
      <c r="V146" s="1228">
        <f t="shared" si="49"/>
        <v>15</v>
      </c>
      <c r="W146" s="1228">
        <f t="shared" si="49"/>
        <v>16</v>
      </c>
      <c r="X146" s="1228">
        <f t="shared" si="49"/>
        <v>17</v>
      </c>
      <c r="Y146" s="1228">
        <f t="shared" si="49"/>
        <v>18</v>
      </c>
      <c r="Z146" s="1228">
        <f t="shared" si="49"/>
        <v>19</v>
      </c>
      <c r="AA146" s="1229">
        <f t="shared" si="49"/>
        <v>20</v>
      </c>
      <c r="AB146" s="695"/>
    </row>
    <row r="147" spans="1:28" ht="17.25" customHeight="1" outlineLevel="1" x14ac:dyDescent="0.45">
      <c r="A147" s="695"/>
      <c r="B147" s="1223"/>
      <c r="C147" s="1224"/>
      <c r="D147" s="1224"/>
      <c r="E147" s="1230"/>
      <c r="F147" s="1224"/>
      <c r="G147" s="1230"/>
      <c r="H147" s="1230"/>
      <c r="I147" s="1224"/>
      <c r="J147" s="1224"/>
      <c r="K147" s="1224"/>
      <c r="L147" s="1224"/>
      <c r="M147" s="1224"/>
      <c r="N147" s="1224"/>
      <c r="O147" s="1224"/>
      <c r="P147" s="1224"/>
      <c r="Q147" s="1224"/>
      <c r="R147" s="1224"/>
      <c r="S147" s="1224"/>
      <c r="T147" s="1224"/>
      <c r="U147" s="1224"/>
      <c r="V147" s="1224"/>
      <c r="W147" s="1224"/>
      <c r="X147" s="1224"/>
      <c r="Y147" s="1224"/>
      <c r="Z147" s="1224"/>
      <c r="AA147" s="1225"/>
      <c r="AB147" s="695"/>
    </row>
    <row r="148" spans="1:28" ht="17.25" customHeight="1" outlineLevel="1" x14ac:dyDescent="0.45">
      <c r="A148" s="695"/>
      <c r="B148" s="1223" t="s">
        <v>85</v>
      </c>
      <c r="C148" s="1224"/>
      <c r="D148" s="1224"/>
      <c r="E148" s="1230"/>
      <c r="F148" s="1230" t="s">
        <v>86</v>
      </c>
      <c r="G148" s="1230"/>
      <c r="H148" s="1249">
        <f>H110</f>
        <v>1415484.8190000001</v>
      </c>
      <c r="I148" s="1249">
        <f t="shared" ref="I148:AA148" si="50">I110</f>
        <v>1408407.3949050002</v>
      </c>
      <c r="J148" s="1249">
        <f t="shared" si="50"/>
        <v>1401365.3579304751</v>
      </c>
      <c r="K148" s="1249">
        <f t="shared" si="50"/>
        <v>1394358.5311408229</v>
      </c>
      <c r="L148" s="1249">
        <f t="shared" si="50"/>
        <v>1387386.7384851188</v>
      </c>
      <c r="M148" s="1249">
        <f t="shared" si="50"/>
        <v>1380449.8047926931</v>
      </c>
      <c r="N148" s="1249">
        <f t="shared" si="50"/>
        <v>1373547.5557687299</v>
      </c>
      <c r="O148" s="1249">
        <f t="shared" si="50"/>
        <v>1366679.817989886</v>
      </c>
      <c r="P148" s="1249">
        <f t="shared" si="50"/>
        <v>1359846.4188999366</v>
      </c>
      <c r="Q148" s="1249">
        <f t="shared" si="50"/>
        <v>1353047.1868054369</v>
      </c>
      <c r="R148" s="1249">
        <f t="shared" si="50"/>
        <v>1346281.9508714096</v>
      </c>
      <c r="S148" s="1249">
        <f t="shared" si="50"/>
        <v>1339550.5411170525</v>
      </c>
      <c r="T148" s="1249">
        <f t="shared" si="50"/>
        <v>1332852.7884114676</v>
      </c>
      <c r="U148" s="1249">
        <f t="shared" si="50"/>
        <v>1326188.5244694103</v>
      </c>
      <c r="V148" s="1249">
        <f t="shared" si="50"/>
        <v>1319557.5818470633</v>
      </c>
      <c r="W148" s="1249">
        <f t="shared" si="50"/>
        <v>1312959.7939378279</v>
      </c>
      <c r="X148" s="1249">
        <f t="shared" si="50"/>
        <v>1306394.9949681386</v>
      </c>
      <c r="Y148" s="1249">
        <f t="shared" si="50"/>
        <v>1299863.019993298</v>
      </c>
      <c r="Z148" s="1249">
        <f t="shared" si="50"/>
        <v>1293363.7048933315</v>
      </c>
      <c r="AA148" s="1250">
        <f t="shared" si="50"/>
        <v>1286896.8863688649</v>
      </c>
      <c r="AB148" s="695"/>
    </row>
    <row r="149" spans="1:28" ht="17.25" customHeight="1" outlineLevel="1" x14ac:dyDescent="0.45">
      <c r="A149" s="695"/>
      <c r="B149" s="1223"/>
      <c r="C149" s="1224"/>
      <c r="D149" s="1224"/>
      <c r="E149" s="1230"/>
      <c r="F149" s="1230"/>
      <c r="G149" s="1230"/>
      <c r="H149" s="1224"/>
      <c r="I149" s="1224"/>
      <c r="J149" s="1224"/>
      <c r="K149" s="1224"/>
      <c r="L149" s="1224"/>
      <c r="M149" s="1224"/>
      <c r="N149" s="1224"/>
      <c r="O149" s="1224"/>
      <c r="P149" s="1224"/>
      <c r="Q149" s="1224"/>
      <c r="R149" s="1224"/>
      <c r="S149" s="1224"/>
      <c r="T149" s="1224"/>
      <c r="U149" s="1224"/>
      <c r="V149" s="1224"/>
      <c r="W149" s="1224"/>
      <c r="X149" s="1224"/>
      <c r="Y149" s="1224"/>
      <c r="Z149" s="1224"/>
      <c r="AA149" s="1225"/>
      <c r="AB149" s="695"/>
    </row>
    <row r="150" spans="1:28" ht="17.25" customHeight="1" outlineLevel="1" x14ac:dyDescent="0.45">
      <c r="A150" s="695"/>
      <c r="B150" s="1223" t="s">
        <v>99</v>
      </c>
      <c r="C150" s="1224"/>
      <c r="D150" s="1224"/>
      <c r="E150" s="1230"/>
      <c r="F150" s="1230" t="s">
        <v>749</v>
      </c>
      <c r="G150" s="1251"/>
      <c r="H150" s="1801">
        <f>$G$140</f>
        <v>56.192921390768568</v>
      </c>
      <c r="I150" s="1801">
        <f t="shared" ref="I150:AA150" si="51">$G$140</f>
        <v>56.192921390768568</v>
      </c>
      <c r="J150" s="1801">
        <f t="shared" si="51"/>
        <v>56.192921390768568</v>
      </c>
      <c r="K150" s="1801">
        <f t="shared" si="51"/>
        <v>56.192921390768568</v>
      </c>
      <c r="L150" s="1801">
        <f t="shared" si="51"/>
        <v>56.192921390768568</v>
      </c>
      <c r="M150" s="1801">
        <f t="shared" si="51"/>
        <v>56.192921390768568</v>
      </c>
      <c r="N150" s="1801">
        <f t="shared" si="51"/>
        <v>56.192921390768568</v>
      </c>
      <c r="O150" s="1801">
        <f t="shared" si="51"/>
        <v>56.192921390768568</v>
      </c>
      <c r="P150" s="1801">
        <f t="shared" si="51"/>
        <v>56.192921390768568</v>
      </c>
      <c r="Q150" s="1801">
        <f t="shared" si="51"/>
        <v>56.192921390768568</v>
      </c>
      <c r="R150" s="1801">
        <f t="shared" si="51"/>
        <v>56.192921390768568</v>
      </c>
      <c r="S150" s="1801">
        <f t="shared" si="51"/>
        <v>56.192921390768568</v>
      </c>
      <c r="T150" s="1801">
        <f t="shared" si="51"/>
        <v>56.192921390768568</v>
      </c>
      <c r="U150" s="1801">
        <f t="shared" si="51"/>
        <v>56.192921390768568</v>
      </c>
      <c r="V150" s="1801">
        <f t="shared" si="51"/>
        <v>56.192921390768568</v>
      </c>
      <c r="W150" s="1801">
        <f t="shared" si="51"/>
        <v>56.192921390768568</v>
      </c>
      <c r="X150" s="1801">
        <f t="shared" si="51"/>
        <v>56.192921390768568</v>
      </c>
      <c r="Y150" s="1801">
        <f t="shared" si="51"/>
        <v>56.192921390768568</v>
      </c>
      <c r="Z150" s="1801">
        <f t="shared" si="51"/>
        <v>56.192921390768568</v>
      </c>
      <c r="AA150" s="1804">
        <f t="shared" si="51"/>
        <v>56.192921390768568</v>
      </c>
      <c r="AB150" s="1168"/>
    </row>
    <row r="151" spans="1:28" ht="17.25" customHeight="1" outlineLevel="1" x14ac:dyDescent="0.45">
      <c r="A151" s="695"/>
      <c r="B151" s="1239"/>
      <c r="C151" s="1235"/>
      <c r="D151" s="1235"/>
      <c r="E151" s="1236"/>
      <c r="F151" s="1236"/>
      <c r="G151" s="1252"/>
      <c r="H151" s="1805"/>
      <c r="I151" s="1805"/>
      <c r="J151" s="1805"/>
      <c r="K151" s="1805"/>
      <c r="L151" s="1805"/>
      <c r="M151" s="1805"/>
      <c r="N151" s="1805"/>
      <c r="O151" s="1805"/>
      <c r="P151" s="1805"/>
      <c r="Q151" s="1805"/>
      <c r="R151" s="1805"/>
      <c r="S151" s="1805"/>
      <c r="T151" s="1805"/>
      <c r="U151" s="1805"/>
      <c r="V151" s="1805"/>
      <c r="W151" s="1805"/>
      <c r="X151" s="1805"/>
      <c r="Y151" s="1805"/>
      <c r="Z151" s="1805"/>
      <c r="AA151" s="1806"/>
      <c r="AB151" s="1168"/>
    </row>
    <row r="152" spans="1:28" ht="17.25" customHeight="1" outlineLevel="1" x14ac:dyDescent="0.45">
      <c r="A152" s="695"/>
      <c r="B152" s="1223" t="s">
        <v>100</v>
      </c>
      <c r="C152" s="1224"/>
      <c r="D152" s="1224"/>
      <c r="E152" s="1230"/>
      <c r="F152" s="1230" t="s">
        <v>748</v>
      </c>
      <c r="G152" s="1251"/>
      <c r="H152" s="1633">
        <f>H148*H150</f>
        <v>79540227.163893282</v>
      </c>
      <c r="I152" s="1633">
        <f t="shared" ref="I152:AA152" si="52">I148*I150</f>
        <v>79142526.028073817</v>
      </c>
      <c r="J152" s="1633">
        <f t="shared" si="52"/>
        <v>78746813.397933453</v>
      </c>
      <c r="K152" s="1633">
        <f t="shared" si="52"/>
        <v>78353079.330943793</v>
      </c>
      <c r="L152" s="1633">
        <f t="shared" si="52"/>
        <v>77961313.934289068</v>
      </c>
      <c r="M152" s="1633">
        <f t="shared" si="52"/>
        <v>77571507.364617616</v>
      </c>
      <c r="N152" s="1633">
        <f t="shared" si="52"/>
        <v>77183649.827794537</v>
      </c>
      <c r="O152" s="1633">
        <f t="shared" si="52"/>
        <v>76797731.578655556</v>
      </c>
      <c r="P152" s="1633">
        <f t="shared" si="52"/>
        <v>76413742.920762286</v>
      </c>
      <c r="Q152" s="1633">
        <f t="shared" si="52"/>
        <v>76031674.206158474</v>
      </c>
      <c r="R152" s="1633">
        <f t="shared" si="52"/>
        <v>75651515.835127667</v>
      </c>
      <c r="S152" s="1633">
        <f t="shared" si="52"/>
        <v>75273258.25595203</v>
      </c>
      <c r="T152" s="1633">
        <f t="shared" si="52"/>
        <v>74896891.964672282</v>
      </c>
      <c r="U152" s="1633">
        <f t="shared" si="52"/>
        <v>74522407.504848927</v>
      </c>
      <c r="V152" s="1633">
        <f t="shared" si="52"/>
        <v>74149795.467324689</v>
      </c>
      <c r="W152" s="1633">
        <f t="shared" si="52"/>
        <v>73779046.489988059</v>
      </c>
      <c r="X152" s="1633">
        <f t="shared" si="52"/>
        <v>73410151.25753811</v>
      </c>
      <c r="Y152" s="1633">
        <f t="shared" si="52"/>
        <v>73043100.501250431</v>
      </c>
      <c r="Z152" s="1633">
        <f t="shared" si="52"/>
        <v>72677884.998744175</v>
      </c>
      <c r="AA152" s="1635">
        <f t="shared" si="52"/>
        <v>72314495.573750451</v>
      </c>
      <c r="AB152" s="1168"/>
    </row>
    <row r="153" spans="1:28" ht="6.75" customHeight="1" outlineLevel="1" x14ac:dyDescent="0.45">
      <c r="A153" s="695"/>
      <c r="B153" s="1223"/>
      <c r="C153" s="1224"/>
      <c r="D153" s="1224"/>
      <c r="E153" s="1230"/>
      <c r="F153" s="1230"/>
      <c r="G153" s="1251"/>
      <c r="H153" s="1633"/>
      <c r="I153" s="1633"/>
      <c r="J153" s="1633"/>
      <c r="K153" s="1633"/>
      <c r="L153" s="1633"/>
      <c r="M153" s="1633"/>
      <c r="N153" s="1633"/>
      <c r="O153" s="1633"/>
      <c r="P153" s="1633"/>
      <c r="Q153" s="1633"/>
      <c r="R153" s="1633"/>
      <c r="S153" s="1633"/>
      <c r="T153" s="1633"/>
      <c r="U153" s="1633"/>
      <c r="V153" s="1633"/>
      <c r="W153" s="1633"/>
      <c r="X153" s="1633"/>
      <c r="Y153" s="1633"/>
      <c r="Z153" s="1633"/>
      <c r="AA153" s="1635"/>
      <c r="AB153" s="1168"/>
    </row>
    <row r="154" spans="1:28" ht="17.25" customHeight="1" outlineLevel="1" x14ac:dyDescent="0.45">
      <c r="A154" s="695"/>
      <c r="B154" s="1223" t="s">
        <v>101</v>
      </c>
      <c r="C154" s="1224"/>
      <c r="D154" s="1224"/>
      <c r="E154" s="1230"/>
      <c r="F154" s="1230" t="s">
        <v>748</v>
      </c>
      <c r="G154" s="1251"/>
      <c r="H154" s="1633">
        <f>-H114</f>
        <v>-13414275</v>
      </c>
      <c r="I154" s="1633">
        <f t="shared" ref="I154:AA154" si="53">-I114</f>
        <v>-13682560.5</v>
      </c>
      <c r="J154" s="1633">
        <f t="shared" si="53"/>
        <v>-13956211.709999999</v>
      </c>
      <c r="K154" s="1633">
        <f t="shared" si="53"/>
        <v>-14235335.9442</v>
      </c>
      <c r="L154" s="1633">
        <f t="shared" si="53"/>
        <v>-14520042.663084</v>
      </c>
      <c r="M154" s="1633">
        <f t="shared" si="53"/>
        <v>-14810443.51634568</v>
      </c>
      <c r="N154" s="1633">
        <f t="shared" si="53"/>
        <v>-15106652.386672594</v>
      </c>
      <c r="O154" s="1633">
        <f t="shared" si="53"/>
        <v>-15408785.434406042</v>
      </c>
      <c r="P154" s="1633">
        <f t="shared" si="53"/>
        <v>-15716961.143094165</v>
      </c>
      <c r="Q154" s="1633">
        <f t="shared" si="53"/>
        <v>-16031300.365956049</v>
      </c>
      <c r="R154" s="1633">
        <f t="shared" si="53"/>
        <v>-16351926.37327517</v>
      </c>
      <c r="S154" s="1633">
        <f t="shared" si="53"/>
        <v>-16678964.90074067</v>
      </c>
      <c r="T154" s="1633">
        <f t="shared" si="53"/>
        <v>-17012544.198755488</v>
      </c>
      <c r="U154" s="1633">
        <f t="shared" si="53"/>
        <v>-17352795.082730595</v>
      </c>
      <c r="V154" s="1633">
        <f t="shared" si="53"/>
        <v>-17699850.984385211</v>
      </c>
      <c r="W154" s="1633">
        <f t="shared" si="53"/>
        <v>-18053848.004072908</v>
      </c>
      <c r="X154" s="1633">
        <f t="shared" si="53"/>
        <v>-18414924.96415437</v>
      </c>
      <c r="Y154" s="1633">
        <f t="shared" si="53"/>
        <v>-18783223.46343746</v>
      </c>
      <c r="Z154" s="1633">
        <f t="shared" si="53"/>
        <v>-19158887.932706207</v>
      </c>
      <c r="AA154" s="1635">
        <f t="shared" si="53"/>
        <v>-19542065.691360328</v>
      </c>
      <c r="AB154" s="1168"/>
    </row>
    <row r="155" spans="1:28" ht="4.5" customHeight="1" outlineLevel="1" x14ac:dyDescent="0.45">
      <c r="A155" s="695"/>
      <c r="B155" s="1223"/>
      <c r="C155" s="1224"/>
      <c r="D155" s="1224"/>
      <c r="E155" s="1230"/>
      <c r="F155" s="1230"/>
      <c r="G155" s="1251"/>
      <c r="H155" s="1633"/>
      <c r="I155" s="1633"/>
      <c r="J155" s="1633"/>
      <c r="K155" s="1633"/>
      <c r="L155" s="1633"/>
      <c r="M155" s="1633"/>
      <c r="N155" s="1633"/>
      <c r="O155" s="1633"/>
      <c r="P155" s="1633"/>
      <c r="Q155" s="1633"/>
      <c r="R155" s="1633"/>
      <c r="S155" s="1633"/>
      <c r="T155" s="1633"/>
      <c r="U155" s="1633"/>
      <c r="V155" s="1633"/>
      <c r="W155" s="1633"/>
      <c r="X155" s="1633"/>
      <c r="Y155" s="1633"/>
      <c r="Z155" s="1633"/>
      <c r="AA155" s="1635"/>
      <c r="AB155" s="1168"/>
    </row>
    <row r="156" spans="1:28" ht="17.25" customHeight="1" outlineLevel="1" x14ac:dyDescent="0.45">
      <c r="A156" s="695"/>
      <c r="B156" s="1238" t="s">
        <v>102</v>
      </c>
      <c r="C156" s="1253"/>
      <c r="D156" s="1253"/>
      <c r="E156" s="1254"/>
      <c r="F156" s="1254"/>
      <c r="G156" s="1255"/>
      <c r="H156" s="1639">
        <f>H152+H154</f>
        <v>66125952.163893282</v>
      </c>
      <c r="I156" s="1639">
        <f t="shared" ref="I156:AA156" si="54">I152+I154</f>
        <v>65459965.528073817</v>
      </c>
      <c r="J156" s="1639">
        <f t="shared" si="54"/>
        <v>64790601.687933452</v>
      </c>
      <c r="K156" s="1639">
        <f t="shared" si="54"/>
        <v>64117743.386743791</v>
      </c>
      <c r="L156" s="1639">
        <f t="shared" si="54"/>
        <v>63441271.271205068</v>
      </c>
      <c r="M156" s="1639">
        <f t="shared" si="54"/>
        <v>62761063.848271936</v>
      </c>
      <c r="N156" s="1639">
        <f t="shared" si="54"/>
        <v>62076997.441121943</v>
      </c>
      <c r="O156" s="1639">
        <f t="shared" si="54"/>
        <v>61388946.144249514</v>
      </c>
      <c r="P156" s="1639">
        <f t="shared" si="54"/>
        <v>60696781.777668118</v>
      </c>
      <c r="Q156" s="1639">
        <f t="shared" si="54"/>
        <v>60000373.840202421</v>
      </c>
      <c r="R156" s="1639">
        <f t="shared" si="54"/>
        <v>59299589.461852498</v>
      </c>
      <c r="S156" s="1639">
        <f t="shared" si="54"/>
        <v>58594293.355211362</v>
      </c>
      <c r="T156" s="1639">
        <f t="shared" si="54"/>
        <v>57884347.765916795</v>
      </c>
      <c r="U156" s="1639">
        <f t="shared" si="54"/>
        <v>57169612.422118336</v>
      </c>
      <c r="V156" s="1639">
        <f t="shared" si="54"/>
        <v>56449944.482939482</v>
      </c>
      <c r="W156" s="1639">
        <f t="shared" si="54"/>
        <v>55725198.485915154</v>
      </c>
      <c r="X156" s="1639">
        <f t="shared" si="54"/>
        <v>54995226.29338374</v>
      </c>
      <c r="Y156" s="1639">
        <f t="shared" si="54"/>
        <v>54259877.037812971</v>
      </c>
      <c r="Z156" s="1639">
        <f t="shared" si="54"/>
        <v>53518997.066037968</v>
      </c>
      <c r="AA156" s="1640">
        <f t="shared" si="54"/>
        <v>52772429.882390127</v>
      </c>
      <c r="AB156" s="1168"/>
    </row>
    <row r="157" spans="1:28" ht="7.5" customHeight="1" outlineLevel="1" x14ac:dyDescent="0.45">
      <c r="A157" s="695"/>
      <c r="B157" s="1223"/>
      <c r="C157" s="1224"/>
      <c r="D157" s="1224"/>
      <c r="E157" s="1230"/>
      <c r="F157" s="1230"/>
      <c r="G157" s="1251"/>
      <c r="H157" s="1633"/>
      <c r="I157" s="1633"/>
      <c r="J157" s="1633"/>
      <c r="K157" s="1633"/>
      <c r="L157" s="1633"/>
      <c r="M157" s="1633"/>
      <c r="N157" s="1633"/>
      <c r="O157" s="1633"/>
      <c r="P157" s="1633"/>
      <c r="Q157" s="1633"/>
      <c r="R157" s="1633"/>
      <c r="S157" s="1633"/>
      <c r="T157" s="1633"/>
      <c r="U157" s="1633"/>
      <c r="V157" s="1633"/>
      <c r="W157" s="1633"/>
      <c r="X157" s="1633"/>
      <c r="Y157" s="1633"/>
      <c r="Z157" s="1633"/>
      <c r="AA157" s="1635"/>
      <c r="AB157" s="1168"/>
    </row>
    <row r="158" spans="1:28" ht="17.25" customHeight="1" outlineLevel="1" x14ac:dyDescent="0.45">
      <c r="A158" s="695"/>
      <c r="B158" s="1223" t="s">
        <v>103</v>
      </c>
      <c r="C158" s="1224"/>
      <c r="D158" s="1224"/>
      <c r="E158" s="1230"/>
      <c r="F158" s="1230"/>
      <c r="G158" s="1251"/>
      <c r="H158" s="1633">
        <f>-H116</f>
        <v>-25250226.50398647</v>
      </c>
      <c r="I158" s="1633">
        <f t="shared" ref="I158:AA158" si="55">-I116</f>
        <v>-25250226.50398647</v>
      </c>
      <c r="J158" s="1633">
        <f t="shared" si="55"/>
        <v>-25250226.50398647</v>
      </c>
      <c r="K158" s="1633">
        <f t="shared" si="55"/>
        <v>-25250226.50398647</v>
      </c>
      <c r="L158" s="1633">
        <f t="shared" si="55"/>
        <v>-25250226.50398647</v>
      </c>
      <c r="M158" s="1633">
        <f t="shared" si="55"/>
        <v>-25250226.50398647</v>
      </c>
      <c r="N158" s="1633">
        <f t="shared" si="55"/>
        <v>-25250226.50398647</v>
      </c>
      <c r="O158" s="1633">
        <f t="shared" si="55"/>
        <v>-25250226.50398647</v>
      </c>
      <c r="P158" s="1633">
        <f t="shared" si="55"/>
        <v>-25250226.50398647</v>
      </c>
      <c r="Q158" s="1633">
        <f t="shared" si="55"/>
        <v>-25250226.50398647</v>
      </c>
      <c r="R158" s="1633">
        <f t="shared" si="55"/>
        <v>-25250226.50398647</v>
      </c>
      <c r="S158" s="1633">
        <f t="shared" si="55"/>
        <v>-25250226.50398647</v>
      </c>
      <c r="T158" s="1633">
        <f t="shared" si="55"/>
        <v>-25250226.50398647</v>
      </c>
      <c r="U158" s="1633">
        <f t="shared" si="55"/>
        <v>-25250226.50398647</v>
      </c>
      <c r="V158" s="1633">
        <f t="shared" si="55"/>
        <v>-25250226.50398647</v>
      </c>
      <c r="W158" s="1633">
        <f t="shared" si="55"/>
        <v>-25250226.50398647</v>
      </c>
      <c r="X158" s="1633">
        <f t="shared" si="55"/>
        <v>-25250226.50398647</v>
      </c>
      <c r="Y158" s="1633">
        <f t="shared" si="55"/>
        <v>-25250226.50398647</v>
      </c>
      <c r="Z158" s="1633">
        <f t="shared" si="55"/>
        <v>-25250226.50398647</v>
      </c>
      <c r="AA158" s="1635">
        <f t="shared" si="55"/>
        <v>-25250226.50398647</v>
      </c>
      <c r="AB158" s="1168"/>
    </row>
    <row r="159" spans="1:28" ht="9" customHeight="1" outlineLevel="1" x14ac:dyDescent="0.45">
      <c r="A159" s="695"/>
      <c r="B159" s="1223"/>
      <c r="C159" s="1224"/>
      <c r="D159" s="1224"/>
      <c r="E159" s="1230"/>
      <c r="F159" s="1230"/>
      <c r="G159" s="1251"/>
      <c r="H159" s="1633"/>
      <c r="I159" s="1633"/>
      <c r="J159" s="1633"/>
      <c r="K159" s="1633"/>
      <c r="L159" s="1633"/>
      <c r="M159" s="1633"/>
      <c r="N159" s="1633"/>
      <c r="O159" s="1633"/>
      <c r="P159" s="1633"/>
      <c r="Q159" s="1633"/>
      <c r="R159" s="1633"/>
      <c r="S159" s="1633"/>
      <c r="T159" s="1633"/>
      <c r="U159" s="1633"/>
      <c r="V159" s="1633"/>
      <c r="W159" s="1633"/>
      <c r="X159" s="1633"/>
      <c r="Y159" s="1633"/>
      <c r="Z159" s="1633"/>
      <c r="AA159" s="1635"/>
      <c r="AB159" s="1168"/>
    </row>
    <row r="160" spans="1:28" ht="17.25" customHeight="1" outlineLevel="1" x14ac:dyDescent="0.45">
      <c r="A160" s="695"/>
      <c r="B160" s="1238" t="s">
        <v>104</v>
      </c>
      <c r="C160" s="1253"/>
      <c r="D160" s="1253"/>
      <c r="E160" s="1254"/>
      <c r="F160" s="1254"/>
      <c r="G160" s="1255"/>
      <c r="H160" s="1639">
        <f>H156+H158</f>
        <v>40875725.659906812</v>
      </c>
      <c r="I160" s="1639">
        <f t="shared" ref="I160:AA160" si="56">I156+I158</f>
        <v>40209739.024087347</v>
      </c>
      <c r="J160" s="1639">
        <f t="shared" si="56"/>
        <v>39540375.183946982</v>
      </c>
      <c r="K160" s="1639">
        <f t="shared" si="56"/>
        <v>38867516.882757321</v>
      </c>
      <c r="L160" s="1639">
        <f t="shared" si="56"/>
        <v>38191044.767218597</v>
      </c>
      <c r="M160" s="1639">
        <f t="shared" si="56"/>
        <v>37510837.344285466</v>
      </c>
      <c r="N160" s="1639">
        <f t="shared" si="56"/>
        <v>36826770.937135473</v>
      </c>
      <c r="O160" s="1639">
        <f t="shared" si="56"/>
        <v>36138719.640263043</v>
      </c>
      <c r="P160" s="1639">
        <f t="shared" si="56"/>
        <v>35446555.273681648</v>
      </c>
      <c r="Q160" s="1639">
        <f t="shared" si="56"/>
        <v>34750147.336215951</v>
      </c>
      <c r="R160" s="1639">
        <f t="shared" si="56"/>
        <v>34049362.957866028</v>
      </c>
      <c r="S160" s="1639">
        <f t="shared" si="56"/>
        <v>33344066.851224892</v>
      </c>
      <c r="T160" s="1639">
        <f t="shared" si="56"/>
        <v>32634121.261930324</v>
      </c>
      <c r="U160" s="1639">
        <f t="shared" si="56"/>
        <v>31919385.918131866</v>
      </c>
      <c r="V160" s="1639">
        <f t="shared" si="56"/>
        <v>31199717.978953011</v>
      </c>
      <c r="W160" s="1639">
        <f t="shared" si="56"/>
        <v>30474971.981928684</v>
      </c>
      <c r="X160" s="1639">
        <f t="shared" si="56"/>
        <v>29744999.789397269</v>
      </c>
      <c r="Y160" s="1639">
        <f t="shared" si="56"/>
        <v>29009650.5338265</v>
      </c>
      <c r="Z160" s="1639">
        <f t="shared" si="56"/>
        <v>28268770.562051497</v>
      </c>
      <c r="AA160" s="1640">
        <f t="shared" si="56"/>
        <v>27522203.378403656</v>
      </c>
      <c r="AB160" s="1168"/>
    </row>
    <row r="161" spans="1:28" ht="6.75" customHeight="1" outlineLevel="1" x14ac:dyDescent="0.45">
      <c r="A161" s="695"/>
      <c r="B161" s="1223"/>
      <c r="C161" s="1224"/>
      <c r="D161" s="1224"/>
      <c r="E161" s="1230"/>
      <c r="F161" s="1230"/>
      <c r="G161" s="1251"/>
      <c r="H161" s="1633"/>
      <c r="I161" s="1633"/>
      <c r="J161" s="1633"/>
      <c r="K161" s="1633"/>
      <c r="L161" s="1633"/>
      <c r="M161" s="1633"/>
      <c r="N161" s="1633"/>
      <c r="O161" s="1633"/>
      <c r="P161" s="1633"/>
      <c r="Q161" s="1633"/>
      <c r="R161" s="1633"/>
      <c r="S161" s="1633"/>
      <c r="T161" s="1633"/>
      <c r="U161" s="1633"/>
      <c r="V161" s="1633"/>
      <c r="W161" s="1633"/>
      <c r="X161" s="1633"/>
      <c r="Y161" s="1633"/>
      <c r="Z161" s="1633"/>
      <c r="AA161" s="1635"/>
      <c r="AB161" s="1168"/>
    </row>
    <row r="162" spans="1:28" ht="17.25" customHeight="1" outlineLevel="1" x14ac:dyDescent="0.45">
      <c r="A162" s="695"/>
      <c r="B162" s="1223" t="str">
        <f t="shared" ref="B162:B167" si="57">B118</f>
        <v xml:space="preserve">Interest Expense, public loan </v>
      </c>
      <c r="C162" s="1224"/>
      <c r="D162" s="1224"/>
      <c r="E162" s="1230"/>
      <c r="F162" s="1230"/>
      <c r="G162" s="1251"/>
      <c r="H162" s="1633">
        <f t="shared" ref="H162:H167" si="58">-H118</f>
        <v>-4624778.3280985747</v>
      </c>
      <c r="I162" s="1633">
        <f t="shared" ref="I162:AA162" si="59">-I118</f>
        <v>-4469470.1769591141</v>
      </c>
      <c r="J162" s="1633">
        <f t="shared" si="59"/>
        <v>-4307949.6997740762</v>
      </c>
      <c r="K162" s="1633">
        <f t="shared" si="59"/>
        <v>-4139968.4035016359</v>
      </c>
      <c r="L162" s="1633">
        <f t="shared" si="59"/>
        <v>-3965267.8553782981</v>
      </c>
      <c r="M162" s="1633">
        <f t="shared" si="59"/>
        <v>-3783579.2853300278</v>
      </c>
      <c r="N162" s="1633">
        <f t="shared" si="59"/>
        <v>-3594623.1724798251</v>
      </c>
      <c r="O162" s="1633">
        <f t="shared" si="59"/>
        <v>-3398108.8151156157</v>
      </c>
      <c r="P162" s="1633">
        <f t="shared" si="59"/>
        <v>-3193733.8834568369</v>
      </c>
      <c r="Q162" s="1633">
        <f t="shared" si="59"/>
        <v>-2981183.9545317078</v>
      </c>
      <c r="R162" s="1633">
        <f t="shared" si="59"/>
        <v>-2760132.0284495722</v>
      </c>
      <c r="S162" s="1633">
        <f t="shared" si="59"/>
        <v>-2530238.0253241523</v>
      </c>
      <c r="T162" s="1633">
        <f t="shared" si="59"/>
        <v>-2291148.2620737157</v>
      </c>
      <c r="U162" s="1633">
        <f t="shared" si="59"/>
        <v>-2042494.9082932612</v>
      </c>
      <c r="V162" s="1633">
        <f t="shared" si="59"/>
        <v>-1783895.4203615887</v>
      </c>
      <c r="W162" s="1633">
        <f t="shared" si="59"/>
        <v>-1514951.9529126491</v>
      </c>
      <c r="X162" s="1633">
        <f t="shared" si="59"/>
        <v>-1235250.7467657521</v>
      </c>
      <c r="Y162" s="1633">
        <f t="shared" si="59"/>
        <v>-944361.49237297929</v>
      </c>
      <c r="Z162" s="1633">
        <f t="shared" si="59"/>
        <v>-641836.66780449532</v>
      </c>
      <c r="AA162" s="1635">
        <f t="shared" si="59"/>
        <v>-327210.85025327216</v>
      </c>
      <c r="AB162" s="1168"/>
    </row>
    <row r="163" spans="1:28" ht="17.25" customHeight="1" outlineLevel="1" x14ac:dyDescent="0.45">
      <c r="A163" s="695"/>
      <c r="B163" s="1223" t="str">
        <f t="shared" si="57"/>
        <v>Interest Expense, commercial loan with public guarantees</v>
      </c>
      <c r="C163" s="1224"/>
      <c r="D163" s="1224"/>
      <c r="E163" s="1230"/>
      <c r="F163" s="1230"/>
      <c r="G163" s="1251"/>
      <c r="H163" s="1633">
        <f t="shared" si="58"/>
        <v>0</v>
      </c>
      <c r="I163" s="1633">
        <f t="shared" ref="I163:AA163" si="60">-I119</f>
        <v>0</v>
      </c>
      <c r="J163" s="1633">
        <f t="shared" si="60"/>
        <v>0</v>
      </c>
      <c r="K163" s="1633">
        <f t="shared" si="60"/>
        <v>0</v>
      </c>
      <c r="L163" s="1633">
        <f t="shared" si="60"/>
        <v>0</v>
      </c>
      <c r="M163" s="1633">
        <f t="shared" si="60"/>
        <v>0</v>
      </c>
      <c r="N163" s="1633">
        <f t="shared" si="60"/>
        <v>0</v>
      </c>
      <c r="O163" s="1633">
        <f t="shared" si="60"/>
        <v>0</v>
      </c>
      <c r="P163" s="1633">
        <f t="shared" si="60"/>
        <v>0</v>
      </c>
      <c r="Q163" s="1633">
        <f t="shared" si="60"/>
        <v>0</v>
      </c>
      <c r="R163" s="1633">
        <f t="shared" si="60"/>
        <v>0</v>
      </c>
      <c r="S163" s="1633">
        <f t="shared" si="60"/>
        <v>0</v>
      </c>
      <c r="T163" s="1633">
        <f t="shared" si="60"/>
        <v>0</v>
      </c>
      <c r="U163" s="1633">
        <f t="shared" si="60"/>
        <v>0</v>
      </c>
      <c r="V163" s="1633">
        <f t="shared" si="60"/>
        <v>0</v>
      </c>
      <c r="W163" s="1633">
        <f t="shared" si="60"/>
        <v>0</v>
      </c>
      <c r="X163" s="1633">
        <f t="shared" si="60"/>
        <v>0</v>
      </c>
      <c r="Y163" s="1633">
        <f t="shared" si="60"/>
        <v>0</v>
      </c>
      <c r="Z163" s="1633">
        <f t="shared" si="60"/>
        <v>0</v>
      </c>
      <c r="AA163" s="1635">
        <f t="shared" si="60"/>
        <v>0</v>
      </c>
      <c r="AB163" s="1168"/>
    </row>
    <row r="164" spans="1:28" ht="17.25" customHeight="1" outlineLevel="1" x14ac:dyDescent="0.45">
      <c r="A164" s="695"/>
      <c r="B164" s="1223" t="str">
        <f t="shared" si="57"/>
        <v>Interest Expense, commercial loan without public guarantees</v>
      </c>
      <c r="C164" s="1224"/>
      <c r="D164" s="1224"/>
      <c r="E164" s="1230"/>
      <c r="F164" s="1230"/>
      <c r="G164" s="1251"/>
      <c r="H164" s="1633">
        <f t="shared" si="58"/>
        <v>-15738659.581327328</v>
      </c>
      <c r="I164" s="1633">
        <f t="shared" ref="I164:AA164" si="61">-I120</f>
        <v>-14796634.34348681</v>
      </c>
      <c r="J164" s="1633">
        <f t="shared" si="61"/>
        <v>-13799652.162909089</v>
      </c>
      <c r="K164" s="1633">
        <f t="shared" si="61"/>
        <v>-12744506.898788488</v>
      </c>
      <c r="L164" s="1633">
        <f t="shared" si="61"/>
        <v>-11627805.3668203</v>
      </c>
      <c r="M164" s="1633">
        <f t="shared" si="61"/>
        <v>-10445956.427243792</v>
      </c>
      <c r="N164" s="1633">
        <f t="shared" si="61"/>
        <v>-9195159.4362910558</v>
      </c>
      <c r="O164" s="1633">
        <f t="shared" si="61"/>
        <v>-7871392.0239032991</v>
      </c>
      <c r="P164" s="1633">
        <f t="shared" si="61"/>
        <v>-6470397.1584095769</v>
      </c>
      <c r="Q164" s="1633">
        <f t="shared" si="61"/>
        <v>-4987669.4565700348</v>
      </c>
      <c r="R164" s="1633">
        <f t="shared" si="61"/>
        <v>-3418440.6949588321</v>
      </c>
      <c r="S164" s="1633">
        <f t="shared" si="61"/>
        <v>-1757664.4760935863</v>
      </c>
      <c r="T164" s="1633">
        <f t="shared" si="61"/>
        <v>0</v>
      </c>
      <c r="U164" s="1633">
        <f t="shared" si="61"/>
        <v>0</v>
      </c>
      <c r="V164" s="1633">
        <f t="shared" si="61"/>
        <v>0</v>
      </c>
      <c r="W164" s="1633">
        <f t="shared" si="61"/>
        <v>0</v>
      </c>
      <c r="X164" s="1633">
        <f t="shared" si="61"/>
        <v>0</v>
      </c>
      <c r="Y164" s="1633">
        <f t="shared" si="61"/>
        <v>0</v>
      </c>
      <c r="Z164" s="1633">
        <f t="shared" si="61"/>
        <v>0</v>
      </c>
      <c r="AA164" s="1635">
        <f t="shared" si="61"/>
        <v>0</v>
      </c>
      <c r="AB164" s="1168"/>
    </row>
    <row r="165" spans="1:28" ht="17.25" customHeight="1" outlineLevel="1" x14ac:dyDescent="0.45">
      <c r="A165" s="695"/>
      <c r="B165" s="1223" t="str">
        <f t="shared" si="57"/>
        <v xml:space="preserve">Front-end Fees </v>
      </c>
      <c r="C165" s="1224"/>
      <c r="D165" s="1224"/>
      <c r="E165" s="1230"/>
      <c r="F165" s="1230"/>
      <c r="G165" s="1251"/>
      <c r="H165" s="1633">
        <f t="shared" si="58"/>
        <v>0</v>
      </c>
      <c r="I165" s="1633">
        <f t="shared" ref="I165:AA165" si="62">-I121</f>
        <v>0</v>
      </c>
      <c r="J165" s="1633">
        <f t="shared" si="62"/>
        <v>0</v>
      </c>
      <c r="K165" s="1633">
        <f t="shared" si="62"/>
        <v>0</v>
      </c>
      <c r="L165" s="1633">
        <f t="shared" si="62"/>
        <v>0</v>
      </c>
      <c r="M165" s="1633">
        <f t="shared" si="62"/>
        <v>0</v>
      </c>
      <c r="N165" s="1633">
        <f t="shared" si="62"/>
        <v>0</v>
      </c>
      <c r="O165" s="1633">
        <f t="shared" si="62"/>
        <v>0</v>
      </c>
      <c r="P165" s="1633">
        <f t="shared" si="62"/>
        <v>0</v>
      </c>
      <c r="Q165" s="1633">
        <f t="shared" si="62"/>
        <v>0</v>
      </c>
      <c r="R165" s="1633">
        <f t="shared" si="62"/>
        <v>0</v>
      </c>
      <c r="S165" s="1633">
        <f t="shared" si="62"/>
        <v>0</v>
      </c>
      <c r="T165" s="1633">
        <f t="shared" si="62"/>
        <v>0</v>
      </c>
      <c r="U165" s="1633">
        <f t="shared" si="62"/>
        <v>0</v>
      </c>
      <c r="V165" s="1633">
        <f t="shared" si="62"/>
        <v>0</v>
      </c>
      <c r="W165" s="1633">
        <f t="shared" si="62"/>
        <v>0</v>
      </c>
      <c r="X165" s="1633">
        <f t="shared" si="62"/>
        <v>0</v>
      </c>
      <c r="Y165" s="1633">
        <f t="shared" si="62"/>
        <v>0</v>
      </c>
      <c r="Z165" s="1633">
        <f t="shared" si="62"/>
        <v>0</v>
      </c>
      <c r="AA165" s="1635">
        <f t="shared" si="62"/>
        <v>0</v>
      </c>
      <c r="AB165" s="1168"/>
    </row>
    <row r="166" spans="1:28" ht="17.25" customHeight="1" outlineLevel="1" x14ac:dyDescent="0.45">
      <c r="A166" s="695"/>
      <c r="B166" s="1223" t="str">
        <f t="shared" si="57"/>
        <v xml:space="preserve">Public Guarantee Fees </v>
      </c>
      <c r="C166" s="1224"/>
      <c r="D166" s="1224"/>
      <c r="E166" s="1230"/>
      <c r="F166" s="1230"/>
      <c r="G166" s="1251"/>
      <c r="H166" s="1633">
        <f t="shared" si="58"/>
        <v>0</v>
      </c>
      <c r="I166" s="1633">
        <f t="shared" ref="I166:AA166" si="63">-I122</f>
        <v>0</v>
      </c>
      <c r="J166" s="1633">
        <f t="shared" si="63"/>
        <v>0</v>
      </c>
      <c r="K166" s="1633">
        <f t="shared" si="63"/>
        <v>0</v>
      </c>
      <c r="L166" s="1633">
        <f t="shared" si="63"/>
        <v>0</v>
      </c>
      <c r="M166" s="1633">
        <f t="shared" si="63"/>
        <v>0</v>
      </c>
      <c r="N166" s="1633">
        <f t="shared" si="63"/>
        <v>0</v>
      </c>
      <c r="O166" s="1633">
        <f t="shared" si="63"/>
        <v>0</v>
      </c>
      <c r="P166" s="1633">
        <f t="shared" si="63"/>
        <v>0</v>
      </c>
      <c r="Q166" s="1633">
        <f t="shared" si="63"/>
        <v>0</v>
      </c>
      <c r="R166" s="1633">
        <f t="shared" si="63"/>
        <v>0</v>
      </c>
      <c r="S166" s="1633">
        <f t="shared" si="63"/>
        <v>0</v>
      </c>
      <c r="T166" s="1633">
        <f t="shared" si="63"/>
        <v>0</v>
      </c>
      <c r="U166" s="1633">
        <f t="shared" si="63"/>
        <v>0</v>
      </c>
      <c r="V166" s="1633">
        <f t="shared" si="63"/>
        <v>0</v>
      </c>
      <c r="W166" s="1633">
        <f t="shared" si="63"/>
        <v>0</v>
      </c>
      <c r="X166" s="1633">
        <f t="shared" si="63"/>
        <v>0</v>
      </c>
      <c r="Y166" s="1633">
        <f t="shared" si="63"/>
        <v>0</v>
      </c>
      <c r="Z166" s="1633">
        <f t="shared" si="63"/>
        <v>0</v>
      </c>
      <c r="AA166" s="1635">
        <f t="shared" si="63"/>
        <v>0</v>
      </c>
      <c r="AB166" s="1168"/>
    </row>
    <row r="167" spans="1:28" ht="17.25" customHeight="1" outlineLevel="1" x14ac:dyDescent="0.45">
      <c r="A167" s="695"/>
      <c r="B167" s="1223" t="str">
        <f t="shared" si="57"/>
        <v>Political Risk Insurance - Fees &amp; Annual Premium Payments</v>
      </c>
      <c r="C167" s="1224"/>
      <c r="D167" s="1224"/>
      <c r="E167" s="1230"/>
      <c r="F167" s="1230"/>
      <c r="G167" s="1251"/>
      <c r="H167" s="1633">
        <f t="shared" si="58"/>
        <v>0</v>
      </c>
      <c r="I167" s="1633">
        <f t="shared" ref="I167:AA167" si="64">-I123</f>
        <v>0</v>
      </c>
      <c r="J167" s="1633">
        <f t="shared" si="64"/>
        <v>0</v>
      </c>
      <c r="K167" s="1633">
        <f t="shared" si="64"/>
        <v>0</v>
      </c>
      <c r="L167" s="1633">
        <f t="shared" si="64"/>
        <v>0</v>
      </c>
      <c r="M167" s="1633">
        <f t="shared" si="64"/>
        <v>0</v>
      </c>
      <c r="N167" s="1633">
        <f t="shared" si="64"/>
        <v>0</v>
      </c>
      <c r="O167" s="1633">
        <f t="shared" si="64"/>
        <v>0</v>
      </c>
      <c r="P167" s="1633">
        <f t="shared" si="64"/>
        <v>0</v>
      </c>
      <c r="Q167" s="1633">
        <f t="shared" si="64"/>
        <v>0</v>
      </c>
      <c r="R167" s="1633">
        <f t="shared" si="64"/>
        <v>0</v>
      </c>
      <c r="S167" s="1633">
        <f t="shared" si="64"/>
        <v>0</v>
      </c>
      <c r="T167" s="1633">
        <f t="shared" si="64"/>
        <v>0</v>
      </c>
      <c r="U167" s="1633">
        <f t="shared" si="64"/>
        <v>0</v>
      </c>
      <c r="V167" s="1633">
        <f t="shared" si="64"/>
        <v>0</v>
      </c>
      <c r="W167" s="1633">
        <f t="shared" si="64"/>
        <v>0</v>
      </c>
      <c r="X167" s="1633">
        <f t="shared" si="64"/>
        <v>0</v>
      </c>
      <c r="Y167" s="1633">
        <f t="shared" si="64"/>
        <v>0</v>
      </c>
      <c r="Z167" s="1633">
        <f t="shared" si="64"/>
        <v>0</v>
      </c>
      <c r="AA167" s="1635">
        <f t="shared" si="64"/>
        <v>0</v>
      </c>
      <c r="AB167" s="1168"/>
    </row>
    <row r="168" spans="1:28" ht="9.75" customHeight="1" outlineLevel="1" x14ac:dyDescent="0.45">
      <c r="A168" s="695"/>
      <c r="B168" s="1223"/>
      <c r="C168" s="1224"/>
      <c r="D168" s="1224"/>
      <c r="E168" s="1230"/>
      <c r="F168" s="1230"/>
      <c r="G168" s="1251"/>
      <c r="H168" s="1633"/>
      <c r="I168" s="1633"/>
      <c r="J168" s="1633"/>
      <c r="K168" s="1633"/>
      <c r="L168" s="1633"/>
      <c r="M168" s="1633"/>
      <c r="N168" s="1633"/>
      <c r="O168" s="1633"/>
      <c r="P168" s="1633"/>
      <c r="Q168" s="1633"/>
      <c r="R168" s="1633"/>
      <c r="S168" s="1633"/>
      <c r="T168" s="1633"/>
      <c r="U168" s="1633"/>
      <c r="V168" s="1633"/>
      <c r="W168" s="1633"/>
      <c r="X168" s="1633"/>
      <c r="Y168" s="1633"/>
      <c r="Z168" s="1633"/>
      <c r="AA168" s="1635"/>
      <c r="AB168" s="1168"/>
    </row>
    <row r="169" spans="1:28" ht="17.25" customHeight="1" outlineLevel="1" x14ac:dyDescent="0.45">
      <c r="A169" s="695"/>
      <c r="B169" s="1238" t="s">
        <v>105</v>
      </c>
      <c r="C169" s="1253"/>
      <c r="D169" s="1253"/>
      <c r="E169" s="1254"/>
      <c r="F169" s="1254"/>
      <c r="G169" s="1255"/>
      <c r="H169" s="1639">
        <f>H160+(SUM(H162:H167))</f>
        <v>20512287.750480909</v>
      </c>
      <c r="I169" s="1639">
        <f t="shared" ref="I169:AA169" si="65">I160+(SUM(I162:I167))</f>
        <v>20943634.503641423</v>
      </c>
      <c r="J169" s="1639">
        <f t="shared" si="65"/>
        <v>21432773.321263816</v>
      </c>
      <c r="K169" s="1639">
        <f t="shared" si="65"/>
        <v>21983041.580467198</v>
      </c>
      <c r="L169" s="1639">
        <f t="shared" si="65"/>
        <v>22597971.545019999</v>
      </c>
      <c r="M169" s="1639">
        <f t="shared" si="65"/>
        <v>23281301.631711647</v>
      </c>
      <c r="N169" s="1639">
        <f t="shared" si="65"/>
        <v>24036988.328364592</v>
      </c>
      <c r="O169" s="1639">
        <f t="shared" si="65"/>
        <v>24869218.801244128</v>
      </c>
      <c r="P169" s="1639">
        <f t="shared" si="65"/>
        <v>25782424.231815234</v>
      </c>
      <c r="Q169" s="1639">
        <f t="shared" si="65"/>
        <v>26781293.925114207</v>
      </c>
      <c r="R169" s="1639">
        <f t="shared" si="65"/>
        <v>27870790.234457623</v>
      </c>
      <c r="S169" s="1639">
        <f t="shared" si="65"/>
        <v>29056164.349807154</v>
      </c>
      <c r="T169" s="1639">
        <f t="shared" si="65"/>
        <v>30342972.99985661</v>
      </c>
      <c r="U169" s="1639">
        <f t="shared" si="65"/>
        <v>29876891.009838603</v>
      </c>
      <c r="V169" s="1639">
        <f t="shared" si="65"/>
        <v>29415822.558591422</v>
      </c>
      <c r="W169" s="1639">
        <f t="shared" si="65"/>
        <v>28960020.029016033</v>
      </c>
      <c r="X169" s="1639">
        <f t="shared" si="65"/>
        <v>28509749.042631518</v>
      </c>
      <c r="Y169" s="1639">
        <f t="shared" si="65"/>
        <v>28065289.041453522</v>
      </c>
      <c r="Z169" s="1639">
        <f t="shared" si="65"/>
        <v>27626933.894247003</v>
      </c>
      <c r="AA169" s="1640">
        <f t="shared" si="65"/>
        <v>27194992.528150383</v>
      </c>
      <c r="AB169" s="1168"/>
    </row>
    <row r="170" spans="1:28" ht="6.75" customHeight="1" outlineLevel="1" x14ac:dyDescent="0.45">
      <c r="A170" s="695"/>
      <c r="B170" s="1223"/>
      <c r="C170" s="1224"/>
      <c r="D170" s="1224"/>
      <c r="E170" s="1230"/>
      <c r="F170" s="1230"/>
      <c r="G170" s="1251"/>
      <c r="H170" s="1633"/>
      <c r="I170" s="1633"/>
      <c r="J170" s="1633"/>
      <c r="K170" s="1633"/>
      <c r="L170" s="1633"/>
      <c r="M170" s="1633"/>
      <c r="N170" s="1633"/>
      <c r="O170" s="1633"/>
      <c r="P170" s="1633"/>
      <c r="Q170" s="1633"/>
      <c r="R170" s="1633"/>
      <c r="S170" s="1633"/>
      <c r="T170" s="1633"/>
      <c r="U170" s="1633"/>
      <c r="V170" s="1633"/>
      <c r="W170" s="1633"/>
      <c r="X170" s="1633"/>
      <c r="Y170" s="1633"/>
      <c r="Z170" s="1633"/>
      <c r="AA170" s="1635"/>
      <c r="AB170" s="1168"/>
    </row>
    <row r="171" spans="1:28" ht="17.25" customHeight="1" outlineLevel="1" x14ac:dyDescent="0.45">
      <c r="A171" s="695"/>
      <c r="B171" s="1223" t="s">
        <v>106</v>
      </c>
      <c r="C171" s="1224"/>
      <c r="D171" s="1224"/>
      <c r="E171" s="1230"/>
      <c r="F171" s="1230"/>
      <c r="G171" s="1251"/>
      <c r="H171" s="1633">
        <f>IF(H169&lt;0,(-H169*'III. Inputs, Renewable Energy'!$U$18),(-'V. LCOE, RE Generation'!H169*'III. Inputs, Renewable Energy'!$U$18))</f>
        <v>-5128071.9376202272</v>
      </c>
      <c r="I171" s="1633">
        <f>IF(I169&lt;0,(-I169*'III. Inputs, Renewable Energy'!$U$18),(-'V. LCOE, RE Generation'!I169*'III. Inputs, Renewable Energy'!$U$18))</f>
        <v>-5235908.6259103557</v>
      </c>
      <c r="J171" s="1633">
        <f>IF(J169&lt;0,(-J169*'III. Inputs, Renewable Energy'!$U$18),(-'V. LCOE, RE Generation'!J169*'III. Inputs, Renewable Energy'!$U$18))</f>
        <v>-5358193.3303159541</v>
      </c>
      <c r="K171" s="1633">
        <f>IF(K169&lt;0,(-K169*'III. Inputs, Renewable Energy'!$U$18),(-'V. LCOE, RE Generation'!K169*'III. Inputs, Renewable Energy'!$U$18))</f>
        <v>-5495760.3951167995</v>
      </c>
      <c r="L171" s="1633">
        <f>IF(L169&lt;0,(-L169*'III. Inputs, Renewable Energy'!$U$18),(-'V. LCOE, RE Generation'!L169*'III. Inputs, Renewable Energy'!$U$18))</f>
        <v>-5649492.8862549998</v>
      </c>
      <c r="M171" s="1633">
        <f>IF(M169&lt;0,(-M169*'III. Inputs, Renewable Energy'!$U$18),(-'V. LCOE, RE Generation'!M169*'III. Inputs, Renewable Energy'!$U$18))</f>
        <v>-5820325.4079279117</v>
      </c>
      <c r="N171" s="1633">
        <f>IF(N169&lt;0,(-N169*'III. Inputs, Renewable Energy'!$U$18),(-'V. LCOE, RE Generation'!N169*'III. Inputs, Renewable Energy'!$U$18))</f>
        <v>-6009247.082091148</v>
      </c>
      <c r="O171" s="1633">
        <f>IF(O169&lt;0,(-O169*'III. Inputs, Renewable Energy'!$U$18),(-'V. LCOE, RE Generation'!O169*'III. Inputs, Renewable Energy'!$U$18))</f>
        <v>-6217304.7003110321</v>
      </c>
      <c r="P171" s="1633">
        <f>IF(P169&lt;0,(-P169*'III. Inputs, Renewable Energy'!$U$18),(-'V. LCOE, RE Generation'!P169*'III. Inputs, Renewable Energy'!$U$18))</f>
        <v>-6445606.0579538085</v>
      </c>
      <c r="Q171" s="1633">
        <f>IF(Q169&lt;0,(-Q169*'III. Inputs, Renewable Energy'!$U$18),(-'V. LCOE, RE Generation'!Q169*'III. Inputs, Renewable Energy'!$U$18))</f>
        <v>-6695323.4812785517</v>
      </c>
      <c r="R171" s="1633">
        <f>IF(R169&lt;0,(-R169*'III. Inputs, Renewable Energy'!$U$18),(-'V. LCOE, RE Generation'!R169*'III. Inputs, Renewable Energy'!$U$18))</f>
        <v>-6967697.5586144058</v>
      </c>
      <c r="S171" s="1633">
        <f>IF(S169&lt;0,(-S169*'III. Inputs, Renewable Energy'!$U$18),(-'V. LCOE, RE Generation'!S169*'III. Inputs, Renewable Energy'!$U$18))</f>
        <v>-7264041.0874517886</v>
      </c>
      <c r="T171" s="1633">
        <f>IF(T169&lt;0,(-T169*'III. Inputs, Renewable Energy'!$U$18),(-'V. LCOE, RE Generation'!T169*'III. Inputs, Renewable Energy'!$U$18))</f>
        <v>-7585743.2499641525</v>
      </c>
      <c r="U171" s="1633">
        <f>IF(U169&lt;0,(-U169*'III. Inputs, Renewable Energy'!$U$18),(-'V. LCOE, RE Generation'!U169*'III. Inputs, Renewable Energy'!$U$18))</f>
        <v>-7469222.7524596509</v>
      </c>
      <c r="V171" s="1633">
        <f>IF(V169&lt;0,(-V169*'III. Inputs, Renewable Energy'!$U$18),(-'V. LCOE, RE Generation'!V169*'III. Inputs, Renewable Energy'!$U$18))</f>
        <v>-7353955.6396478554</v>
      </c>
      <c r="W171" s="1633">
        <f>IF(W169&lt;0,(-W169*'III. Inputs, Renewable Energy'!$U$18),(-'V. LCOE, RE Generation'!W169*'III. Inputs, Renewable Energy'!$U$18))</f>
        <v>-7240005.0072540082</v>
      </c>
      <c r="X171" s="1633">
        <f>IF(X169&lt;0,(-X169*'III. Inputs, Renewable Energy'!$U$18),(-'V. LCOE, RE Generation'!X169*'III. Inputs, Renewable Energy'!$U$18))</f>
        <v>-7127437.2606578795</v>
      </c>
      <c r="Y171" s="1633">
        <f>IF(Y169&lt;0,(-Y169*'III. Inputs, Renewable Energy'!$U$18),(-'V. LCOE, RE Generation'!Y169*'III. Inputs, Renewable Energy'!$U$18))</f>
        <v>-7016322.2603633804</v>
      </c>
      <c r="Z171" s="1633">
        <f>IF(Z169&lt;0,(-Z169*'III. Inputs, Renewable Energy'!$U$18),(-'V. LCOE, RE Generation'!Z169*'III. Inputs, Renewable Energy'!$U$18))</f>
        <v>-6906733.4735617507</v>
      </c>
      <c r="AA171" s="1635">
        <f>IF(AA169&lt;0,(-AA169*'III. Inputs, Renewable Energy'!$U$18),(-'V. LCOE, RE Generation'!AA169*'III. Inputs, Renewable Energy'!$U$18))</f>
        <v>-6798748.1320375958</v>
      </c>
      <c r="AB171" s="1168"/>
    </row>
    <row r="172" spans="1:28" ht="6.75" customHeight="1" outlineLevel="1" x14ac:dyDescent="0.45">
      <c r="A172" s="695"/>
      <c r="B172" s="1239"/>
      <c r="C172" s="1235"/>
      <c r="D172" s="1235"/>
      <c r="E172" s="1236"/>
      <c r="F172" s="1236"/>
      <c r="G172" s="1252"/>
      <c r="H172" s="1637"/>
      <c r="I172" s="1637"/>
      <c r="J172" s="1637"/>
      <c r="K172" s="1637"/>
      <c r="L172" s="1637"/>
      <c r="M172" s="1637"/>
      <c r="N172" s="1637"/>
      <c r="O172" s="1637"/>
      <c r="P172" s="1637"/>
      <c r="Q172" s="1637"/>
      <c r="R172" s="1637"/>
      <c r="S172" s="1637"/>
      <c r="T172" s="1637"/>
      <c r="U172" s="1637"/>
      <c r="V172" s="1637"/>
      <c r="W172" s="1637"/>
      <c r="X172" s="1637"/>
      <c r="Y172" s="1637"/>
      <c r="Z172" s="1637"/>
      <c r="AA172" s="1638"/>
      <c r="AB172" s="1168"/>
    </row>
    <row r="173" spans="1:28" ht="17.25" customHeight="1" outlineLevel="1" x14ac:dyDescent="0.45">
      <c r="A173" s="695"/>
      <c r="B173" s="1238" t="s">
        <v>107</v>
      </c>
      <c r="C173" s="1253"/>
      <c r="D173" s="1253"/>
      <c r="E173" s="1254"/>
      <c r="F173" s="1254"/>
      <c r="G173" s="1255"/>
      <c r="H173" s="1639">
        <f>H169+H171</f>
        <v>15384215.812860683</v>
      </c>
      <c r="I173" s="1639">
        <f t="shared" ref="I173:AA173" si="66">I169+I171</f>
        <v>15707725.877731066</v>
      </c>
      <c r="J173" s="1639">
        <f t="shared" si="66"/>
        <v>16074579.990947861</v>
      </c>
      <c r="K173" s="1639">
        <f t="shared" si="66"/>
        <v>16487281.185350399</v>
      </c>
      <c r="L173" s="1639">
        <f t="shared" si="66"/>
        <v>16948478.658764999</v>
      </c>
      <c r="M173" s="1639">
        <f t="shared" si="66"/>
        <v>17460976.223783735</v>
      </c>
      <c r="N173" s="1639">
        <f t="shared" si="66"/>
        <v>18027741.246273443</v>
      </c>
      <c r="O173" s="1639">
        <f t="shared" si="66"/>
        <v>18651914.100933097</v>
      </c>
      <c r="P173" s="1639">
        <f t="shared" si="66"/>
        <v>19336818.173861425</v>
      </c>
      <c r="Q173" s="1639">
        <f t="shared" si="66"/>
        <v>20085970.443835653</v>
      </c>
      <c r="R173" s="1639">
        <f t="shared" si="66"/>
        <v>20903092.675843216</v>
      </c>
      <c r="S173" s="1639">
        <f t="shared" si="66"/>
        <v>21792123.262355365</v>
      </c>
      <c r="T173" s="1639">
        <f t="shared" si="66"/>
        <v>22757229.749892458</v>
      </c>
      <c r="U173" s="1639">
        <f t="shared" si="66"/>
        <v>22407668.257378951</v>
      </c>
      <c r="V173" s="1639">
        <f t="shared" si="66"/>
        <v>22061866.918943565</v>
      </c>
      <c r="W173" s="1639">
        <f t="shared" si="66"/>
        <v>21720015.021762025</v>
      </c>
      <c r="X173" s="1639">
        <f t="shared" si="66"/>
        <v>21382311.781973638</v>
      </c>
      <c r="Y173" s="1639">
        <f t="shared" si="66"/>
        <v>21048966.78109014</v>
      </c>
      <c r="Z173" s="1639">
        <f t="shared" si="66"/>
        <v>20720200.420685254</v>
      </c>
      <c r="AA173" s="1640">
        <f t="shared" si="66"/>
        <v>20396244.396112788</v>
      </c>
      <c r="AB173" s="1168"/>
    </row>
    <row r="174" spans="1:28" ht="17.25" customHeight="1" outlineLevel="1" x14ac:dyDescent="0.45">
      <c r="A174" s="695"/>
      <c r="B174" s="1223"/>
      <c r="C174" s="1224"/>
      <c r="D174" s="1224"/>
      <c r="E174" s="1230"/>
      <c r="F174" s="1230"/>
      <c r="G174" s="1251"/>
      <c r="H174" s="1256"/>
      <c r="I174" s="1256"/>
      <c r="J174" s="1256"/>
      <c r="K174" s="1256"/>
      <c r="L174" s="1256"/>
      <c r="M174" s="1256"/>
      <c r="N174" s="1256"/>
      <c r="O174" s="1256"/>
      <c r="P174" s="1256"/>
      <c r="Q174" s="1256"/>
      <c r="R174" s="1256"/>
      <c r="S174" s="1256"/>
      <c r="T174" s="1256"/>
      <c r="U174" s="1256"/>
      <c r="V174" s="1256"/>
      <c r="W174" s="1256"/>
      <c r="X174" s="1256"/>
      <c r="Y174" s="1256"/>
      <c r="Z174" s="1256"/>
      <c r="AA174" s="1257"/>
      <c r="AB174" s="1168"/>
    </row>
    <row r="175" spans="1:28" ht="17.25" customHeight="1" outlineLevel="1" x14ac:dyDescent="0.45">
      <c r="A175" s="695"/>
      <c r="B175" s="1223" t="s">
        <v>108</v>
      </c>
      <c r="C175" s="1224"/>
      <c r="D175" s="1224"/>
      <c r="E175" s="1230"/>
      <c r="F175" s="1230" t="s">
        <v>748</v>
      </c>
      <c r="G175" s="1633">
        <f>-('III. Inputs, Renewable Energy'!$U$14*'III. Inputs, Renewable Energy'!$U$15)</f>
        <v>-531583715.87339938</v>
      </c>
      <c r="H175" s="1256"/>
      <c r="I175" s="1256"/>
      <c r="J175" s="1256"/>
      <c r="K175" s="1256"/>
      <c r="L175" s="1256"/>
      <c r="M175" s="1256"/>
      <c r="N175" s="1256"/>
      <c r="O175" s="1256"/>
      <c r="P175" s="1256"/>
      <c r="Q175" s="1256"/>
      <c r="R175" s="1256"/>
      <c r="S175" s="1256"/>
      <c r="T175" s="1256"/>
      <c r="U175" s="1256"/>
      <c r="V175" s="1256"/>
      <c r="W175" s="1256"/>
      <c r="X175" s="1256"/>
      <c r="Y175" s="1256"/>
      <c r="Z175" s="1256"/>
      <c r="AA175" s="1257"/>
      <c r="AB175" s="1168"/>
    </row>
    <row r="176" spans="1:28" ht="17.25" customHeight="1" outlineLevel="1" x14ac:dyDescent="0.45">
      <c r="A176" s="695"/>
      <c r="B176" s="1239" t="s">
        <v>109</v>
      </c>
      <c r="C176" s="1235"/>
      <c r="D176" s="1235"/>
      <c r="E176" s="1236"/>
      <c r="F176" s="1236" t="s">
        <v>748</v>
      </c>
      <c r="G176" s="1637">
        <f>('III. Inputs, Renewable Energy'!$U$14*'III. Inputs, Renewable Energy'!$U$15*'III. Inputs, Renewable Energy'!$V$34)</f>
        <v>385398194.00821453</v>
      </c>
      <c r="H176" s="1258"/>
      <c r="I176" s="1258"/>
      <c r="J176" s="1258"/>
      <c r="K176" s="1258"/>
      <c r="L176" s="1258"/>
      <c r="M176" s="1258"/>
      <c r="N176" s="1258"/>
      <c r="O176" s="1258"/>
      <c r="P176" s="1258"/>
      <c r="Q176" s="1258"/>
      <c r="R176" s="1258"/>
      <c r="S176" s="1258"/>
      <c r="T176" s="1258"/>
      <c r="U176" s="1258"/>
      <c r="V176" s="1258"/>
      <c r="W176" s="1258"/>
      <c r="X176" s="1258"/>
      <c r="Y176" s="1258"/>
      <c r="Z176" s="1258"/>
      <c r="AA176" s="1259"/>
      <c r="AB176" s="1168"/>
    </row>
    <row r="177" spans="1:28" ht="17.25" customHeight="1" outlineLevel="1" x14ac:dyDescent="0.45">
      <c r="A177" s="695"/>
      <c r="B177" s="1223" t="s">
        <v>110</v>
      </c>
      <c r="C177" s="1224"/>
      <c r="D177" s="1224"/>
      <c r="E177" s="1230"/>
      <c r="F177" s="1230" t="s">
        <v>748</v>
      </c>
      <c r="G177" s="1633">
        <f>G175+G176</f>
        <v>-146185521.86518484</v>
      </c>
      <c r="H177" s="1256"/>
      <c r="I177" s="1256"/>
      <c r="J177" s="1256"/>
      <c r="K177" s="1256"/>
      <c r="L177" s="1256"/>
      <c r="M177" s="1256"/>
      <c r="N177" s="1256"/>
      <c r="O177" s="1256"/>
      <c r="P177" s="1256"/>
      <c r="Q177" s="1256"/>
      <c r="R177" s="1256"/>
      <c r="S177" s="1256"/>
      <c r="T177" s="1256"/>
      <c r="U177" s="1256"/>
      <c r="V177" s="1256"/>
      <c r="W177" s="1256"/>
      <c r="X177" s="1256"/>
      <c r="Y177" s="1256"/>
      <c r="Z177" s="1256"/>
      <c r="AA177" s="1257"/>
      <c r="AB177" s="1168"/>
    </row>
    <row r="178" spans="1:28" ht="10.5" customHeight="1" outlineLevel="1" x14ac:dyDescent="0.45">
      <c r="A178" s="695"/>
      <c r="B178" s="1223"/>
      <c r="C178" s="1224"/>
      <c r="D178" s="1224"/>
      <c r="E178" s="1230"/>
      <c r="F178" s="1230"/>
      <c r="G178" s="1256"/>
      <c r="H178" s="1256"/>
      <c r="I178" s="1256"/>
      <c r="J178" s="1256"/>
      <c r="K178" s="1256"/>
      <c r="L178" s="1256"/>
      <c r="M178" s="1256"/>
      <c r="N178" s="1256"/>
      <c r="O178" s="1256"/>
      <c r="P178" s="1256"/>
      <c r="Q178" s="1256"/>
      <c r="R178" s="1256"/>
      <c r="S178" s="1256"/>
      <c r="T178" s="1256"/>
      <c r="U178" s="1256"/>
      <c r="V178" s="1256"/>
      <c r="W178" s="1256"/>
      <c r="X178" s="1256"/>
      <c r="Y178" s="1256"/>
      <c r="Z178" s="1256"/>
      <c r="AA178" s="1257"/>
      <c r="AB178" s="1168"/>
    </row>
    <row r="179" spans="1:28" ht="6.75" customHeight="1" outlineLevel="1" x14ac:dyDescent="0.45">
      <c r="A179" s="695"/>
      <c r="B179" s="1223"/>
      <c r="C179" s="1224"/>
      <c r="D179" s="1224"/>
      <c r="E179" s="1230"/>
      <c r="F179" s="1230"/>
      <c r="G179" s="1256"/>
      <c r="H179" s="1256"/>
      <c r="I179" s="1256"/>
      <c r="J179" s="1256"/>
      <c r="K179" s="1256"/>
      <c r="L179" s="1256"/>
      <c r="M179" s="1256"/>
      <c r="N179" s="1256"/>
      <c r="O179" s="1256"/>
      <c r="P179" s="1256"/>
      <c r="Q179" s="1256"/>
      <c r="R179" s="1256"/>
      <c r="S179" s="1256"/>
      <c r="T179" s="1256"/>
      <c r="U179" s="1256"/>
      <c r="V179" s="1256"/>
      <c r="W179" s="1256"/>
      <c r="X179" s="1256"/>
      <c r="Y179" s="1256"/>
      <c r="Z179" s="1256"/>
      <c r="AA179" s="1257"/>
      <c r="AB179" s="1168"/>
    </row>
    <row r="180" spans="1:28" ht="17.25" customHeight="1" outlineLevel="1" x14ac:dyDescent="0.45">
      <c r="A180" s="695"/>
      <c r="B180" s="1223" t="s">
        <v>111</v>
      </c>
      <c r="C180" s="1224"/>
      <c r="D180" s="1224"/>
      <c r="E180" s="1230"/>
      <c r="F180" s="1230"/>
      <c r="G180" s="1256"/>
      <c r="H180" s="1633">
        <f>H173</f>
        <v>15384215.812860683</v>
      </c>
      <c r="I180" s="1633">
        <f t="shared" ref="I180:AA180" si="67">I173</f>
        <v>15707725.877731066</v>
      </c>
      <c r="J180" s="1633">
        <f t="shared" si="67"/>
        <v>16074579.990947861</v>
      </c>
      <c r="K180" s="1633">
        <f t="shared" si="67"/>
        <v>16487281.185350399</v>
      </c>
      <c r="L180" s="1633">
        <f t="shared" si="67"/>
        <v>16948478.658764999</v>
      </c>
      <c r="M180" s="1633">
        <f t="shared" si="67"/>
        <v>17460976.223783735</v>
      </c>
      <c r="N180" s="1633">
        <f t="shared" si="67"/>
        <v>18027741.246273443</v>
      </c>
      <c r="O180" s="1633">
        <f t="shared" si="67"/>
        <v>18651914.100933097</v>
      </c>
      <c r="P180" s="1633">
        <f t="shared" si="67"/>
        <v>19336818.173861425</v>
      </c>
      <c r="Q180" s="1633">
        <f t="shared" si="67"/>
        <v>20085970.443835653</v>
      </c>
      <c r="R180" s="1633">
        <f t="shared" si="67"/>
        <v>20903092.675843216</v>
      </c>
      <c r="S180" s="1633">
        <f t="shared" si="67"/>
        <v>21792123.262355365</v>
      </c>
      <c r="T180" s="1633">
        <f t="shared" si="67"/>
        <v>22757229.749892458</v>
      </c>
      <c r="U180" s="1633">
        <f t="shared" si="67"/>
        <v>22407668.257378951</v>
      </c>
      <c r="V180" s="1633">
        <f t="shared" si="67"/>
        <v>22061866.918943565</v>
      </c>
      <c r="W180" s="1633">
        <f t="shared" si="67"/>
        <v>21720015.021762025</v>
      </c>
      <c r="X180" s="1633">
        <f t="shared" si="67"/>
        <v>21382311.781973638</v>
      </c>
      <c r="Y180" s="1633">
        <f t="shared" si="67"/>
        <v>21048966.78109014</v>
      </c>
      <c r="Z180" s="1633">
        <f t="shared" si="67"/>
        <v>20720200.420685254</v>
      </c>
      <c r="AA180" s="1635">
        <f t="shared" si="67"/>
        <v>20396244.396112788</v>
      </c>
      <c r="AB180" s="1168"/>
    </row>
    <row r="181" spans="1:28" ht="17.25" customHeight="1" outlineLevel="1" x14ac:dyDescent="0.45">
      <c r="A181" s="695"/>
      <c r="B181" s="1223" t="s">
        <v>112</v>
      </c>
      <c r="C181" s="1224"/>
      <c r="D181" s="1224"/>
      <c r="E181" s="1230"/>
      <c r="F181" s="1230" t="s">
        <v>748</v>
      </c>
      <c r="G181" s="1256"/>
      <c r="H181" s="1633">
        <f t="shared" ref="H181:AA181" si="68">-H158</f>
        <v>25250226.50398647</v>
      </c>
      <c r="I181" s="1633">
        <f t="shared" si="68"/>
        <v>25250226.50398647</v>
      </c>
      <c r="J181" s="1633">
        <f t="shared" si="68"/>
        <v>25250226.50398647</v>
      </c>
      <c r="K181" s="1633">
        <f t="shared" si="68"/>
        <v>25250226.50398647</v>
      </c>
      <c r="L181" s="1633">
        <f t="shared" si="68"/>
        <v>25250226.50398647</v>
      </c>
      <c r="M181" s="1633">
        <f t="shared" si="68"/>
        <v>25250226.50398647</v>
      </c>
      <c r="N181" s="1633">
        <f t="shared" si="68"/>
        <v>25250226.50398647</v>
      </c>
      <c r="O181" s="1633">
        <f t="shared" si="68"/>
        <v>25250226.50398647</v>
      </c>
      <c r="P181" s="1633">
        <f t="shared" si="68"/>
        <v>25250226.50398647</v>
      </c>
      <c r="Q181" s="1633">
        <f t="shared" si="68"/>
        <v>25250226.50398647</v>
      </c>
      <c r="R181" s="1633">
        <f t="shared" si="68"/>
        <v>25250226.50398647</v>
      </c>
      <c r="S181" s="1633">
        <f t="shared" si="68"/>
        <v>25250226.50398647</v>
      </c>
      <c r="T181" s="1633">
        <f t="shared" si="68"/>
        <v>25250226.50398647</v>
      </c>
      <c r="U181" s="1633">
        <f t="shared" si="68"/>
        <v>25250226.50398647</v>
      </c>
      <c r="V181" s="1633">
        <f t="shared" si="68"/>
        <v>25250226.50398647</v>
      </c>
      <c r="W181" s="1633">
        <f t="shared" si="68"/>
        <v>25250226.50398647</v>
      </c>
      <c r="X181" s="1633">
        <f t="shared" si="68"/>
        <v>25250226.50398647</v>
      </c>
      <c r="Y181" s="1633">
        <f t="shared" si="68"/>
        <v>25250226.50398647</v>
      </c>
      <c r="Z181" s="1633">
        <f t="shared" si="68"/>
        <v>25250226.50398647</v>
      </c>
      <c r="AA181" s="1635">
        <f t="shared" si="68"/>
        <v>25250226.50398647</v>
      </c>
      <c r="AB181" s="1168"/>
    </row>
    <row r="182" spans="1:28" ht="17.25" customHeight="1" outlineLevel="1" x14ac:dyDescent="0.45">
      <c r="A182" s="695"/>
      <c r="B182" s="1223"/>
      <c r="C182" s="1224"/>
      <c r="D182" s="1224"/>
      <c r="E182" s="1230"/>
      <c r="F182" s="1230"/>
      <c r="G182" s="1256"/>
      <c r="H182" s="1256"/>
      <c r="I182" s="1256"/>
      <c r="J182" s="1256"/>
      <c r="K182" s="1256"/>
      <c r="L182" s="1256"/>
      <c r="M182" s="1256"/>
      <c r="N182" s="1256"/>
      <c r="O182" s="1256"/>
      <c r="P182" s="1256"/>
      <c r="Q182" s="1256"/>
      <c r="R182" s="1256"/>
      <c r="S182" s="1256"/>
      <c r="T182" s="1256"/>
      <c r="U182" s="1256"/>
      <c r="V182" s="1256"/>
      <c r="W182" s="1256"/>
      <c r="X182" s="1256"/>
      <c r="Y182" s="1256"/>
      <c r="Z182" s="1256"/>
      <c r="AA182" s="1257"/>
      <c r="AB182" s="1168"/>
    </row>
    <row r="183" spans="1:28" ht="17.25" customHeight="1" outlineLevel="1" x14ac:dyDescent="0.45">
      <c r="A183" s="695"/>
      <c r="B183" s="1223" t="s">
        <v>113</v>
      </c>
      <c r="C183" s="1224"/>
      <c r="D183" s="1224"/>
      <c r="E183" s="1230"/>
      <c r="F183" s="1230" t="s">
        <v>748</v>
      </c>
      <c r="G183" s="1256"/>
      <c r="H183" s="1256"/>
      <c r="I183" s="1256"/>
      <c r="J183" s="1256"/>
      <c r="K183" s="1256"/>
      <c r="L183" s="1256"/>
      <c r="M183" s="1256"/>
      <c r="N183" s="1256"/>
      <c r="O183" s="1256"/>
      <c r="P183" s="1256"/>
      <c r="Q183" s="1256"/>
      <c r="R183" s="1256"/>
      <c r="S183" s="1256"/>
      <c r="T183" s="1256"/>
      <c r="U183" s="1256"/>
      <c r="V183" s="1256"/>
      <c r="W183" s="1256"/>
      <c r="X183" s="1256"/>
      <c r="Y183" s="1256"/>
      <c r="Z183" s="1256"/>
      <c r="AA183" s="1257"/>
      <c r="AB183" s="1168"/>
    </row>
    <row r="184" spans="1:28" ht="17.25" customHeight="1" outlineLevel="1" x14ac:dyDescent="0.45">
      <c r="A184" s="695"/>
      <c r="B184" s="1223" t="s">
        <v>114</v>
      </c>
      <c r="C184" s="1224"/>
      <c r="D184" s="1224"/>
      <c r="E184" s="1230"/>
      <c r="F184" s="1230" t="s">
        <v>748</v>
      </c>
      <c r="G184" s="1256"/>
      <c r="H184" s="1256"/>
      <c r="I184" s="1256"/>
      <c r="J184" s="1256"/>
      <c r="K184" s="1256"/>
      <c r="L184" s="1256"/>
      <c r="M184" s="1256"/>
      <c r="N184" s="1256"/>
      <c r="O184" s="1256"/>
      <c r="P184" s="1256"/>
      <c r="Q184" s="1256"/>
      <c r="R184" s="1256"/>
      <c r="S184" s="1256"/>
      <c r="T184" s="1256"/>
      <c r="U184" s="1256"/>
      <c r="V184" s="1256"/>
      <c r="W184" s="1256"/>
      <c r="X184" s="1256"/>
      <c r="Y184" s="1256"/>
      <c r="Z184" s="1256"/>
      <c r="AA184" s="1257"/>
      <c r="AB184" s="1168"/>
    </row>
    <row r="185" spans="1:28" ht="17.25" customHeight="1" outlineLevel="1" x14ac:dyDescent="0.45">
      <c r="A185" s="695"/>
      <c r="B185" s="1223" t="s">
        <v>115</v>
      </c>
      <c r="C185" s="1224"/>
      <c r="D185" s="1224"/>
      <c r="E185" s="1230"/>
      <c r="F185" s="1230" t="s">
        <v>748</v>
      </c>
      <c r="G185" s="1633"/>
      <c r="H185" s="1633">
        <f>-(H283+H304+H325)</f>
        <v>-20030100.34987187</v>
      </c>
      <c r="I185" s="1633">
        <f t="shared" ref="I185:AA185" si="69">-(I283+I304+I325)</f>
        <v>-21127433.738851849</v>
      </c>
      <c r="J185" s="1633">
        <f t="shared" si="69"/>
        <v>-22285936.396614604</v>
      </c>
      <c r="K185" s="1633">
        <f t="shared" si="69"/>
        <v>-23509062.957007647</v>
      </c>
      <c r="L185" s="1633">
        <f t="shared" si="69"/>
        <v>-24800465.037099175</v>
      </c>
      <c r="M185" s="1633">
        <f t="shared" si="69"/>
        <v>-26164002.546723954</v>
      </c>
      <c r="N185" s="1633">
        <f t="shared" si="69"/>
        <v>-27603755.650526892</v>
      </c>
      <c r="O185" s="1633">
        <f t="shared" si="69"/>
        <v>-29124037.420278855</v>
      </c>
      <c r="P185" s="1633">
        <f t="shared" si="69"/>
        <v>-30729407.217431363</v>
      </c>
      <c r="Q185" s="1633">
        <f t="shared" si="69"/>
        <v>-32424684.84819603</v>
      </c>
      <c r="R185" s="1633">
        <f t="shared" si="69"/>
        <v>-34214965.535889372</v>
      </c>
      <c r="S185" s="1633">
        <f t="shared" si="69"/>
        <v>-36105635.757880032</v>
      </c>
      <c r="T185" s="1633">
        <f t="shared" si="69"/>
        <v>-6216333.8445113599</v>
      </c>
      <c r="U185" s="1633">
        <f t="shared" si="69"/>
        <v>-6464987.1982918149</v>
      </c>
      <c r="V185" s="1633">
        <f t="shared" si="69"/>
        <v>-6723586.6862234864</v>
      </c>
      <c r="W185" s="1633">
        <f t="shared" si="69"/>
        <v>-6992530.1536724269</v>
      </c>
      <c r="X185" s="1633">
        <f t="shared" si="69"/>
        <v>-7272231.3598193238</v>
      </c>
      <c r="Y185" s="1633">
        <f t="shared" si="69"/>
        <v>-7563120.6142120967</v>
      </c>
      <c r="Z185" s="1633">
        <f t="shared" si="69"/>
        <v>-7865645.4387805806</v>
      </c>
      <c r="AA185" s="1635">
        <f t="shared" si="69"/>
        <v>-8180271.2563318042</v>
      </c>
      <c r="AB185" s="1168"/>
    </row>
    <row r="186" spans="1:28" ht="17.25" customHeight="1" outlineLevel="1" x14ac:dyDescent="0.45">
      <c r="A186" s="695"/>
      <c r="B186" s="1239" t="s">
        <v>116</v>
      </c>
      <c r="C186" s="1235"/>
      <c r="D186" s="1235"/>
      <c r="E186" s="1236"/>
      <c r="F186" s="1236" t="s">
        <v>748</v>
      </c>
      <c r="G186" s="1637"/>
      <c r="H186" s="1637"/>
      <c r="I186" s="1637"/>
      <c r="J186" s="1637"/>
      <c r="K186" s="1637"/>
      <c r="L186" s="1637"/>
      <c r="M186" s="1637"/>
      <c r="N186" s="1637"/>
      <c r="O186" s="1637"/>
      <c r="P186" s="1637"/>
      <c r="Q186" s="1637"/>
      <c r="R186" s="1637"/>
      <c r="S186" s="1637"/>
      <c r="T186" s="1637"/>
      <c r="U186" s="1637"/>
      <c r="V186" s="1637"/>
      <c r="W186" s="1637"/>
      <c r="X186" s="1637"/>
      <c r="Y186" s="1637"/>
      <c r="Z186" s="1637"/>
      <c r="AA186" s="1638"/>
      <c r="AB186" s="1168"/>
    </row>
    <row r="187" spans="1:28" ht="17.25" customHeight="1" outlineLevel="1" x14ac:dyDescent="0.45">
      <c r="A187" s="695"/>
      <c r="B187" s="1223" t="s">
        <v>117</v>
      </c>
      <c r="C187" s="1224"/>
      <c r="D187" s="1224"/>
      <c r="E187" s="1230"/>
      <c r="F187" s="1230" t="s">
        <v>748</v>
      </c>
      <c r="G187" s="1633">
        <f>G177</f>
        <v>-146185521.86518484</v>
      </c>
      <c r="H187" s="1633">
        <f>H180+H181+H185</f>
        <v>20604341.966975283</v>
      </c>
      <c r="I187" s="1633">
        <f t="shared" ref="I187:AA187" si="70">I180+I181+I185</f>
        <v>19830518.642865684</v>
      </c>
      <c r="J187" s="1633">
        <f t="shared" si="70"/>
        <v>19038870.098319732</v>
      </c>
      <c r="K187" s="1633">
        <f t="shared" si="70"/>
        <v>18228444.73232922</v>
      </c>
      <c r="L187" s="1633">
        <f t="shared" si="70"/>
        <v>17398240.125652291</v>
      </c>
      <c r="M187" s="1633">
        <f t="shared" si="70"/>
        <v>16547200.181046255</v>
      </c>
      <c r="N187" s="1633">
        <f t="shared" si="70"/>
        <v>15674212.099733021</v>
      </c>
      <c r="O187" s="1633">
        <f t="shared" si="70"/>
        <v>14778103.184640713</v>
      </c>
      <c r="P187" s="1633">
        <f t="shared" si="70"/>
        <v>13857637.460416529</v>
      </c>
      <c r="Q187" s="1633">
        <f t="shared" si="70"/>
        <v>12911512.099626094</v>
      </c>
      <c r="R187" s="1633">
        <f t="shared" si="70"/>
        <v>11938353.643940315</v>
      </c>
      <c r="S187" s="1633">
        <f t="shared" si="70"/>
        <v>10936714.008461803</v>
      </c>
      <c r="T187" s="1633">
        <f t="shared" si="70"/>
        <v>41791122.409367569</v>
      </c>
      <c r="U187" s="1633">
        <f t="shared" si="70"/>
        <v>41192907.563073605</v>
      </c>
      <c r="V187" s="1633">
        <f t="shared" si="70"/>
        <v>40588506.736706547</v>
      </c>
      <c r="W187" s="1633">
        <f t="shared" si="70"/>
        <v>39977711.372076064</v>
      </c>
      <c r="X187" s="1633">
        <f t="shared" si="70"/>
        <v>39360306.926140785</v>
      </c>
      <c r="Y187" s="1633">
        <f t="shared" si="70"/>
        <v>38736072.670864515</v>
      </c>
      <c r="Z187" s="1633">
        <f t="shared" si="70"/>
        <v>38104781.485891141</v>
      </c>
      <c r="AA187" s="1635">
        <f t="shared" si="70"/>
        <v>37466199.643767461</v>
      </c>
      <c r="AB187" s="1168"/>
    </row>
    <row r="188" spans="1:28" ht="7.5" customHeight="1" outlineLevel="1" x14ac:dyDescent="0.45">
      <c r="A188" s="695"/>
      <c r="B188" s="1223"/>
      <c r="C188" s="1224"/>
      <c r="D188" s="1224"/>
      <c r="E188" s="1230"/>
      <c r="F188" s="1230"/>
      <c r="G188" s="1256"/>
      <c r="H188" s="1256"/>
      <c r="I188" s="1256"/>
      <c r="J188" s="1256"/>
      <c r="K188" s="1256"/>
      <c r="L188" s="1256"/>
      <c r="M188" s="1256"/>
      <c r="N188" s="1256"/>
      <c r="O188" s="1256"/>
      <c r="P188" s="1256"/>
      <c r="Q188" s="1256"/>
      <c r="R188" s="1256"/>
      <c r="S188" s="1256"/>
      <c r="T188" s="1256"/>
      <c r="U188" s="1256"/>
      <c r="V188" s="1256"/>
      <c r="W188" s="1256"/>
      <c r="X188" s="1256"/>
      <c r="Y188" s="1256"/>
      <c r="Z188" s="1256"/>
      <c r="AA188" s="1257"/>
      <c r="AB188" s="1168"/>
    </row>
    <row r="189" spans="1:28" ht="17.25" customHeight="1" outlineLevel="1" x14ac:dyDescent="0.45">
      <c r="A189" s="695"/>
      <c r="B189" s="1223" t="s">
        <v>118</v>
      </c>
      <c r="C189" s="1224"/>
      <c r="D189" s="1224"/>
      <c r="E189" s="1224"/>
      <c r="F189" s="1224"/>
      <c r="G189" s="1633">
        <f>NPV($G$136,G187:AA187)</f>
        <v>-9.4784829901320784E-8</v>
      </c>
      <c r="H189" s="1256"/>
      <c r="I189" s="1256"/>
      <c r="J189" s="1256"/>
      <c r="K189" s="1256"/>
      <c r="L189" s="1256"/>
      <c r="M189" s="1256"/>
      <c r="N189" s="1256"/>
      <c r="O189" s="1256"/>
      <c r="P189" s="1256"/>
      <c r="Q189" s="1256"/>
      <c r="R189" s="1256"/>
      <c r="S189" s="1256"/>
      <c r="T189" s="1256"/>
      <c r="U189" s="1256"/>
      <c r="V189" s="1256"/>
      <c r="W189" s="1256"/>
      <c r="X189" s="1256"/>
      <c r="Y189" s="1256"/>
      <c r="Z189" s="1256"/>
      <c r="AA189" s="1257"/>
      <c r="AB189" s="1168"/>
    </row>
    <row r="190" spans="1:28" ht="5.25" customHeight="1" outlineLevel="1" thickBot="1" x14ac:dyDescent="0.5">
      <c r="A190" s="695"/>
      <c r="B190" s="1260"/>
      <c r="C190" s="1246"/>
      <c r="D190" s="1246"/>
      <c r="E190" s="1246"/>
      <c r="F190" s="1246"/>
      <c r="G190" s="1246"/>
      <c r="H190" s="1246"/>
      <c r="I190" s="1246"/>
      <c r="J190" s="1246"/>
      <c r="K190" s="1246"/>
      <c r="L190" s="1246"/>
      <c r="M190" s="1246"/>
      <c r="N190" s="1246"/>
      <c r="O190" s="1246"/>
      <c r="P190" s="1246"/>
      <c r="Q190" s="1246"/>
      <c r="R190" s="1246"/>
      <c r="S190" s="1246"/>
      <c r="T190" s="1246"/>
      <c r="U190" s="1246"/>
      <c r="V190" s="1246"/>
      <c r="W190" s="1246"/>
      <c r="X190" s="1246"/>
      <c r="Y190" s="1246"/>
      <c r="Z190" s="1246"/>
      <c r="AA190" s="1247"/>
      <c r="AB190" s="695"/>
    </row>
    <row r="191" spans="1:28" x14ac:dyDescent="0.45">
      <c r="A191" s="695"/>
      <c r="B191" s="695"/>
      <c r="C191" s="695"/>
      <c r="D191" s="695"/>
      <c r="E191" s="695"/>
      <c r="F191" s="695"/>
      <c r="G191" s="695"/>
      <c r="H191" s="695"/>
      <c r="I191" s="695"/>
      <c r="J191" s="695"/>
      <c r="K191" s="695"/>
      <c r="L191" s="695"/>
      <c r="M191" s="695"/>
      <c r="N191" s="695"/>
      <c r="O191" s="695"/>
      <c r="P191" s="695"/>
      <c r="Q191" s="695"/>
      <c r="R191" s="695"/>
      <c r="S191" s="695"/>
      <c r="T191" s="695"/>
      <c r="U191" s="695"/>
      <c r="V191" s="695"/>
      <c r="W191" s="695"/>
      <c r="X191" s="695"/>
      <c r="Y191" s="695"/>
      <c r="Z191" s="695"/>
      <c r="AA191" s="695"/>
      <c r="AB191" s="695"/>
    </row>
    <row r="192" spans="1:28" x14ac:dyDescent="0.45">
      <c r="A192" s="695"/>
      <c r="B192" s="695"/>
      <c r="C192" s="695"/>
      <c r="D192" s="695"/>
      <c r="E192" s="695"/>
      <c r="F192" s="695"/>
      <c r="G192" s="695"/>
      <c r="H192" s="695"/>
      <c r="I192" s="695"/>
      <c r="J192" s="695"/>
      <c r="K192" s="695"/>
      <c r="L192" s="695"/>
      <c r="M192" s="695"/>
      <c r="N192" s="695"/>
      <c r="O192" s="695"/>
      <c r="P192" s="695"/>
      <c r="Q192" s="695"/>
      <c r="R192" s="695"/>
      <c r="S192" s="695"/>
      <c r="T192" s="695"/>
      <c r="U192" s="695"/>
      <c r="V192" s="695"/>
      <c r="W192" s="695"/>
      <c r="X192" s="695"/>
      <c r="Y192" s="695"/>
      <c r="Z192" s="695"/>
      <c r="AA192" s="695"/>
      <c r="AB192" s="695"/>
    </row>
    <row r="193" spans="1:28" x14ac:dyDescent="0.45">
      <c r="A193" s="695"/>
      <c r="B193" s="695"/>
      <c r="C193" s="695"/>
      <c r="D193" s="695"/>
      <c r="E193" s="695"/>
      <c r="F193" s="695"/>
      <c r="G193" s="695"/>
      <c r="H193" s="695"/>
      <c r="I193" s="695"/>
      <c r="J193" s="695"/>
      <c r="K193" s="695"/>
      <c r="L193" s="695"/>
      <c r="M193" s="695"/>
      <c r="N193" s="695"/>
      <c r="O193" s="695"/>
      <c r="P193" s="695"/>
      <c r="Q193" s="695"/>
      <c r="R193" s="695"/>
      <c r="S193" s="695"/>
      <c r="T193" s="695"/>
      <c r="U193" s="695"/>
      <c r="V193" s="695"/>
      <c r="W193" s="695"/>
      <c r="X193" s="695"/>
      <c r="Y193" s="695"/>
      <c r="Z193" s="695"/>
      <c r="AA193" s="695"/>
      <c r="AB193" s="695"/>
    </row>
    <row r="194" spans="1:28" s="457" customFormat="1" ht="12.75" customHeight="1" x14ac:dyDescent="0.45">
      <c r="A194" s="462" t="s">
        <v>225</v>
      </c>
      <c r="B194" s="462"/>
      <c r="C194" s="462"/>
      <c r="D194" s="462"/>
      <c r="E194" s="462"/>
      <c r="F194" s="462"/>
      <c r="G194" s="462"/>
      <c r="H194" s="462"/>
      <c r="I194" s="462"/>
      <c r="J194" s="463"/>
      <c r="K194" s="464"/>
      <c r="L194" s="464"/>
      <c r="M194" s="464"/>
      <c r="N194" s="464"/>
      <c r="O194" s="464"/>
      <c r="P194" s="464"/>
      <c r="Q194" s="464"/>
      <c r="R194" s="464"/>
      <c r="S194" s="464"/>
      <c r="T194" s="464"/>
      <c r="U194" s="464"/>
      <c r="V194" s="464"/>
      <c r="W194" s="464"/>
      <c r="X194" s="464"/>
      <c r="Y194" s="464"/>
      <c r="Z194" s="464"/>
      <c r="AA194" s="464"/>
      <c r="AB194" s="461"/>
    </row>
    <row r="195" spans="1:28" x14ac:dyDescent="0.45">
      <c r="A195" s="695"/>
      <c r="B195" s="695"/>
      <c r="C195" s="695"/>
      <c r="D195" s="695"/>
      <c r="E195" s="695"/>
      <c r="F195" s="695"/>
      <c r="G195" s="695"/>
      <c r="H195" s="695"/>
      <c r="I195" s="695"/>
      <c r="J195" s="695"/>
      <c r="K195" s="695"/>
      <c r="L195" s="695"/>
      <c r="M195" s="695"/>
      <c r="N195" s="695"/>
      <c r="O195" s="695"/>
      <c r="P195" s="695"/>
      <c r="Q195" s="695"/>
      <c r="R195" s="695"/>
      <c r="S195" s="695"/>
      <c r="T195" s="695"/>
      <c r="U195" s="695"/>
      <c r="V195" s="695"/>
      <c r="W195" s="695"/>
      <c r="X195" s="695"/>
      <c r="Y195" s="695"/>
      <c r="Z195" s="695"/>
      <c r="AA195" s="695"/>
      <c r="AB195" s="695"/>
    </row>
    <row r="196" spans="1:28" s="479" customFormat="1" ht="13.15" x14ac:dyDescent="0.45">
      <c r="A196" s="704"/>
      <c r="B196" s="1171" t="s">
        <v>51</v>
      </c>
      <c r="C196" s="1172"/>
      <c r="D196" s="1172"/>
      <c r="E196" s="1173"/>
      <c r="F196" s="1173"/>
      <c r="G196" s="1173">
        <v>0</v>
      </c>
      <c r="H196" s="1173">
        <v>1</v>
      </c>
      <c r="I196" s="1173">
        <v>2</v>
      </c>
      <c r="J196" s="1173">
        <v>3</v>
      </c>
      <c r="K196" s="1173">
        <v>4</v>
      </c>
      <c r="L196" s="1173">
        <v>5</v>
      </c>
      <c r="M196" s="1173">
        <v>6</v>
      </c>
      <c r="N196" s="1173">
        <v>7</v>
      </c>
      <c r="O196" s="1173">
        <v>8</v>
      </c>
      <c r="P196" s="1173">
        <v>9</v>
      </c>
      <c r="Q196" s="1173">
        <v>10</v>
      </c>
      <c r="R196" s="1173">
        <v>11</v>
      </c>
      <c r="S196" s="1173">
        <v>12</v>
      </c>
      <c r="T196" s="1173">
        <v>13</v>
      </c>
      <c r="U196" s="1173">
        <v>14</v>
      </c>
      <c r="V196" s="1173">
        <v>15</v>
      </c>
      <c r="W196" s="1173">
        <v>16</v>
      </c>
      <c r="X196" s="1173">
        <v>17</v>
      </c>
      <c r="Y196" s="1173">
        <v>18</v>
      </c>
      <c r="Z196" s="1173">
        <v>19</v>
      </c>
      <c r="AA196" s="1173">
        <v>20</v>
      </c>
      <c r="AB196" s="704"/>
    </row>
    <row r="197" spans="1:28" ht="13.15" thickBot="1" x14ac:dyDescent="0.5">
      <c r="A197" s="695"/>
      <c r="B197" s="415"/>
      <c r="C197" s="461"/>
      <c r="D197" s="461"/>
      <c r="E197" s="693"/>
      <c r="F197" s="695"/>
      <c r="G197" s="693"/>
      <c r="H197" s="693"/>
      <c r="I197" s="693"/>
      <c r="J197" s="693"/>
      <c r="K197" s="693"/>
      <c r="L197" s="693"/>
      <c r="M197" s="693"/>
      <c r="N197" s="693"/>
      <c r="O197" s="693"/>
      <c r="P197" s="693"/>
      <c r="Q197" s="693"/>
      <c r="R197" s="693"/>
      <c r="S197" s="693"/>
      <c r="T197" s="693"/>
      <c r="U197" s="693"/>
      <c r="V197" s="693"/>
      <c r="W197" s="693"/>
      <c r="X197" s="693"/>
      <c r="Y197" s="693"/>
      <c r="Z197" s="693"/>
      <c r="AA197" s="693"/>
      <c r="AB197" s="695"/>
    </row>
    <row r="198" spans="1:28" ht="13.15" x14ac:dyDescent="0.45">
      <c r="A198" s="695"/>
      <c r="B198" s="1177" t="s">
        <v>389</v>
      </c>
      <c r="C198" s="1178"/>
      <c r="D198" s="1178"/>
      <c r="E198" s="1178"/>
      <c r="F198" s="1178"/>
      <c r="G198" s="1261"/>
      <c r="H198" s="1261"/>
      <c r="I198" s="1261"/>
      <c r="J198" s="1261"/>
      <c r="K198" s="1261"/>
      <c r="L198" s="1261"/>
      <c r="M198" s="1261"/>
      <c r="N198" s="1261"/>
      <c r="O198" s="1261"/>
      <c r="P198" s="1261"/>
      <c r="Q198" s="1261"/>
      <c r="R198" s="1261"/>
      <c r="S198" s="1261"/>
      <c r="T198" s="1261"/>
      <c r="U198" s="1261"/>
      <c r="V198" s="1261"/>
      <c r="W198" s="1261"/>
      <c r="X198" s="1261"/>
      <c r="Y198" s="1261"/>
      <c r="Z198" s="1261"/>
      <c r="AA198" s="1262"/>
      <c r="AB198" s="695"/>
    </row>
    <row r="199" spans="1:28" x14ac:dyDescent="0.45">
      <c r="A199" s="695"/>
      <c r="B199" s="1180"/>
      <c r="C199" s="1181"/>
      <c r="D199" s="1181"/>
      <c r="E199" s="1181"/>
      <c r="F199" s="1181"/>
      <c r="G199" s="1263"/>
      <c r="H199" s="1263"/>
      <c r="I199" s="1263"/>
      <c r="J199" s="1263"/>
      <c r="K199" s="1263"/>
      <c r="L199" s="1263"/>
      <c r="M199" s="1263"/>
      <c r="N199" s="1263"/>
      <c r="O199" s="1263"/>
      <c r="P199" s="1263"/>
      <c r="Q199" s="1263"/>
      <c r="R199" s="1263"/>
      <c r="S199" s="1263"/>
      <c r="T199" s="1263"/>
      <c r="U199" s="1263"/>
      <c r="V199" s="1263"/>
      <c r="W199" s="1263"/>
      <c r="X199" s="1263"/>
      <c r="Y199" s="1263"/>
      <c r="Z199" s="1263"/>
      <c r="AA199" s="1264"/>
      <c r="AB199" s="695"/>
    </row>
    <row r="200" spans="1:28" ht="13.15" x14ac:dyDescent="0.45">
      <c r="A200" s="695"/>
      <c r="B200" s="1196" t="s">
        <v>220</v>
      </c>
      <c r="C200" s="1181"/>
      <c r="D200" s="1181"/>
      <c r="E200" s="1181"/>
      <c r="F200" s="1181"/>
      <c r="G200" s="1263"/>
      <c r="H200" s="1263"/>
      <c r="I200" s="1263"/>
      <c r="J200" s="1263"/>
      <c r="K200" s="1263"/>
      <c r="L200" s="1263"/>
      <c r="M200" s="1263"/>
      <c r="N200" s="1263"/>
      <c r="O200" s="1263"/>
      <c r="P200" s="1263"/>
      <c r="Q200" s="1263"/>
      <c r="R200" s="1263"/>
      <c r="S200" s="1263"/>
      <c r="T200" s="1263"/>
      <c r="U200" s="1263"/>
      <c r="V200" s="1263"/>
      <c r="W200" s="1263"/>
      <c r="X200" s="1263"/>
      <c r="Y200" s="1263"/>
      <c r="Z200" s="1263"/>
      <c r="AA200" s="1264"/>
      <c r="AB200" s="695"/>
    </row>
    <row r="201" spans="1:28" x14ac:dyDescent="0.45">
      <c r="A201" s="695"/>
      <c r="B201" s="1180"/>
      <c r="C201" s="1265" t="s">
        <v>61</v>
      </c>
      <c r="D201" s="1187" t="s">
        <v>748</v>
      </c>
      <c r="E201" s="1181"/>
      <c r="F201" s="1181"/>
      <c r="G201" s="1641">
        <f>IF('III. Inputs, Renewable Energy'!$S$36&gt;0, 'III. Inputs, Renewable Energy'!$U$15*'III. Inputs, Renewable Energy'!$U$14*'III. Inputs, Renewable Energy'!$S$34*SUM('III. Inputs, Renewable Energy'!$S$36), 0)</f>
        <v>0</v>
      </c>
      <c r="H201" s="1263"/>
      <c r="I201" s="1263"/>
      <c r="J201" s="1263"/>
      <c r="K201" s="1263"/>
      <c r="L201" s="1263"/>
      <c r="M201" s="1263"/>
      <c r="N201" s="1263"/>
      <c r="O201" s="1263"/>
      <c r="P201" s="1263"/>
      <c r="Q201" s="1263"/>
      <c r="R201" s="1263"/>
      <c r="S201" s="1263"/>
      <c r="T201" s="1263"/>
      <c r="U201" s="1263"/>
      <c r="V201" s="1263"/>
      <c r="W201" s="1263"/>
      <c r="X201" s="1263"/>
      <c r="Y201" s="1263"/>
      <c r="Z201" s="1263"/>
      <c r="AA201" s="1264"/>
      <c r="AB201" s="695"/>
    </row>
    <row r="202" spans="1:28" x14ac:dyDescent="0.45">
      <c r="A202" s="695"/>
      <c r="B202" s="1180"/>
      <c r="C202" s="1265" t="s">
        <v>62</v>
      </c>
      <c r="D202" s="1187" t="s">
        <v>18</v>
      </c>
      <c r="E202" s="1181"/>
      <c r="F202" s="1181"/>
      <c r="G202" s="1266">
        <f>SUM('III. Inputs, Renewable Energy'!$S$48)</f>
        <v>0</v>
      </c>
      <c r="H202" s="1263"/>
      <c r="I202" s="1263"/>
      <c r="J202" s="1263"/>
      <c r="K202" s="1263"/>
      <c r="L202" s="1263"/>
      <c r="M202" s="1263"/>
      <c r="N202" s="1263"/>
      <c r="O202" s="1263"/>
      <c r="P202" s="1263"/>
      <c r="Q202" s="1263"/>
      <c r="R202" s="1263"/>
      <c r="S202" s="1263"/>
      <c r="T202" s="1263"/>
      <c r="U202" s="1263"/>
      <c r="V202" s="1263"/>
      <c r="W202" s="1263"/>
      <c r="X202" s="1263"/>
      <c r="Y202" s="1263"/>
      <c r="Z202" s="1263"/>
      <c r="AA202" s="1264"/>
      <c r="AB202" s="695"/>
    </row>
    <row r="203" spans="1:28" x14ac:dyDescent="0.45">
      <c r="A203" s="695"/>
      <c r="B203" s="1180"/>
      <c r="C203" s="1265" t="s">
        <v>63</v>
      </c>
      <c r="D203" s="1187" t="s">
        <v>14</v>
      </c>
      <c r="E203" s="1181"/>
      <c r="F203" s="1181"/>
      <c r="G203" s="1267">
        <f>SUM('III. Inputs, Renewable Energy'!$S$43)</f>
        <v>0</v>
      </c>
      <c r="H203" s="1263"/>
      <c r="I203" s="1263"/>
      <c r="J203" s="1263"/>
      <c r="K203" s="1263"/>
      <c r="L203" s="1263"/>
      <c r="M203" s="1263"/>
      <c r="N203" s="1263"/>
      <c r="O203" s="1263"/>
      <c r="P203" s="1263"/>
      <c r="Q203" s="1263"/>
      <c r="R203" s="1263"/>
      <c r="S203" s="1263"/>
      <c r="T203" s="1263"/>
      <c r="U203" s="1263"/>
      <c r="V203" s="1263"/>
      <c r="W203" s="1263"/>
      <c r="X203" s="1263"/>
      <c r="Y203" s="1263"/>
      <c r="Z203" s="1263"/>
      <c r="AA203" s="1264"/>
      <c r="AB203" s="695"/>
    </row>
    <row r="204" spans="1:28" x14ac:dyDescent="0.45">
      <c r="A204" s="695"/>
      <c r="B204" s="1180"/>
      <c r="C204" s="1181"/>
      <c r="D204" s="1181"/>
      <c r="E204" s="1181"/>
      <c r="F204" s="1181"/>
      <c r="G204" s="1268"/>
      <c r="H204" s="1268"/>
      <c r="I204" s="1268"/>
      <c r="J204" s="1268"/>
      <c r="K204" s="1268"/>
      <c r="L204" s="1268"/>
      <c r="M204" s="1268"/>
      <c r="N204" s="1268"/>
      <c r="O204" s="1268"/>
      <c r="P204" s="1268"/>
      <c r="Q204" s="1268"/>
      <c r="R204" s="1268"/>
      <c r="S204" s="1268"/>
      <c r="T204" s="1268"/>
      <c r="U204" s="1268"/>
      <c r="V204" s="1268"/>
      <c r="W204" s="1268"/>
      <c r="X204" s="1268"/>
      <c r="Y204" s="1268"/>
      <c r="Z204" s="1268"/>
      <c r="AA204" s="1269"/>
      <c r="AB204" s="1168"/>
    </row>
    <row r="205" spans="1:28" x14ac:dyDescent="0.45">
      <c r="A205" s="695"/>
      <c r="B205" s="1180"/>
      <c r="C205" s="1270" t="s">
        <v>60</v>
      </c>
      <c r="D205" s="1181"/>
      <c r="E205" s="1181"/>
      <c r="F205" s="1181"/>
      <c r="G205" s="1268"/>
      <c r="H205" s="1268"/>
      <c r="I205" s="1268"/>
      <c r="J205" s="1268"/>
      <c r="K205" s="1268"/>
      <c r="L205" s="1268"/>
      <c r="M205" s="1268"/>
      <c r="N205" s="1268"/>
      <c r="O205" s="1268"/>
      <c r="P205" s="1268"/>
      <c r="Q205" s="1268"/>
      <c r="R205" s="1268"/>
      <c r="S205" s="1268"/>
      <c r="T205" s="1268"/>
      <c r="U205" s="1268"/>
      <c r="V205" s="1268"/>
      <c r="W205" s="1268"/>
      <c r="X205" s="1268"/>
      <c r="Y205" s="1268"/>
      <c r="Z205" s="1268"/>
      <c r="AA205" s="1269"/>
      <c r="AB205" s="1168"/>
    </row>
    <row r="206" spans="1:28" x14ac:dyDescent="0.45">
      <c r="A206" s="695"/>
      <c r="B206" s="1180"/>
      <c r="C206" s="1181" t="s">
        <v>66</v>
      </c>
      <c r="D206" s="1181"/>
      <c r="E206" s="1181"/>
      <c r="F206" s="1181"/>
      <c r="G206" s="1641"/>
      <c r="H206" s="1641">
        <f>IF($G$201=0,0,IF(H$196&gt;$G$202,0,IPMT($G$203,H$196,$G$202,-$G$201)))</f>
        <v>0</v>
      </c>
      <c r="I206" s="1641">
        <f t="shared" ref="I206:AA206" si="71">IF($G$201=0,0,IF(I$196&gt;$G$202,0,IPMT($G$203,I$196,$G$202,-$G$201)))</f>
        <v>0</v>
      </c>
      <c r="J206" s="1641">
        <f t="shared" si="71"/>
        <v>0</v>
      </c>
      <c r="K206" s="1641">
        <f t="shared" si="71"/>
        <v>0</v>
      </c>
      <c r="L206" s="1641">
        <f t="shared" si="71"/>
        <v>0</v>
      </c>
      <c r="M206" s="1641">
        <f t="shared" si="71"/>
        <v>0</v>
      </c>
      <c r="N206" s="1641">
        <f t="shared" si="71"/>
        <v>0</v>
      </c>
      <c r="O206" s="1641">
        <f t="shared" si="71"/>
        <v>0</v>
      </c>
      <c r="P206" s="1641">
        <f t="shared" si="71"/>
        <v>0</v>
      </c>
      <c r="Q206" s="1641">
        <f t="shared" si="71"/>
        <v>0</v>
      </c>
      <c r="R206" s="1641">
        <f t="shared" si="71"/>
        <v>0</v>
      </c>
      <c r="S206" s="1641">
        <f t="shared" si="71"/>
        <v>0</v>
      </c>
      <c r="T206" s="1641">
        <f t="shared" si="71"/>
        <v>0</v>
      </c>
      <c r="U206" s="1641">
        <f t="shared" si="71"/>
        <v>0</v>
      </c>
      <c r="V206" s="1641">
        <f t="shared" si="71"/>
        <v>0</v>
      </c>
      <c r="W206" s="1641">
        <f t="shared" si="71"/>
        <v>0</v>
      </c>
      <c r="X206" s="1641">
        <f t="shared" si="71"/>
        <v>0</v>
      </c>
      <c r="Y206" s="1641">
        <f t="shared" si="71"/>
        <v>0</v>
      </c>
      <c r="Z206" s="1641">
        <f t="shared" si="71"/>
        <v>0</v>
      </c>
      <c r="AA206" s="1642">
        <f t="shared" si="71"/>
        <v>0</v>
      </c>
      <c r="AB206" s="1168"/>
    </row>
    <row r="207" spans="1:28" x14ac:dyDescent="0.45">
      <c r="A207" s="695"/>
      <c r="B207" s="1180"/>
      <c r="C207" s="1193" t="s">
        <v>65</v>
      </c>
      <c r="D207" s="1193"/>
      <c r="E207" s="1193"/>
      <c r="F207" s="1193"/>
      <c r="G207" s="1643"/>
      <c r="H207" s="1643">
        <f>IF(G201=0,0, IF(H$196&gt;$G$202,0,PPMT($G$203,H$196,$G$202,-$G$201)))</f>
        <v>0</v>
      </c>
      <c r="I207" s="1643">
        <f>IF($G$201=0,0, IF(I$196&gt;$G$202,0,PPMT($G$203,I$196,$G$202,-$G$201)))</f>
        <v>0</v>
      </c>
      <c r="J207" s="1643">
        <f t="shared" ref="J207:AA207" si="72">IF($G$201=0,0, IF(J$196&gt;$G$202,0,PPMT($G$203,J$196,$G$202,-$G$201)))</f>
        <v>0</v>
      </c>
      <c r="K207" s="1643">
        <f t="shared" si="72"/>
        <v>0</v>
      </c>
      <c r="L207" s="1643">
        <f t="shared" si="72"/>
        <v>0</v>
      </c>
      <c r="M207" s="1643">
        <f t="shared" si="72"/>
        <v>0</v>
      </c>
      <c r="N207" s="1643">
        <f t="shared" si="72"/>
        <v>0</v>
      </c>
      <c r="O207" s="1643">
        <f t="shared" si="72"/>
        <v>0</v>
      </c>
      <c r="P207" s="1643">
        <f t="shared" si="72"/>
        <v>0</v>
      </c>
      <c r="Q207" s="1643">
        <f t="shared" si="72"/>
        <v>0</v>
      </c>
      <c r="R207" s="1643">
        <f t="shared" si="72"/>
        <v>0</v>
      </c>
      <c r="S207" s="1643">
        <f t="shared" si="72"/>
        <v>0</v>
      </c>
      <c r="T207" s="1643">
        <f t="shared" si="72"/>
        <v>0</v>
      </c>
      <c r="U207" s="1643">
        <f t="shared" si="72"/>
        <v>0</v>
      </c>
      <c r="V207" s="1643">
        <f t="shared" si="72"/>
        <v>0</v>
      </c>
      <c r="W207" s="1643">
        <f t="shared" si="72"/>
        <v>0</v>
      </c>
      <c r="X207" s="1643">
        <f t="shared" si="72"/>
        <v>0</v>
      </c>
      <c r="Y207" s="1643">
        <f t="shared" si="72"/>
        <v>0</v>
      </c>
      <c r="Z207" s="1643">
        <f t="shared" si="72"/>
        <v>0</v>
      </c>
      <c r="AA207" s="1644">
        <f t="shared" si="72"/>
        <v>0</v>
      </c>
      <c r="AB207" s="1168"/>
    </row>
    <row r="208" spans="1:28" x14ac:dyDescent="0.45">
      <c r="A208" s="695"/>
      <c r="B208" s="1180"/>
      <c r="C208" s="1181" t="s">
        <v>67</v>
      </c>
      <c r="D208" s="1181"/>
      <c r="E208" s="1181"/>
      <c r="F208" s="1181"/>
      <c r="G208" s="1641"/>
      <c r="H208" s="1641">
        <f>SUM(H206:H207)</f>
        <v>0</v>
      </c>
      <c r="I208" s="1641">
        <f t="shared" ref="I208:AA208" si="73">SUM(I206:I207)</f>
        <v>0</v>
      </c>
      <c r="J208" s="1641">
        <f t="shared" si="73"/>
        <v>0</v>
      </c>
      <c r="K208" s="1641">
        <f t="shared" si="73"/>
        <v>0</v>
      </c>
      <c r="L208" s="1641">
        <f t="shared" si="73"/>
        <v>0</v>
      </c>
      <c r="M208" s="1641">
        <f t="shared" si="73"/>
        <v>0</v>
      </c>
      <c r="N208" s="1641">
        <f t="shared" si="73"/>
        <v>0</v>
      </c>
      <c r="O208" s="1641">
        <f t="shared" si="73"/>
        <v>0</v>
      </c>
      <c r="P208" s="1641">
        <f t="shared" si="73"/>
        <v>0</v>
      </c>
      <c r="Q208" s="1641">
        <f t="shared" si="73"/>
        <v>0</v>
      </c>
      <c r="R208" s="1641">
        <f t="shared" si="73"/>
        <v>0</v>
      </c>
      <c r="S208" s="1641">
        <f t="shared" si="73"/>
        <v>0</v>
      </c>
      <c r="T208" s="1641">
        <f t="shared" si="73"/>
        <v>0</v>
      </c>
      <c r="U208" s="1641">
        <f t="shared" si="73"/>
        <v>0</v>
      </c>
      <c r="V208" s="1641">
        <f t="shared" si="73"/>
        <v>0</v>
      </c>
      <c r="W208" s="1641">
        <f t="shared" si="73"/>
        <v>0</v>
      </c>
      <c r="X208" s="1641">
        <f t="shared" si="73"/>
        <v>0</v>
      </c>
      <c r="Y208" s="1641">
        <f t="shared" si="73"/>
        <v>0</v>
      </c>
      <c r="Z208" s="1641">
        <f t="shared" si="73"/>
        <v>0</v>
      </c>
      <c r="AA208" s="1642">
        <f t="shared" si="73"/>
        <v>0</v>
      </c>
      <c r="AB208" s="1168"/>
    </row>
    <row r="209" spans="1:28" x14ac:dyDescent="0.45">
      <c r="A209" s="695"/>
      <c r="B209" s="1180"/>
      <c r="C209" s="1181"/>
      <c r="D209" s="1181"/>
      <c r="E209" s="1181"/>
      <c r="F209" s="1181"/>
      <c r="G209" s="1641"/>
      <c r="H209" s="1641"/>
      <c r="I209" s="1641"/>
      <c r="J209" s="1641"/>
      <c r="K209" s="1641"/>
      <c r="L209" s="1641"/>
      <c r="M209" s="1641"/>
      <c r="N209" s="1641"/>
      <c r="O209" s="1641"/>
      <c r="P209" s="1641"/>
      <c r="Q209" s="1641"/>
      <c r="R209" s="1641"/>
      <c r="S209" s="1641"/>
      <c r="T209" s="1641"/>
      <c r="U209" s="1641"/>
      <c r="V209" s="1641"/>
      <c r="W209" s="1641"/>
      <c r="X209" s="1641"/>
      <c r="Y209" s="1641"/>
      <c r="Z209" s="1641"/>
      <c r="AA209" s="1642"/>
      <c r="AB209" s="1168"/>
    </row>
    <row r="210" spans="1:28" x14ac:dyDescent="0.45">
      <c r="A210" s="695"/>
      <c r="B210" s="1180"/>
      <c r="C210" s="1271" t="s">
        <v>58</v>
      </c>
      <c r="D210" s="1181"/>
      <c r="E210" s="1181"/>
      <c r="F210" s="1181"/>
      <c r="G210" s="1641"/>
      <c r="H210" s="1641"/>
      <c r="I210" s="1641"/>
      <c r="J210" s="1641"/>
      <c r="K210" s="1641"/>
      <c r="L210" s="1641"/>
      <c r="M210" s="1641"/>
      <c r="N210" s="1641"/>
      <c r="O210" s="1641"/>
      <c r="P210" s="1641"/>
      <c r="Q210" s="1641"/>
      <c r="R210" s="1641"/>
      <c r="S210" s="1641"/>
      <c r="T210" s="1641"/>
      <c r="U210" s="1641"/>
      <c r="V210" s="1641"/>
      <c r="W210" s="1641"/>
      <c r="X210" s="1641"/>
      <c r="Y210" s="1641"/>
      <c r="Z210" s="1641"/>
      <c r="AA210" s="1642"/>
      <c r="AB210" s="1168"/>
    </row>
    <row r="211" spans="1:28" x14ac:dyDescent="0.45">
      <c r="A211" s="695"/>
      <c r="B211" s="1180"/>
      <c r="C211" s="1181" t="s">
        <v>68</v>
      </c>
      <c r="D211" s="1181"/>
      <c r="E211" s="1181"/>
      <c r="F211" s="1181"/>
      <c r="G211" s="1641">
        <v>0</v>
      </c>
      <c r="H211" s="1641">
        <f t="shared" ref="H211:AA211" si="74">G214</f>
        <v>0</v>
      </c>
      <c r="I211" s="1641">
        <f t="shared" si="74"/>
        <v>0</v>
      </c>
      <c r="J211" s="1641">
        <f t="shared" si="74"/>
        <v>0</v>
      </c>
      <c r="K211" s="1641">
        <f t="shared" si="74"/>
        <v>0</v>
      </c>
      <c r="L211" s="1641">
        <f t="shared" si="74"/>
        <v>0</v>
      </c>
      <c r="M211" s="1641">
        <f t="shared" si="74"/>
        <v>0</v>
      </c>
      <c r="N211" s="1641">
        <f t="shared" si="74"/>
        <v>0</v>
      </c>
      <c r="O211" s="1641">
        <f t="shared" si="74"/>
        <v>0</v>
      </c>
      <c r="P211" s="1641">
        <f t="shared" si="74"/>
        <v>0</v>
      </c>
      <c r="Q211" s="1641">
        <f t="shared" si="74"/>
        <v>0</v>
      </c>
      <c r="R211" s="1641">
        <f t="shared" si="74"/>
        <v>0</v>
      </c>
      <c r="S211" s="1641">
        <f t="shared" si="74"/>
        <v>0</v>
      </c>
      <c r="T211" s="1641">
        <f t="shared" si="74"/>
        <v>0</v>
      </c>
      <c r="U211" s="1641">
        <f t="shared" si="74"/>
        <v>0</v>
      </c>
      <c r="V211" s="1641">
        <f t="shared" si="74"/>
        <v>0</v>
      </c>
      <c r="W211" s="1641">
        <f t="shared" si="74"/>
        <v>0</v>
      </c>
      <c r="X211" s="1641">
        <f t="shared" si="74"/>
        <v>0</v>
      </c>
      <c r="Y211" s="1641">
        <f t="shared" si="74"/>
        <v>0</v>
      </c>
      <c r="Z211" s="1641">
        <f t="shared" si="74"/>
        <v>0</v>
      </c>
      <c r="AA211" s="1642">
        <f t="shared" si="74"/>
        <v>0</v>
      </c>
      <c r="AB211" s="1168"/>
    </row>
    <row r="212" spans="1:28" x14ac:dyDescent="0.45">
      <c r="A212" s="695"/>
      <c r="B212" s="1180"/>
      <c r="C212" s="1181" t="s">
        <v>69</v>
      </c>
      <c r="D212" s="1181"/>
      <c r="E212" s="1181"/>
      <c r="F212" s="1181"/>
      <c r="G212" s="1641">
        <f>G201</f>
        <v>0</v>
      </c>
      <c r="H212" s="1641">
        <v>0</v>
      </c>
      <c r="I212" s="1641">
        <v>0</v>
      </c>
      <c r="J212" s="1641">
        <v>0</v>
      </c>
      <c r="K212" s="1641">
        <v>0</v>
      </c>
      <c r="L212" s="1641">
        <v>0</v>
      </c>
      <c r="M212" s="1641">
        <v>0</v>
      </c>
      <c r="N212" s="1641">
        <v>0</v>
      </c>
      <c r="O212" s="1641">
        <v>0</v>
      </c>
      <c r="P212" s="1641">
        <v>0</v>
      </c>
      <c r="Q212" s="1641">
        <v>0</v>
      </c>
      <c r="R212" s="1641">
        <v>0</v>
      </c>
      <c r="S212" s="1641">
        <v>0</v>
      </c>
      <c r="T212" s="1641">
        <v>0</v>
      </c>
      <c r="U212" s="1641">
        <v>0</v>
      </c>
      <c r="V212" s="1641">
        <v>0</v>
      </c>
      <c r="W212" s="1641">
        <v>0</v>
      </c>
      <c r="X212" s="1641">
        <v>0</v>
      </c>
      <c r="Y212" s="1641">
        <v>0</v>
      </c>
      <c r="Z212" s="1641">
        <v>0</v>
      </c>
      <c r="AA212" s="1642">
        <v>0</v>
      </c>
      <c r="AB212" s="1168"/>
    </row>
    <row r="213" spans="1:28" x14ac:dyDescent="0.45">
      <c r="A213" s="695"/>
      <c r="B213" s="1180"/>
      <c r="C213" s="1193" t="s">
        <v>70</v>
      </c>
      <c r="D213" s="1193"/>
      <c r="E213" s="1193"/>
      <c r="F213" s="1193"/>
      <c r="G213" s="1643">
        <v>0</v>
      </c>
      <c r="H213" s="1643">
        <f t="shared" ref="H213:AA213" si="75">-H207</f>
        <v>0</v>
      </c>
      <c r="I213" s="1643">
        <f t="shared" si="75"/>
        <v>0</v>
      </c>
      <c r="J213" s="1643">
        <f t="shared" si="75"/>
        <v>0</v>
      </c>
      <c r="K213" s="1643">
        <f t="shared" si="75"/>
        <v>0</v>
      </c>
      <c r="L213" s="1643">
        <f t="shared" si="75"/>
        <v>0</v>
      </c>
      <c r="M213" s="1643">
        <f t="shared" si="75"/>
        <v>0</v>
      </c>
      <c r="N213" s="1643">
        <f t="shared" si="75"/>
        <v>0</v>
      </c>
      <c r="O213" s="1643">
        <f t="shared" si="75"/>
        <v>0</v>
      </c>
      <c r="P213" s="1643">
        <f t="shared" si="75"/>
        <v>0</v>
      </c>
      <c r="Q213" s="1643">
        <f t="shared" si="75"/>
        <v>0</v>
      </c>
      <c r="R213" s="1643">
        <f t="shared" si="75"/>
        <v>0</v>
      </c>
      <c r="S213" s="1643">
        <f t="shared" si="75"/>
        <v>0</v>
      </c>
      <c r="T213" s="1643">
        <f t="shared" si="75"/>
        <v>0</v>
      </c>
      <c r="U213" s="1643">
        <f t="shared" si="75"/>
        <v>0</v>
      </c>
      <c r="V213" s="1643">
        <f t="shared" si="75"/>
        <v>0</v>
      </c>
      <c r="W213" s="1643">
        <f t="shared" si="75"/>
        <v>0</v>
      </c>
      <c r="X213" s="1643">
        <f t="shared" si="75"/>
        <v>0</v>
      </c>
      <c r="Y213" s="1643">
        <f t="shared" si="75"/>
        <v>0</v>
      </c>
      <c r="Z213" s="1643">
        <f t="shared" si="75"/>
        <v>0</v>
      </c>
      <c r="AA213" s="1644">
        <f t="shared" si="75"/>
        <v>0</v>
      </c>
      <c r="AB213" s="1168"/>
    </row>
    <row r="214" spans="1:28" x14ac:dyDescent="0.45">
      <c r="A214" s="695"/>
      <c r="B214" s="1180"/>
      <c r="C214" s="1181" t="s">
        <v>59</v>
      </c>
      <c r="D214" s="1181"/>
      <c r="E214" s="1181"/>
      <c r="F214" s="1181"/>
      <c r="G214" s="1641">
        <f>SUM(G211:G213)</f>
        <v>0</v>
      </c>
      <c r="H214" s="1641">
        <f t="shared" ref="H214:AA214" si="76">SUM(H211:H213)</f>
        <v>0</v>
      </c>
      <c r="I214" s="1641">
        <f t="shared" si="76"/>
        <v>0</v>
      </c>
      <c r="J214" s="1641">
        <f t="shared" si="76"/>
        <v>0</v>
      </c>
      <c r="K214" s="1641">
        <f t="shared" si="76"/>
        <v>0</v>
      </c>
      <c r="L214" s="1641">
        <f t="shared" si="76"/>
        <v>0</v>
      </c>
      <c r="M214" s="1641">
        <f t="shared" si="76"/>
        <v>0</v>
      </c>
      <c r="N214" s="1641">
        <f t="shared" si="76"/>
        <v>0</v>
      </c>
      <c r="O214" s="1641">
        <f t="shared" si="76"/>
        <v>0</v>
      </c>
      <c r="P214" s="1641">
        <f t="shared" si="76"/>
        <v>0</v>
      </c>
      <c r="Q214" s="1641">
        <f t="shared" si="76"/>
        <v>0</v>
      </c>
      <c r="R214" s="1641">
        <f t="shared" si="76"/>
        <v>0</v>
      </c>
      <c r="S214" s="1641">
        <f t="shared" si="76"/>
        <v>0</v>
      </c>
      <c r="T214" s="1641">
        <f t="shared" si="76"/>
        <v>0</v>
      </c>
      <c r="U214" s="1641">
        <f t="shared" si="76"/>
        <v>0</v>
      </c>
      <c r="V214" s="1641">
        <f t="shared" si="76"/>
        <v>0</v>
      </c>
      <c r="W214" s="1641">
        <f t="shared" si="76"/>
        <v>0</v>
      </c>
      <c r="X214" s="1641">
        <f t="shared" si="76"/>
        <v>0</v>
      </c>
      <c r="Y214" s="1641">
        <f t="shared" si="76"/>
        <v>0</v>
      </c>
      <c r="Z214" s="1641">
        <f t="shared" si="76"/>
        <v>0</v>
      </c>
      <c r="AA214" s="1642">
        <f t="shared" si="76"/>
        <v>0</v>
      </c>
      <c r="AB214" s="1168"/>
    </row>
    <row r="215" spans="1:28" x14ac:dyDescent="0.45">
      <c r="A215" s="695"/>
      <c r="B215" s="1180"/>
      <c r="C215" s="1181"/>
      <c r="D215" s="1181"/>
      <c r="E215" s="1181"/>
      <c r="F215" s="1181"/>
      <c r="G215" s="1641"/>
      <c r="H215" s="1641"/>
      <c r="I215" s="1641"/>
      <c r="J215" s="1641"/>
      <c r="K215" s="1641"/>
      <c r="L215" s="1641"/>
      <c r="M215" s="1641"/>
      <c r="N215" s="1641"/>
      <c r="O215" s="1641"/>
      <c r="P215" s="1641"/>
      <c r="Q215" s="1641"/>
      <c r="R215" s="1641"/>
      <c r="S215" s="1641"/>
      <c r="T215" s="1641"/>
      <c r="U215" s="1641"/>
      <c r="V215" s="1641"/>
      <c r="W215" s="1641"/>
      <c r="X215" s="1641"/>
      <c r="Y215" s="1641"/>
      <c r="Z215" s="1641"/>
      <c r="AA215" s="1642"/>
      <c r="AB215" s="1168"/>
    </row>
    <row r="216" spans="1:28" x14ac:dyDescent="0.45">
      <c r="A216" s="695"/>
      <c r="B216" s="1180"/>
      <c r="C216" s="1271" t="s">
        <v>64</v>
      </c>
      <c r="D216" s="1181"/>
      <c r="E216" s="1181"/>
      <c r="F216" s="1181"/>
      <c r="G216" s="1641"/>
      <c r="H216" s="1641"/>
      <c r="I216" s="1641"/>
      <c r="J216" s="1641"/>
      <c r="K216" s="1641"/>
      <c r="L216" s="1641"/>
      <c r="M216" s="1641"/>
      <c r="N216" s="1641"/>
      <c r="O216" s="1641"/>
      <c r="P216" s="1641"/>
      <c r="Q216" s="1641"/>
      <c r="R216" s="1641"/>
      <c r="S216" s="1641"/>
      <c r="T216" s="1641"/>
      <c r="U216" s="1641"/>
      <c r="V216" s="1641"/>
      <c r="W216" s="1641"/>
      <c r="X216" s="1641"/>
      <c r="Y216" s="1641"/>
      <c r="Z216" s="1641"/>
      <c r="AA216" s="1642"/>
      <c r="AB216" s="1168"/>
    </row>
    <row r="217" spans="1:28" x14ac:dyDescent="0.45">
      <c r="A217" s="695"/>
      <c r="B217" s="1180"/>
      <c r="C217" s="1181" t="str">
        <f>'II. Inputs, Baseline Energy Mix'!E78</f>
        <v>Front-end Fee</v>
      </c>
      <c r="D217" s="1181"/>
      <c r="E217" s="1181"/>
      <c r="F217" s="1181"/>
      <c r="G217" s="1641"/>
      <c r="H217" s="1641">
        <f>IF($G$201&gt;0, $G$201*'III. Inputs, Renewable Energy'!$S$53/10000,0)</f>
        <v>0</v>
      </c>
      <c r="I217" s="1641">
        <v>0</v>
      </c>
      <c r="J217" s="1641">
        <v>0</v>
      </c>
      <c r="K217" s="1641">
        <v>0</v>
      </c>
      <c r="L217" s="1641">
        <v>0</v>
      </c>
      <c r="M217" s="1641">
        <v>0</v>
      </c>
      <c r="N217" s="1641">
        <v>0</v>
      </c>
      <c r="O217" s="1641">
        <v>0</v>
      </c>
      <c r="P217" s="1641">
        <v>0</v>
      </c>
      <c r="Q217" s="1641">
        <v>0</v>
      </c>
      <c r="R217" s="1641">
        <v>0</v>
      </c>
      <c r="S217" s="1641">
        <v>0</v>
      </c>
      <c r="T217" s="1641">
        <v>0</v>
      </c>
      <c r="U217" s="1641">
        <v>0</v>
      </c>
      <c r="V217" s="1641">
        <v>0</v>
      </c>
      <c r="W217" s="1641">
        <v>0</v>
      </c>
      <c r="X217" s="1641">
        <v>0</v>
      </c>
      <c r="Y217" s="1641">
        <v>0</v>
      </c>
      <c r="Z217" s="1641">
        <v>0</v>
      </c>
      <c r="AA217" s="1642">
        <v>0</v>
      </c>
      <c r="AB217" s="1168"/>
    </row>
    <row r="218" spans="1:28" x14ac:dyDescent="0.45">
      <c r="A218" s="695"/>
      <c r="B218" s="1180"/>
      <c r="C218" s="1181"/>
      <c r="D218" s="1181"/>
      <c r="E218" s="1181"/>
      <c r="F218" s="1181"/>
      <c r="G218" s="1263"/>
      <c r="H218" s="1263"/>
      <c r="I218" s="1263"/>
      <c r="J218" s="1263"/>
      <c r="K218" s="1263"/>
      <c r="L218" s="1263"/>
      <c r="M218" s="1263"/>
      <c r="N218" s="1263"/>
      <c r="O218" s="1263"/>
      <c r="P218" s="1263"/>
      <c r="Q218" s="1263"/>
      <c r="R218" s="1263"/>
      <c r="S218" s="1263"/>
      <c r="T218" s="1263"/>
      <c r="U218" s="1263"/>
      <c r="V218" s="1263"/>
      <c r="W218" s="1263"/>
      <c r="X218" s="1263"/>
      <c r="Y218" s="1263"/>
      <c r="Z218" s="1263"/>
      <c r="AA218" s="1264"/>
      <c r="AB218" s="695"/>
    </row>
    <row r="219" spans="1:28" ht="13.15" x14ac:dyDescent="0.45">
      <c r="A219" s="695"/>
      <c r="B219" s="1196" t="s">
        <v>151</v>
      </c>
      <c r="C219" s="1181"/>
      <c r="D219" s="1181"/>
      <c r="E219" s="1181"/>
      <c r="F219" s="1181"/>
      <c r="G219" s="1263"/>
      <c r="H219" s="1263"/>
      <c r="I219" s="1263"/>
      <c r="J219" s="1263"/>
      <c r="K219" s="1263"/>
      <c r="L219" s="1263"/>
      <c r="M219" s="1263"/>
      <c r="N219" s="1263"/>
      <c r="O219" s="1263"/>
      <c r="P219" s="1263"/>
      <c r="Q219" s="1263"/>
      <c r="R219" s="1263"/>
      <c r="S219" s="1263"/>
      <c r="T219" s="1263"/>
      <c r="U219" s="1263"/>
      <c r="V219" s="1263"/>
      <c r="W219" s="1263"/>
      <c r="X219" s="1263"/>
      <c r="Y219" s="1263"/>
      <c r="Z219" s="1263"/>
      <c r="AA219" s="1264"/>
      <c r="AB219" s="695"/>
    </row>
    <row r="220" spans="1:28" x14ac:dyDescent="0.45">
      <c r="A220" s="695"/>
      <c r="B220" s="1180"/>
      <c r="C220" s="1265" t="s">
        <v>61</v>
      </c>
      <c r="D220" s="1187" t="s">
        <v>748</v>
      </c>
      <c r="E220" s="1181"/>
      <c r="F220" s="1181"/>
      <c r="G220" s="1641">
        <f>IF('III. Inputs, Renewable Energy'!$S$37&gt;0, 'III. Inputs, Renewable Energy'!$U$15*'III. Inputs, Renewable Energy'!$U$14*'III. Inputs, Renewable Energy'!$S$34*SUM('III. Inputs, Renewable Energy'!$S$37), 0)</f>
        <v>0</v>
      </c>
      <c r="H220" s="1263"/>
      <c r="I220" s="1263"/>
      <c r="J220" s="1263"/>
      <c r="K220" s="1263"/>
      <c r="L220" s="1263"/>
      <c r="M220" s="1263"/>
      <c r="N220" s="1263"/>
      <c r="O220" s="1263"/>
      <c r="P220" s="1263"/>
      <c r="Q220" s="1263"/>
      <c r="R220" s="1263"/>
      <c r="S220" s="1263"/>
      <c r="T220" s="1263"/>
      <c r="U220" s="1263"/>
      <c r="V220" s="1263"/>
      <c r="W220" s="1263"/>
      <c r="X220" s="1263"/>
      <c r="Y220" s="1263"/>
      <c r="Z220" s="1263"/>
      <c r="AA220" s="1264"/>
      <c r="AB220" s="695"/>
    </row>
    <row r="221" spans="1:28" x14ac:dyDescent="0.45">
      <c r="A221" s="695"/>
      <c r="B221" s="1180"/>
      <c r="C221" s="1265" t="s">
        <v>62</v>
      </c>
      <c r="D221" s="1187" t="s">
        <v>18</v>
      </c>
      <c r="E221" s="1181"/>
      <c r="F221" s="1181"/>
      <c r="G221" s="1266">
        <f>SUM('III. Inputs, Renewable Energy'!$S$49)</f>
        <v>0</v>
      </c>
      <c r="H221" s="1263"/>
      <c r="I221" s="1263"/>
      <c r="J221" s="1263"/>
      <c r="K221" s="1263"/>
      <c r="L221" s="1263"/>
      <c r="M221" s="1263"/>
      <c r="N221" s="1263"/>
      <c r="O221" s="1263"/>
      <c r="P221" s="1263"/>
      <c r="Q221" s="1263"/>
      <c r="R221" s="1263"/>
      <c r="S221" s="1263"/>
      <c r="T221" s="1263"/>
      <c r="U221" s="1263"/>
      <c r="V221" s="1263"/>
      <c r="W221" s="1263"/>
      <c r="X221" s="1263"/>
      <c r="Y221" s="1263"/>
      <c r="Z221" s="1263"/>
      <c r="AA221" s="1264"/>
      <c r="AB221" s="695"/>
    </row>
    <row r="222" spans="1:28" x14ac:dyDescent="0.45">
      <c r="A222" s="695"/>
      <c r="B222" s="1180"/>
      <c r="C222" s="1265" t="s">
        <v>63</v>
      </c>
      <c r="D222" s="1187" t="s">
        <v>14</v>
      </c>
      <c r="E222" s="1181"/>
      <c r="F222" s="1181"/>
      <c r="G222" s="1267">
        <f>SUM('III. Inputs, Renewable Energy'!$S$44)</f>
        <v>0</v>
      </c>
      <c r="H222" s="1263"/>
      <c r="I222" s="1263"/>
      <c r="J222" s="1263"/>
      <c r="K222" s="1263"/>
      <c r="L222" s="1263"/>
      <c r="M222" s="1263"/>
      <c r="N222" s="1263"/>
      <c r="O222" s="1263"/>
      <c r="P222" s="1263"/>
      <c r="Q222" s="1263"/>
      <c r="R222" s="1263"/>
      <c r="S222" s="1263"/>
      <c r="T222" s="1263"/>
      <c r="U222" s="1263"/>
      <c r="V222" s="1263"/>
      <c r="W222" s="1263"/>
      <c r="X222" s="1263"/>
      <c r="Y222" s="1263"/>
      <c r="Z222" s="1263"/>
      <c r="AA222" s="1264"/>
      <c r="AB222" s="695"/>
    </row>
    <row r="223" spans="1:28" x14ac:dyDescent="0.45">
      <c r="A223" s="695"/>
      <c r="B223" s="1180"/>
      <c r="C223" s="1265" t="s">
        <v>204</v>
      </c>
      <c r="D223" s="1187" t="s">
        <v>14</v>
      </c>
      <c r="E223" s="1181"/>
      <c r="F223" s="1181"/>
      <c r="G223" s="1272">
        <f>SUM('III. Inputs, Renewable Energy'!$S$222)</f>
        <v>0</v>
      </c>
      <c r="H223" s="1263"/>
      <c r="I223" s="1263"/>
      <c r="J223" s="1263"/>
      <c r="K223" s="1263"/>
      <c r="L223" s="1263"/>
      <c r="M223" s="1263"/>
      <c r="N223" s="1263"/>
      <c r="O223" s="1263"/>
      <c r="P223" s="1263"/>
      <c r="Q223" s="1263"/>
      <c r="R223" s="1263"/>
      <c r="S223" s="1263"/>
      <c r="T223" s="1263"/>
      <c r="U223" s="1263"/>
      <c r="V223" s="1263"/>
      <c r="W223" s="1263"/>
      <c r="X223" s="1263"/>
      <c r="Y223" s="1263"/>
      <c r="Z223" s="1263"/>
      <c r="AA223" s="1264"/>
      <c r="AB223" s="695"/>
    </row>
    <row r="224" spans="1:28" x14ac:dyDescent="0.45">
      <c r="A224" s="695"/>
      <c r="B224" s="1180"/>
      <c r="C224" s="1265" t="s">
        <v>178</v>
      </c>
      <c r="D224" s="1187" t="s">
        <v>18</v>
      </c>
      <c r="E224" s="1181"/>
      <c r="F224" s="1181"/>
      <c r="G224" s="1273">
        <f>'III. Inputs, Renewable Energy'!$S$223</f>
        <v>0</v>
      </c>
      <c r="H224" s="1263"/>
      <c r="I224" s="1263"/>
      <c r="J224" s="1263"/>
      <c r="K224" s="1263"/>
      <c r="L224" s="1263"/>
      <c r="M224" s="1263"/>
      <c r="N224" s="1263"/>
      <c r="O224" s="1263"/>
      <c r="P224" s="1263"/>
      <c r="Q224" s="1263"/>
      <c r="R224" s="1263"/>
      <c r="S224" s="1263"/>
      <c r="T224" s="1263"/>
      <c r="U224" s="1263"/>
      <c r="V224" s="1263"/>
      <c r="W224" s="1263"/>
      <c r="X224" s="1263"/>
      <c r="Y224" s="1263"/>
      <c r="Z224" s="1263"/>
      <c r="AA224" s="1264"/>
      <c r="AB224" s="695"/>
    </row>
    <row r="225" spans="1:28" x14ac:dyDescent="0.45">
      <c r="A225" s="695"/>
      <c r="B225" s="1180"/>
      <c r="C225" s="1181"/>
      <c r="D225" s="1181"/>
      <c r="E225" s="1181"/>
      <c r="F225" s="1181"/>
      <c r="G225" s="1263"/>
      <c r="H225" s="1263"/>
      <c r="I225" s="1263"/>
      <c r="J225" s="1263"/>
      <c r="K225" s="1263"/>
      <c r="L225" s="1263"/>
      <c r="M225" s="1263"/>
      <c r="N225" s="1263"/>
      <c r="O225" s="1263"/>
      <c r="P225" s="1263"/>
      <c r="Q225" s="1263"/>
      <c r="R225" s="1263"/>
      <c r="S225" s="1263"/>
      <c r="T225" s="1263"/>
      <c r="U225" s="1263"/>
      <c r="V225" s="1263"/>
      <c r="W225" s="1263"/>
      <c r="X225" s="1263"/>
      <c r="Y225" s="1263"/>
      <c r="Z225" s="1263"/>
      <c r="AA225" s="1264"/>
      <c r="AB225" s="695"/>
    </row>
    <row r="226" spans="1:28" x14ac:dyDescent="0.45">
      <c r="A226" s="695"/>
      <c r="B226" s="1180"/>
      <c r="C226" s="1270" t="s">
        <v>60</v>
      </c>
      <c r="D226" s="1181"/>
      <c r="E226" s="1181"/>
      <c r="F226" s="1181"/>
      <c r="G226" s="1268"/>
      <c r="H226" s="1268"/>
      <c r="I226" s="1268"/>
      <c r="J226" s="1268"/>
      <c r="K226" s="1268"/>
      <c r="L226" s="1268"/>
      <c r="M226" s="1268"/>
      <c r="N226" s="1268"/>
      <c r="O226" s="1268"/>
      <c r="P226" s="1268"/>
      <c r="Q226" s="1268"/>
      <c r="R226" s="1268"/>
      <c r="S226" s="1268"/>
      <c r="T226" s="1268"/>
      <c r="U226" s="1268"/>
      <c r="V226" s="1268"/>
      <c r="W226" s="1268"/>
      <c r="X226" s="1268"/>
      <c r="Y226" s="1268"/>
      <c r="Z226" s="1268"/>
      <c r="AA226" s="1269"/>
      <c r="AB226" s="1168"/>
    </row>
    <row r="227" spans="1:28" x14ac:dyDescent="0.45">
      <c r="A227" s="695"/>
      <c r="B227" s="1180"/>
      <c r="C227" s="1181" t="s">
        <v>66</v>
      </c>
      <c r="D227" s="1181"/>
      <c r="E227" s="1181"/>
      <c r="F227" s="1181"/>
      <c r="G227" s="1641"/>
      <c r="H227" s="1641">
        <f>IF($G$220=0,0,IF(H$196&gt;$G$221,0,IPMT($G$222,H$196,$G$221,-$G$220)))</f>
        <v>0</v>
      </c>
      <c r="I227" s="1641">
        <f t="shared" ref="I227:AA227" si="77">IF($G$220=0,0,IF(I$196&gt;$G$221,0,IPMT($G$222,I$196,$G$221,-$G$220)))</f>
        <v>0</v>
      </c>
      <c r="J227" s="1641">
        <f t="shared" si="77"/>
        <v>0</v>
      </c>
      <c r="K227" s="1641">
        <f t="shared" si="77"/>
        <v>0</v>
      </c>
      <c r="L227" s="1641">
        <f t="shared" si="77"/>
        <v>0</v>
      </c>
      <c r="M227" s="1641">
        <f t="shared" si="77"/>
        <v>0</v>
      </c>
      <c r="N227" s="1641">
        <f t="shared" si="77"/>
        <v>0</v>
      </c>
      <c r="O227" s="1641">
        <f t="shared" si="77"/>
        <v>0</v>
      </c>
      <c r="P227" s="1641">
        <f t="shared" si="77"/>
        <v>0</v>
      </c>
      <c r="Q227" s="1641">
        <f t="shared" si="77"/>
        <v>0</v>
      </c>
      <c r="R227" s="1641">
        <f t="shared" si="77"/>
        <v>0</v>
      </c>
      <c r="S227" s="1641">
        <f t="shared" si="77"/>
        <v>0</v>
      </c>
      <c r="T227" s="1641">
        <f t="shared" si="77"/>
        <v>0</v>
      </c>
      <c r="U227" s="1641">
        <f t="shared" si="77"/>
        <v>0</v>
      </c>
      <c r="V227" s="1641">
        <f t="shared" si="77"/>
        <v>0</v>
      </c>
      <c r="W227" s="1641">
        <f t="shared" si="77"/>
        <v>0</v>
      </c>
      <c r="X227" s="1641">
        <f t="shared" si="77"/>
        <v>0</v>
      </c>
      <c r="Y227" s="1641">
        <f t="shared" si="77"/>
        <v>0</v>
      </c>
      <c r="Z227" s="1641">
        <f t="shared" si="77"/>
        <v>0</v>
      </c>
      <c r="AA227" s="1642">
        <f t="shared" si="77"/>
        <v>0</v>
      </c>
      <c r="AB227" s="1168"/>
    </row>
    <row r="228" spans="1:28" x14ac:dyDescent="0.45">
      <c r="A228" s="695"/>
      <c r="B228" s="1180"/>
      <c r="C228" s="1193" t="s">
        <v>65</v>
      </c>
      <c r="D228" s="1193"/>
      <c r="E228" s="1193"/>
      <c r="F228" s="1193"/>
      <c r="G228" s="1643"/>
      <c r="H228" s="1643">
        <f>IF($G$220=0,0,IF(H$196&gt;$G$221,0,PPMT($G$222,H$196,$G$221,-$G$220)))</f>
        <v>0</v>
      </c>
      <c r="I228" s="1643">
        <f t="shared" ref="I228:AA228" si="78">IF($G$220=0,0,IF(I$196&gt;$G$221,0,PPMT($G$222,I$196,$G$221,-$G$220)))</f>
        <v>0</v>
      </c>
      <c r="J228" s="1643">
        <f t="shared" si="78"/>
        <v>0</v>
      </c>
      <c r="K228" s="1643">
        <f t="shared" si="78"/>
        <v>0</v>
      </c>
      <c r="L228" s="1643">
        <f t="shared" si="78"/>
        <v>0</v>
      </c>
      <c r="M228" s="1643">
        <f t="shared" si="78"/>
        <v>0</v>
      </c>
      <c r="N228" s="1643">
        <f t="shared" si="78"/>
        <v>0</v>
      </c>
      <c r="O228" s="1643">
        <f t="shared" si="78"/>
        <v>0</v>
      </c>
      <c r="P228" s="1643">
        <f t="shared" si="78"/>
        <v>0</v>
      </c>
      <c r="Q228" s="1643">
        <f t="shared" si="78"/>
        <v>0</v>
      </c>
      <c r="R228" s="1643">
        <f t="shared" si="78"/>
        <v>0</v>
      </c>
      <c r="S228" s="1643">
        <f t="shared" si="78"/>
        <v>0</v>
      </c>
      <c r="T228" s="1643">
        <f t="shared" si="78"/>
        <v>0</v>
      </c>
      <c r="U228" s="1643">
        <f t="shared" si="78"/>
        <v>0</v>
      </c>
      <c r="V228" s="1643">
        <f t="shared" si="78"/>
        <v>0</v>
      </c>
      <c r="W228" s="1643">
        <f t="shared" si="78"/>
        <v>0</v>
      </c>
      <c r="X228" s="1643">
        <f t="shared" si="78"/>
        <v>0</v>
      </c>
      <c r="Y228" s="1643">
        <f t="shared" si="78"/>
        <v>0</v>
      </c>
      <c r="Z228" s="1643">
        <f t="shared" si="78"/>
        <v>0</v>
      </c>
      <c r="AA228" s="1644">
        <f t="shared" si="78"/>
        <v>0</v>
      </c>
      <c r="AB228" s="1168"/>
    </row>
    <row r="229" spans="1:28" x14ac:dyDescent="0.45">
      <c r="A229" s="695"/>
      <c r="B229" s="1180"/>
      <c r="C229" s="1181" t="s">
        <v>67</v>
      </c>
      <c r="D229" s="1181"/>
      <c r="E229" s="1181"/>
      <c r="F229" s="1181"/>
      <c r="G229" s="1641"/>
      <c r="H229" s="1641">
        <f>SUM(H227:H228)</f>
        <v>0</v>
      </c>
      <c r="I229" s="1641">
        <f t="shared" ref="I229:W229" si="79">SUM(I227:I228)</f>
        <v>0</v>
      </c>
      <c r="J229" s="1641">
        <f t="shared" si="79"/>
        <v>0</v>
      </c>
      <c r="K229" s="1641">
        <f t="shared" si="79"/>
        <v>0</v>
      </c>
      <c r="L229" s="1641">
        <f t="shared" si="79"/>
        <v>0</v>
      </c>
      <c r="M229" s="1641">
        <f t="shared" si="79"/>
        <v>0</v>
      </c>
      <c r="N229" s="1641">
        <f t="shared" si="79"/>
        <v>0</v>
      </c>
      <c r="O229" s="1641">
        <f t="shared" si="79"/>
        <v>0</v>
      </c>
      <c r="P229" s="1641">
        <f t="shared" si="79"/>
        <v>0</v>
      </c>
      <c r="Q229" s="1641">
        <f t="shared" si="79"/>
        <v>0</v>
      </c>
      <c r="R229" s="1641">
        <f t="shared" si="79"/>
        <v>0</v>
      </c>
      <c r="S229" s="1641">
        <f t="shared" si="79"/>
        <v>0</v>
      </c>
      <c r="T229" s="1641">
        <f t="shared" si="79"/>
        <v>0</v>
      </c>
      <c r="U229" s="1641">
        <f t="shared" si="79"/>
        <v>0</v>
      </c>
      <c r="V229" s="1641">
        <f t="shared" si="79"/>
        <v>0</v>
      </c>
      <c r="W229" s="1641">
        <f t="shared" si="79"/>
        <v>0</v>
      </c>
      <c r="X229" s="1641">
        <f>SUM(X227:X228)</f>
        <v>0</v>
      </c>
      <c r="Y229" s="1641">
        <f>SUM(Y227:Y228)</f>
        <v>0</v>
      </c>
      <c r="Z229" s="1641">
        <f>SUM(Z227:Z228)</f>
        <v>0</v>
      </c>
      <c r="AA229" s="1642">
        <f>SUM(AA227:AA228)</f>
        <v>0</v>
      </c>
      <c r="AB229" s="1168"/>
    </row>
    <row r="230" spans="1:28" x14ac:dyDescent="0.45">
      <c r="A230" s="695"/>
      <c r="B230" s="1180"/>
      <c r="C230" s="1181"/>
      <c r="D230" s="1181"/>
      <c r="E230" s="1181"/>
      <c r="F230" s="1181"/>
      <c r="G230" s="1641"/>
      <c r="H230" s="1641"/>
      <c r="I230" s="1641"/>
      <c r="J230" s="1641"/>
      <c r="K230" s="1641"/>
      <c r="L230" s="1641"/>
      <c r="M230" s="1641"/>
      <c r="N230" s="1641"/>
      <c r="O230" s="1641"/>
      <c r="P230" s="1641"/>
      <c r="Q230" s="1641"/>
      <c r="R230" s="1641"/>
      <c r="S230" s="1641"/>
      <c r="T230" s="1641"/>
      <c r="U230" s="1641"/>
      <c r="V230" s="1641"/>
      <c r="W230" s="1641"/>
      <c r="X230" s="1641"/>
      <c r="Y230" s="1641"/>
      <c r="Z230" s="1641"/>
      <c r="AA230" s="1642"/>
      <c r="AB230" s="1168"/>
    </row>
    <row r="231" spans="1:28" x14ac:dyDescent="0.45">
      <c r="A231" s="695"/>
      <c r="B231" s="1180"/>
      <c r="C231" s="1271" t="s">
        <v>58</v>
      </c>
      <c r="D231" s="1181"/>
      <c r="E231" s="1181"/>
      <c r="F231" s="1181"/>
      <c r="G231" s="1641"/>
      <c r="H231" s="1641"/>
      <c r="I231" s="1641"/>
      <c r="J231" s="1641"/>
      <c r="K231" s="1641"/>
      <c r="L231" s="1641"/>
      <c r="M231" s="1641"/>
      <c r="N231" s="1641"/>
      <c r="O231" s="1641"/>
      <c r="P231" s="1641"/>
      <c r="Q231" s="1641"/>
      <c r="R231" s="1641"/>
      <c r="S231" s="1641"/>
      <c r="T231" s="1641"/>
      <c r="U231" s="1641"/>
      <c r="V231" s="1641"/>
      <c r="W231" s="1641"/>
      <c r="X231" s="1641"/>
      <c r="Y231" s="1641"/>
      <c r="Z231" s="1641"/>
      <c r="AA231" s="1642"/>
      <c r="AB231" s="1168"/>
    </row>
    <row r="232" spans="1:28" x14ac:dyDescent="0.45">
      <c r="A232" s="695"/>
      <c r="B232" s="1180"/>
      <c r="C232" s="1181" t="s">
        <v>68</v>
      </c>
      <c r="D232" s="1181"/>
      <c r="E232" s="1181"/>
      <c r="F232" s="1181"/>
      <c r="G232" s="1641">
        <v>0</v>
      </c>
      <c r="H232" s="1641">
        <f>G235</f>
        <v>0</v>
      </c>
      <c r="I232" s="1641">
        <f t="shared" ref="I232:W232" si="80">H235</f>
        <v>0</v>
      </c>
      <c r="J232" s="1641">
        <f t="shared" si="80"/>
        <v>0</v>
      </c>
      <c r="K232" s="1641">
        <f t="shared" si="80"/>
        <v>0</v>
      </c>
      <c r="L232" s="1641">
        <f t="shared" si="80"/>
        <v>0</v>
      </c>
      <c r="M232" s="1641">
        <f t="shared" si="80"/>
        <v>0</v>
      </c>
      <c r="N232" s="1641">
        <f t="shared" si="80"/>
        <v>0</v>
      </c>
      <c r="O232" s="1641">
        <f t="shared" si="80"/>
        <v>0</v>
      </c>
      <c r="P232" s="1641">
        <f t="shared" si="80"/>
        <v>0</v>
      </c>
      <c r="Q232" s="1641">
        <f t="shared" si="80"/>
        <v>0</v>
      </c>
      <c r="R232" s="1641">
        <f t="shared" si="80"/>
        <v>0</v>
      </c>
      <c r="S232" s="1641">
        <f t="shared" si="80"/>
        <v>0</v>
      </c>
      <c r="T232" s="1641">
        <f t="shared" si="80"/>
        <v>0</v>
      </c>
      <c r="U232" s="1641">
        <f t="shared" si="80"/>
        <v>0</v>
      </c>
      <c r="V232" s="1641">
        <f t="shared" si="80"/>
        <v>0</v>
      </c>
      <c r="W232" s="1641">
        <f t="shared" si="80"/>
        <v>0</v>
      </c>
      <c r="X232" s="1641">
        <f>W235</f>
        <v>0</v>
      </c>
      <c r="Y232" s="1641">
        <f>X235</f>
        <v>0</v>
      </c>
      <c r="Z232" s="1641">
        <f>Y235</f>
        <v>0</v>
      </c>
      <c r="AA232" s="1642">
        <f>Z235</f>
        <v>0</v>
      </c>
      <c r="AB232" s="1168"/>
    </row>
    <row r="233" spans="1:28" x14ac:dyDescent="0.45">
      <c r="A233" s="695"/>
      <c r="B233" s="1180"/>
      <c r="C233" s="1181" t="s">
        <v>69</v>
      </c>
      <c r="D233" s="1181"/>
      <c r="E233" s="1181"/>
      <c r="F233" s="1181"/>
      <c r="G233" s="1641">
        <f>G220</f>
        <v>0</v>
      </c>
      <c r="H233" s="1641">
        <v>0</v>
      </c>
      <c r="I233" s="1641">
        <v>0</v>
      </c>
      <c r="J233" s="1641">
        <v>0</v>
      </c>
      <c r="K233" s="1641">
        <v>0</v>
      </c>
      <c r="L233" s="1641">
        <v>0</v>
      </c>
      <c r="M233" s="1641">
        <v>0</v>
      </c>
      <c r="N233" s="1641">
        <v>0</v>
      </c>
      <c r="O233" s="1641">
        <v>0</v>
      </c>
      <c r="P233" s="1641">
        <v>0</v>
      </c>
      <c r="Q233" s="1641">
        <v>0</v>
      </c>
      <c r="R233" s="1641">
        <v>0</v>
      </c>
      <c r="S233" s="1641">
        <v>0</v>
      </c>
      <c r="T233" s="1641">
        <v>0</v>
      </c>
      <c r="U233" s="1641">
        <v>0</v>
      </c>
      <c r="V233" s="1641">
        <v>0</v>
      </c>
      <c r="W233" s="1641">
        <v>0</v>
      </c>
      <c r="X233" s="1641">
        <v>0</v>
      </c>
      <c r="Y233" s="1641">
        <v>0</v>
      </c>
      <c r="Z233" s="1641">
        <v>0</v>
      </c>
      <c r="AA233" s="1642">
        <v>0</v>
      </c>
      <c r="AB233" s="1168"/>
    </row>
    <row r="234" spans="1:28" x14ac:dyDescent="0.45">
      <c r="A234" s="695"/>
      <c r="B234" s="1180"/>
      <c r="C234" s="1193" t="s">
        <v>70</v>
      </c>
      <c r="D234" s="1193"/>
      <c r="E234" s="1193"/>
      <c r="F234" s="1193"/>
      <c r="G234" s="1643">
        <v>0</v>
      </c>
      <c r="H234" s="1643">
        <f>-H228</f>
        <v>0</v>
      </c>
      <c r="I234" s="1643">
        <f t="shared" ref="I234:W234" si="81">-I228</f>
        <v>0</v>
      </c>
      <c r="J234" s="1643">
        <f t="shared" si="81"/>
        <v>0</v>
      </c>
      <c r="K234" s="1643">
        <f t="shared" si="81"/>
        <v>0</v>
      </c>
      <c r="L234" s="1643">
        <f t="shared" si="81"/>
        <v>0</v>
      </c>
      <c r="M234" s="1643">
        <f t="shared" si="81"/>
        <v>0</v>
      </c>
      <c r="N234" s="1643">
        <f t="shared" si="81"/>
        <v>0</v>
      </c>
      <c r="O234" s="1643">
        <f t="shared" si="81"/>
        <v>0</v>
      </c>
      <c r="P234" s="1643">
        <f t="shared" si="81"/>
        <v>0</v>
      </c>
      <c r="Q234" s="1643">
        <f t="shared" si="81"/>
        <v>0</v>
      </c>
      <c r="R234" s="1643">
        <f t="shared" si="81"/>
        <v>0</v>
      </c>
      <c r="S234" s="1643">
        <f t="shared" si="81"/>
        <v>0</v>
      </c>
      <c r="T234" s="1643">
        <f t="shared" si="81"/>
        <v>0</v>
      </c>
      <c r="U234" s="1643">
        <f t="shared" si="81"/>
        <v>0</v>
      </c>
      <c r="V234" s="1643">
        <f t="shared" si="81"/>
        <v>0</v>
      </c>
      <c r="W234" s="1643">
        <f t="shared" si="81"/>
        <v>0</v>
      </c>
      <c r="X234" s="1643">
        <f>-X228</f>
        <v>0</v>
      </c>
      <c r="Y234" s="1643">
        <f>-Y228</f>
        <v>0</v>
      </c>
      <c r="Z234" s="1643">
        <f>-Z228</f>
        <v>0</v>
      </c>
      <c r="AA234" s="1644">
        <f>-AA228</f>
        <v>0</v>
      </c>
      <c r="AB234" s="1168"/>
    </row>
    <row r="235" spans="1:28" x14ac:dyDescent="0.45">
      <c r="A235" s="695"/>
      <c r="B235" s="1180"/>
      <c r="C235" s="1181" t="s">
        <v>59</v>
      </c>
      <c r="D235" s="1181"/>
      <c r="E235" s="1181"/>
      <c r="F235" s="1181"/>
      <c r="G235" s="1641">
        <f>SUM(G232:G234)</f>
        <v>0</v>
      </c>
      <c r="H235" s="1641">
        <f>SUM(H232:H234)</f>
        <v>0</v>
      </c>
      <c r="I235" s="1641">
        <f t="shared" ref="I235:W235" si="82">SUM(I232:I234)</f>
        <v>0</v>
      </c>
      <c r="J235" s="1641">
        <f t="shared" si="82"/>
        <v>0</v>
      </c>
      <c r="K235" s="1641">
        <f t="shared" si="82"/>
        <v>0</v>
      </c>
      <c r="L235" s="1641">
        <f t="shared" si="82"/>
        <v>0</v>
      </c>
      <c r="M235" s="1641">
        <f t="shared" si="82"/>
        <v>0</v>
      </c>
      <c r="N235" s="1641">
        <f t="shared" si="82"/>
        <v>0</v>
      </c>
      <c r="O235" s="1641">
        <f t="shared" si="82"/>
        <v>0</v>
      </c>
      <c r="P235" s="1641">
        <f t="shared" si="82"/>
        <v>0</v>
      </c>
      <c r="Q235" s="1641">
        <f t="shared" si="82"/>
        <v>0</v>
      </c>
      <c r="R235" s="1641">
        <f t="shared" si="82"/>
        <v>0</v>
      </c>
      <c r="S235" s="1641">
        <f t="shared" si="82"/>
        <v>0</v>
      </c>
      <c r="T235" s="1641">
        <f t="shared" si="82"/>
        <v>0</v>
      </c>
      <c r="U235" s="1641">
        <f t="shared" si="82"/>
        <v>0</v>
      </c>
      <c r="V235" s="1641">
        <f t="shared" si="82"/>
        <v>0</v>
      </c>
      <c r="W235" s="1641">
        <f t="shared" si="82"/>
        <v>0</v>
      </c>
      <c r="X235" s="1641">
        <f>SUM(X232:X234)</f>
        <v>0</v>
      </c>
      <c r="Y235" s="1641">
        <f>SUM(Y232:Y234)</f>
        <v>0</v>
      </c>
      <c r="Z235" s="1641">
        <f>SUM(Z232:Z234)</f>
        <v>0</v>
      </c>
      <c r="AA235" s="1642">
        <f>SUM(AA232:AA234)</f>
        <v>0</v>
      </c>
      <c r="AB235" s="1168"/>
    </row>
    <row r="236" spans="1:28" x14ac:dyDescent="0.45">
      <c r="A236" s="695"/>
      <c r="B236" s="1180"/>
      <c r="C236" s="1181"/>
      <c r="D236" s="1181"/>
      <c r="E236" s="1181"/>
      <c r="F236" s="1181"/>
      <c r="G236" s="1641"/>
      <c r="H236" s="1641"/>
      <c r="I236" s="1641"/>
      <c r="J236" s="1641"/>
      <c r="K236" s="1641"/>
      <c r="L236" s="1641"/>
      <c r="M236" s="1641"/>
      <c r="N236" s="1641"/>
      <c r="O236" s="1641"/>
      <c r="P236" s="1641"/>
      <c r="Q236" s="1641"/>
      <c r="R236" s="1641"/>
      <c r="S236" s="1641"/>
      <c r="T236" s="1641"/>
      <c r="U236" s="1641"/>
      <c r="V236" s="1641"/>
      <c r="W236" s="1641"/>
      <c r="X236" s="1641"/>
      <c r="Y236" s="1641"/>
      <c r="Z236" s="1641"/>
      <c r="AA236" s="1642"/>
      <c r="AB236" s="1168"/>
    </row>
    <row r="237" spans="1:28" x14ac:dyDescent="0.45">
      <c r="A237" s="695"/>
      <c r="B237" s="1180"/>
      <c r="C237" s="1271" t="s">
        <v>64</v>
      </c>
      <c r="D237" s="1181"/>
      <c r="E237" s="1181"/>
      <c r="F237" s="1181"/>
      <c r="G237" s="1641"/>
      <c r="H237" s="1641"/>
      <c r="I237" s="1641"/>
      <c r="J237" s="1641"/>
      <c r="K237" s="1641"/>
      <c r="L237" s="1641"/>
      <c r="M237" s="1641"/>
      <c r="N237" s="1641"/>
      <c r="O237" s="1641"/>
      <c r="P237" s="1641"/>
      <c r="Q237" s="1641"/>
      <c r="R237" s="1641"/>
      <c r="S237" s="1641"/>
      <c r="T237" s="1641"/>
      <c r="U237" s="1641"/>
      <c r="V237" s="1641"/>
      <c r="W237" s="1641"/>
      <c r="X237" s="1641"/>
      <c r="Y237" s="1641"/>
      <c r="Z237" s="1641"/>
      <c r="AA237" s="1642"/>
      <c r="AB237" s="1168"/>
    </row>
    <row r="238" spans="1:28" x14ac:dyDescent="0.45">
      <c r="A238" s="695"/>
      <c r="B238" s="1180"/>
      <c r="C238" s="1181" t="s">
        <v>202</v>
      </c>
      <c r="D238" s="1181"/>
      <c r="E238" s="1181"/>
      <c r="F238" s="1181"/>
      <c r="G238" s="1641"/>
      <c r="H238" s="1641">
        <f>IF($G$220&gt;0, $G$220*'III. Inputs, Renewable Energy'!$S$54/10000,0)</f>
        <v>0</v>
      </c>
      <c r="I238" s="1641">
        <v>0</v>
      </c>
      <c r="J238" s="1641">
        <v>0</v>
      </c>
      <c r="K238" s="1641">
        <v>0</v>
      </c>
      <c r="L238" s="1641">
        <v>0</v>
      </c>
      <c r="M238" s="1641">
        <v>0</v>
      </c>
      <c r="N238" s="1641">
        <v>0</v>
      </c>
      <c r="O238" s="1641">
        <v>0</v>
      </c>
      <c r="P238" s="1641">
        <v>0</v>
      </c>
      <c r="Q238" s="1641">
        <v>0</v>
      </c>
      <c r="R238" s="1641">
        <v>0</v>
      </c>
      <c r="S238" s="1641">
        <v>0</v>
      </c>
      <c r="T238" s="1641">
        <v>0</v>
      </c>
      <c r="U238" s="1641">
        <v>0</v>
      </c>
      <c r="V238" s="1641">
        <v>0</v>
      </c>
      <c r="W238" s="1641">
        <v>0</v>
      </c>
      <c r="X238" s="1641">
        <v>0</v>
      </c>
      <c r="Y238" s="1641">
        <v>0</v>
      </c>
      <c r="Z238" s="1641">
        <v>0</v>
      </c>
      <c r="AA238" s="1642">
        <v>0</v>
      </c>
      <c r="AB238" s="1168"/>
    </row>
    <row r="239" spans="1:28" x14ac:dyDescent="0.45">
      <c r="A239" s="695"/>
      <c r="B239" s="1180"/>
      <c r="C239" s="1181" t="str">
        <f>'III. Inputs, Renewable Energy'!$O$224</f>
        <v>Front-end Fee, Public Guarantee</v>
      </c>
      <c r="D239" s="1181"/>
      <c r="E239" s="1181"/>
      <c r="F239" s="1181"/>
      <c r="G239" s="1641"/>
      <c r="H239" s="1641">
        <f>IF($G$223&gt;0, $G$220*$G$223*'III. Inputs, Renewable Energy'!$S$224/10000,0)</f>
        <v>0</v>
      </c>
      <c r="I239" s="1641">
        <v>0</v>
      </c>
      <c r="J239" s="1641">
        <v>0</v>
      </c>
      <c r="K239" s="1641">
        <v>0</v>
      </c>
      <c r="L239" s="1641">
        <v>0</v>
      </c>
      <c r="M239" s="1641">
        <v>0</v>
      </c>
      <c r="N239" s="1641">
        <v>0</v>
      </c>
      <c r="O239" s="1641">
        <v>0</v>
      </c>
      <c r="P239" s="1641">
        <v>0</v>
      </c>
      <c r="Q239" s="1641">
        <v>0</v>
      </c>
      <c r="R239" s="1641">
        <v>0</v>
      </c>
      <c r="S239" s="1641">
        <v>0</v>
      </c>
      <c r="T239" s="1641">
        <v>0</v>
      </c>
      <c r="U239" s="1641">
        <v>0</v>
      </c>
      <c r="V239" s="1641">
        <v>0</v>
      </c>
      <c r="W239" s="1641">
        <v>0</v>
      </c>
      <c r="X239" s="1641">
        <v>0</v>
      </c>
      <c r="Y239" s="1641">
        <v>0</v>
      </c>
      <c r="Z239" s="1641">
        <v>0</v>
      </c>
      <c r="AA239" s="1642">
        <v>0</v>
      </c>
      <c r="AB239" s="1168"/>
    </row>
    <row r="240" spans="1:28" x14ac:dyDescent="0.45">
      <c r="A240" s="695"/>
      <c r="B240" s="1180"/>
      <c r="C240" s="1181" t="str">
        <f>'III. Inputs, Renewable Energy'!$O$225</f>
        <v>Annual Guarantee Fee</v>
      </c>
      <c r="D240" s="1181"/>
      <c r="E240" s="1181"/>
      <c r="F240" s="1181"/>
      <c r="G240" s="1641"/>
      <c r="H240" s="1641">
        <f>IF(H$196&gt;$G$224,0,((H232+H235)/2)*$G$223*'III. Inputs, Renewable Energy'!$S$225/10000)</f>
        <v>0</v>
      </c>
      <c r="I240" s="1641">
        <f>IF(I$196&gt;$G$224,0,((I232+I235)/2)*$G$223*'III. Inputs, Renewable Energy'!$S$225/10000)</f>
        <v>0</v>
      </c>
      <c r="J240" s="1641">
        <f>IF(J$196&gt;$G$224,0,((J232+J235)/2)*$G$223*'III. Inputs, Renewable Energy'!$S$225/10000)</f>
        <v>0</v>
      </c>
      <c r="K240" s="1641">
        <f>IF(K$196&gt;$G$224,0,((K232+K235)/2)*$G$223*'III. Inputs, Renewable Energy'!$S$225/10000)</f>
        <v>0</v>
      </c>
      <c r="L240" s="1641">
        <f>IF(L$196&gt;$G$224,0,((L232+L235)/2)*$G$223*'III. Inputs, Renewable Energy'!$S$225/10000)</f>
        <v>0</v>
      </c>
      <c r="M240" s="1641">
        <f>IF(M$196&gt;$G$224,0,((M232+M235)/2)*$G$223*'III. Inputs, Renewable Energy'!$S$225/10000)</f>
        <v>0</v>
      </c>
      <c r="N240" s="1641">
        <f>IF(N$196&gt;$G$224,0,((N232+N235)/2)*$G$223*'III. Inputs, Renewable Energy'!$S$225/10000)</f>
        <v>0</v>
      </c>
      <c r="O240" s="1641">
        <f>IF(O$196&gt;$G$224,0,((O232+O235)/2)*$G$223*'III. Inputs, Renewable Energy'!$S$225/10000)</f>
        <v>0</v>
      </c>
      <c r="P240" s="1641">
        <f>IF(P$196&gt;$G$224,0,((P232+P235)/2)*$G$223*'III. Inputs, Renewable Energy'!$S$225/10000)</f>
        <v>0</v>
      </c>
      <c r="Q240" s="1641">
        <f>IF(Q$196&gt;$G$224,0,((Q232+Q235)/2)*$G$223*'III. Inputs, Renewable Energy'!$S$225/10000)</f>
        <v>0</v>
      </c>
      <c r="R240" s="1641">
        <f>IF(R$196&gt;$G$224,0,((R232+R235)/2)*$G$223*'III. Inputs, Renewable Energy'!$S$225/10000)</f>
        <v>0</v>
      </c>
      <c r="S240" s="1641">
        <f>IF(S$196&gt;$G$224,0,((S232+S235)/2)*$G$223*'III. Inputs, Renewable Energy'!$S$225/10000)</f>
        <v>0</v>
      </c>
      <c r="T240" s="1641">
        <f>IF(T$196&gt;$G$224,0,((T232+T235)/2)*$G$223*'III. Inputs, Renewable Energy'!$S$225/10000)</f>
        <v>0</v>
      </c>
      <c r="U240" s="1641">
        <f>IF(U$196&gt;$G$224,0,((U232+U235)/2)*$G$223*'III. Inputs, Renewable Energy'!$S$225/10000)</f>
        <v>0</v>
      </c>
      <c r="V240" s="1641">
        <f>IF(V$196&gt;$G$224,0,((V232+V235)/2)*$G$223*'III. Inputs, Renewable Energy'!$S$225/10000)</f>
        <v>0</v>
      </c>
      <c r="W240" s="1641">
        <f>IF(W$196&gt;$G$224,0,((W232+W235)/2)*$G$223*'III. Inputs, Renewable Energy'!$S$225/10000)</f>
        <v>0</v>
      </c>
      <c r="X240" s="1641">
        <f>IF(X$196&gt;$G$224,0,((X232+X235)/2)*$G$223*'III. Inputs, Renewable Energy'!$S$225/10000)</f>
        <v>0</v>
      </c>
      <c r="Y240" s="1641">
        <f>IF(Y$196&gt;$G$224,0,((Y232+Y235)/2)*$G$223*'III. Inputs, Renewable Energy'!$S$225/10000)</f>
        <v>0</v>
      </c>
      <c r="Z240" s="1641">
        <f>IF(Z$196&gt;$G$224,0,((Z232+Z235)/2)*$G$223*'III. Inputs, Renewable Energy'!$S$225/10000)</f>
        <v>0</v>
      </c>
      <c r="AA240" s="1642">
        <f>IF(AA$196&gt;$G$224,0,((AA232+AA235)/2)*$G$223*'III. Inputs, Renewable Energy'!$S$225/10000)</f>
        <v>0</v>
      </c>
      <c r="AB240" s="1168"/>
    </row>
    <row r="241" spans="1:28" x14ac:dyDescent="0.45">
      <c r="A241" s="695"/>
      <c r="B241" s="1180"/>
      <c r="C241" s="1181"/>
      <c r="D241" s="1181"/>
      <c r="E241" s="1181"/>
      <c r="F241" s="1181"/>
      <c r="G241" s="1641"/>
      <c r="H241" s="1641"/>
      <c r="I241" s="1641"/>
      <c r="J241" s="1641"/>
      <c r="K241" s="1641"/>
      <c r="L241" s="1641"/>
      <c r="M241" s="1641"/>
      <c r="N241" s="1641"/>
      <c r="O241" s="1641"/>
      <c r="P241" s="1641"/>
      <c r="Q241" s="1641"/>
      <c r="R241" s="1641"/>
      <c r="S241" s="1641"/>
      <c r="T241" s="1641"/>
      <c r="U241" s="1641"/>
      <c r="V241" s="1641"/>
      <c r="W241" s="1641"/>
      <c r="X241" s="1641"/>
      <c r="Y241" s="1641"/>
      <c r="Z241" s="1641"/>
      <c r="AA241" s="1642"/>
      <c r="AB241" s="695"/>
    </row>
    <row r="242" spans="1:28" ht="13.15" x14ac:dyDescent="0.45">
      <c r="A242" s="695"/>
      <c r="B242" s="1196" t="s">
        <v>152</v>
      </c>
      <c r="C242" s="1181"/>
      <c r="D242" s="1181"/>
      <c r="E242" s="1181"/>
      <c r="F242" s="1181"/>
      <c r="G242" s="1641"/>
      <c r="H242" s="1641"/>
      <c r="I242" s="1641"/>
      <c r="J242" s="1641"/>
      <c r="K242" s="1641"/>
      <c r="L242" s="1641"/>
      <c r="M242" s="1641"/>
      <c r="N242" s="1641"/>
      <c r="O242" s="1641"/>
      <c r="P242" s="1641"/>
      <c r="Q242" s="1641"/>
      <c r="R242" s="1641"/>
      <c r="S242" s="1641"/>
      <c r="T242" s="1641"/>
      <c r="U242" s="1641"/>
      <c r="V242" s="1641"/>
      <c r="W242" s="1641"/>
      <c r="X242" s="1641"/>
      <c r="Y242" s="1641"/>
      <c r="Z242" s="1641"/>
      <c r="AA242" s="1642"/>
      <c r="AB242" s="695"/>
    </row>
    <row r="243" spans="1:28" x14ac:dyDescent="0.45">
      <c r="A243" s="695"/>
      <c r="B243" s="1180"/>
      <c r="C243" s="1265" t="s">
        <v>61</v>
      </c>
      <c r="D243" s="1181"/>
      <c r="E243" s="1181"/>
      <c r="F243" s="1181"/>
      <c r="G243" s="1641">
        <f>IF('III. Inputs, Renewable Energy'!$S$38&gt;0, 'III. Inputs, Renewable Energy'!$U$15*'III. Inputs, Renewable Energy'!$U$14*'III. Inputs, Renewable Energy'!$S$34*SUM('III. Inputs, Renewable Energy'!$S$38), 0)</f>
        <v>372108601.11137956</v>
      </c>
      <c r="H243" s="1641"/>
      <c r="I243" s="1641"/>
      <c r="J243" s="1641"/>
      <c r="K243" s="1641"/>
      <c r="L243" s="1641"/>
      <c r="M243" s="1641"/>
      <c r="N243" s="1641"/>
      <c r="O243" s="1641"/>
      <c r="P243" s="1641"/>
      <c r="Q243" s="1641"/>
      <c r="R243" s="1641"/>
      <c r="S243" s="1641"/>
      <c r="T243" s="1641"/>
      <c r="U243" s="1641"/>
      <c r="V243" s="1641"/>
      <c r="W243" s="1641"/>
      <c r="X243" s="1641"/>
      <c r="Y243" s="1641"/>
      <c r="Z243" s="1641"/>
      <c r="AA243" s="1642"/>
      <c r="AB243" s="695"/>
    </row>
    <row r="244" spans="1:28" x14ac:dyDescent="0.45">
      <c r="A244" s="695"/>
      <c r="B244" s="1180"/>
      <c r="C244" s="1265" t="s">
        <v>62</v>
      </c>
      <c r="D244" s="1181"/>
      <c r="E244" s="1181"/>
      <c r="F244" s="1181"/>
      <c r="G244" s="1273">
        <f>SUM('III. Inputs, Renewable Energy'!S50)</f>
        <v>11</v>
      </c>
      <c r="H244" s="1263"/>
      <c r="I244" s="1263"/>
      <c r="J244" s="1263"/>
      <c r="K244" s="1263"/>
      <c r="L244" s="1263"/>
      <c r="M244" s="1263"/>
      <c r="N244" s="1263"/>
      <c r="O244" s="1263"/>
      <c r="P244" s="1263"/>
      <c r="Q244" s="1263"/>
      <c r="R244" s="1263"/>
      <c r="S244" s="1263"/>
      <c r="T244" s="1263"/>
      <c r="U244" s="1263"/>
      <c r="V244" s="1263"/>
      <c r="W244" s="1263"/>
      <c r="X244" s="1263"/>
      <c r="Y244" s="1263"/>
      <c r="Z244" s="1263"/>
      <c r="AA244" s="1264"/>
      <c r="AB244" s="695"/>
    </row>
    <row r="245" spans="1:28" x14ac:dyDescent="0.45">
      <c r="A245" s="695"/>
      <c r="B245" s="1180"/>
      <c r="C245" s="1265" t="s">
        <v>63</v>
      </c>
      <c r="D245" s="1181"/>
      <c r="E245" s="1181"/>
      <c r="F245" s="1181"/>
      <c r="G245" s="1272">
        <f>SUM('III. Inputs, Renewable Energy'!S45)</f>
        <v>0.08</v>
      </c>
      <c r="H245" s="1263"/>
      <c r="I245" s="1263"/>
      <c r="J245" s="1263"/>
      <c r="K245" s="1263"/>
      <c r="L245" s="1263"/>
      <c r="M245" s="1263"/>
      <c r="N245" s="1263"/>
      <c r="O245" s="1263"/>
      <c r="P245" s="1263"/>
      <c r="Q245" s="1263"/>
      <c r="R245" s="1263"/>
      <c r="S245" s="1263"/>
      <c r="T245" s="1263"/>
      <c r="U245" s="1263"/>
      <c r="V245" s="1263"/>
      <c r="W245" s="1263"/>
      <c r="X245" s="1263"/>
      <c r="Y245" s="1263"/>
      <c r="Z245" s="1263"/>
      <c r="AA245" s="1264"/>
      <c r="AB245" s="695"/>
    </row>
    <row r="246" spans="1:28" x14ac:dyDescent="0.45">
      <c r="A246" s="695"/>
      <c r="B246" s="1180"/>
      <c r="C246" s="1181"/>
      <c r="D246" s="1181"/>
      <c r="E246" s="1181"/>
      <c r="F246" s="1181"/>
      <c r="G246" s="1263"/>
      <c r="H246" s="1263"/>
      <c r="I246" s="1263"/>
      <c r="J246" s="1263"/>
      <c r="K246" s="1263"/>
      <c r="L246" s="1263"/>
      <c r="M246" s="1263"/>
      <c r="N246" s="1263"/>
      <c r="O246" s="1263"/>
      <c r="P246" s="1263"/>
      <c r="Q246" s="1263"/>
      <c r="R246" s="1263"/>
      <c r="S246" s="1263"/>
      <c r="T246" s="1263"/>
      <c r="U246" s="1263"/>
      <c r="V246" s="1263"/>
      <c r="W246" s="1263"/>
      <c r="X246" s="1263"/>
      <c r="Y246" s="1263"/>
      <c r="Z246" s="1263"/>
      <c r="AA246" s="1264"/>
      <c r="AB246" s="695"/>
    </row>
    <row r="247" spans="1:28" x14ac:dyDescent="0.45">
      <c r="A247" s="695"/>
      <c r="B247" s="1180"/>
      <c r="C247" s="1270" t="s">
        <v>60</v>
      </c>
      <c r="D247" s="1181"/>
      <c r="E247" s="1181"/>
      <c r="F247" s="1181"/>
      <c r="G247" s="1263"/>
      <c r="H247" s="1263"/>
      <c r="I247" s="1263"/>
      <c r="J247" s="1263"/>
      <c r="K247" s="1263"/>
      <c r="L247" s="1263"/>
      <c r="M247" s="1263"/>
      <c r="N247" s="1263"/>
      <c r="O247" s="1263"/>
      <c r="P247" s="1263"/>
      <c r="Q247" s="1263"/>
      <c r="R247" s="1263"/>
      <c r="S247" s="1263"/>
      <c r="T247" s="1263"/>
      <c r="U247" s="1263"/>
      <c r="V247" s="1263"/>
      <c r="W247" s="1263"/>
      <c r="X247" s="1263"/>
      <c r="Y247" s="1263"/>
      <c r="Z247" s="1263"/>
      <c r="AA247" s="1264"/>
      <c r="AB247" s="695"/>
    </row>
    <row r="248" spans="1:28" x14ac:dyDescent="0.45">
      <c r="A248" s="695"/>
      <c r="B248" s="1180"/>
      <c r="C248" s="1181" t="s">
        <v>66</v>
      </c>
      <c r="D248" s="1181"/>
      <c r="E248" s="1181"/>
      <c r="F248" s="1181"/>
      <c r="G248" s="1641"/>
      <c r="H248" s="1641">
        <f t="shared" ref="H248:AA248" si="83">IF(H$196&gt;$G$244,0,IPMT($G$245,H$196,$G$244,-$G$243))</f>
        <v>29768688.088910367</v>
      </c>
      <c r="I248" s="1641">
        <f t="shared" si="83"/>
        <v>27980294.198088348</v>
      </c>
      <c r="J248" s="1641">
        <f t="shared" si="83"/>
        <v>26048828.796000563</v>
      </c>
      <c r="K248" s="1641">
        <f t="shared" si="83"/>
        <v>23962846.161745753</v>
      </c>
      <c r="L248" s="1641">
        <f t="shared" si="83"/>
        <v>21709984.916750561</v>
      </c>
      <c r="M248" s="1641">
        <f t="shared" si="83"/>
        <v>19276894.772155754</v>
      </c>
      <c r="N248" s="1641">
        <f t="shared" si="83"/>
        <v>16649157.415993363</v>
      </c>
      <c r="O248" s="1641">
        <f t="shared" si="83"/>
        <v>13811201.071337977</v>
      </c>
      <c r="P248" s="1641">
        <f t="shared" si="83"/>
        <v>10746208.219110165</v>
      </c>
      <c r="Q248" s="1641">
        <f t="shared" si="83"/>
        <v>7436015.9387041247</v>
      </c>
      <c r="R248" s="1641">
        <f t="shared" si="83"/>
        <v>3861008.2758656032</v>
      </c>
      <c r="S248" s="1641">
        <f t="shared" si="83"/>
        <v>0</v>
      </c>
      <c r="T248" s="1641">
        <f t="shared" si="83"/>
        <v>0</v>
      </c>
      <c r="U248" s="1641">
        <f t="shared" si="83"/>
        <v>0</v>
      </c>
      <c r="V248" s="1641">
        <f t="shared" si="83"/>
        <v>0</v>
      </c>
      <c r="W248" s="1641">
        <f t="shared" si="83"/>
        <v>0</v>
      </c>
      <c r="X248" s="1641">
        <f t="shared" si="83"/>
        <v>0</v>
      </c>
      <c r="Y248" s="1641">
        <f t="shared" si="83"/>
        <v>0</v>
      </c>
      <c r="Z248" s="1641">
        <f t="shared" si="83"/>
        <v>0</v>
      </c>
      <c r="AA248" s="1642">
        <f t="shared" si="83"/>
        <v>0</v>
      </c>
      <c r="AB248" s="695"/>
    </row>
    <row r="249" spans="1:28" x14ac:dyDescent="0.45">
      <c r="A249" s="695"/>
      <c r="B249" s="1180"/>
      <c r="C249" s="1193" t="s">
        <v>65</v>
      </c>
      <c r="D249" s="1193"/>
      <c r="E249" s="1193"/>
      <c r="F249" s="1193"/>
      <c r="G249" s="1643"/>
      <c r="H249" s="1643">
        <f t="shared" ref="H249:AA249" si="84">IF(H$196&gt;$G$244,0,PPMT($G$245,H$196,$G$244,-$G$243))</f>
        <v>22354923.635275282</v>
      </c>
      <c r="I249" s="1643">
        <f t="shared" si="84"/>
        <v>24143317.526097301</v>
      </c>
      <c r="J249" s="1643">
        <f t="shared" si="84"/>
        <v>26074782.92818509</v>
      </c>
      <c r="K249" s="1643">
        <f t="shared" si="84"/>
        <v>28160765.562439896</v>
      </c>
      <c r="L249" s="1643">
        <f t="shared" si="84"/>
        <v>30413626.807435088</v>
      </c>
      <c r="M249" s="1643">
        <f t="shared" si="84"/>
        <v>32846716.952029902</v>
      </c>
      <c r="N249" s="1643">
        <f t="shared" si="84"/>
        <v>35474454.30819229</v>
      </c>
      <c r="O249" s="1643">
        <f t="shared" si="84"/>
        <v>38312410.65284767</v>
      </c>
      <c r="P249" s="1643">
        <f t="shared" si="84"/>
        <v>41377403.505075485</v>
      </c>
      <c r="Q249" s="1643">
        <f t="shared" si="84"/>
        <v>44687595.78548152</v>
      </c>
      <c r="R249" s="1643">
        <f t="shared" si="84"/>
        <v>48262603.448320046</v>
      </c>
      <c r="S249" s="1643">
        <f t="shared" si="84"/>
        <v>0</v>
      </c>
      <c r="T249" s="1643">
        <f t="shared" si="84"/>
        <v>0</v>
      </c>
      <c r="U249" s="1643">
        <f t="shared" si="84"/>
        <v>0</v>
      </c>
      <c r="V249" s="1643">
        <f t="shared" si="84"/>
        <v>0</v>
      </c>
      <c r="W249" s="1643">
        <f t="shared" si="84"/>
        <v>0</v>
      </c>
      <c r="X249" s="1643">
        <f t="shared" si="84"/>
        <v>0</v>
      </c>
      <c r="Y249" s="1643">
        <f t="shared" si="84"/>
        <v>0</v>
      </c>
      <c r="Z249" s="1643">
        <f t="shared" si="84"/>
        <v>0</v>
      </c>
      <c r="AA249" s="1644">
        <f t="shared" si="84"/>
        <v>0</v>
      </c>
      <c r="AB249" s="695"/>
    </row>
    <row r="250" spans="1:28" x14ac:dyDescent="0.45">
      <c r="A250" s="695"/>
      <c r="B250" s="1180"/>
      <c r="C250" s="1181" t="s">
        <v>67</v>
      </c>
      <c r="D250" s="1181"/>
      <c r="E250" s="1181"/>
      <c r="F250" s="1181"/>
      <c r="G250" s="1641"/>
      <c r="H250" s="1641">
        <f>SUM(H248:H249)</f>
        <v>52123611.724185646</v>
      </c>
      <c r="I250" s="1641">
        <f t="shared" ref="I250:W250" si="85">SUM(I248:I249)</f>
        <v>52123611.724185646</v>
      </c>
      <c r="J250" s="1641">
        <f t="shared" si="85"/>
        <v>52123611.724185653</v>
      </c>
      <c r="K250" s="1641">
        <f t="shared" si="85"/>
        <v>52123611.724185646</v>
      </c>
      <c r="L250" s="1641">
        <f t="shared" si="85"/>
        <v>52123611.724185646</v>
      </c>
      <c r="M250" s="1641">
        <f t="shared" si="85"/>
        <v>52123611.72418566</v>
      </c>
      <c r="N250" s="1641">
        <f t="shared" si="85"/>
        <v>52123611.724185653</v>
      </c>
      <c r="O250" s="1641">
        <f t="shared" si="85"/>
        <v>52123611.724185646</v>
      </c>
      <c r="P250" s="1641">
        <f t="shared" si="85"/>
        <v>52123611.724185646</v>
      </c>
      <c r="Q250" s="1641">
        <f t="shared" si="85"/>
        <v>52123611.724185646</v>
      </c>
      <c r="R250" s="1641">
        <f t="shared" si="85"/>
        <v>52123611.724185646</v>
      </c>
      <c r="S250" s="1641">
        <f t="shared" si="85"/>
        <v>0</v>
      </c>
      <c r="T250" s="1641">
        <f t="shared" si="85"/>
        <v>0</v>
      </c>
      <c r="U250" s="1641">
        <f t="shared" si="85"/>
        <v>0</v>
      </c>
      <c r="V250" s="1641">
        <f t="shared" si="85"/>
        <v>0</v>
      </c>
      <c r="W250" s="1641">
        <f t="shared" si="85"/>
        <v>0</v>
      </c>
      <c r="X250" s="1641">
        <f>SUM(X248:X249)</f>
        <v>0</v>
      </c>
      <c r="Y250" s="1641">
        <f>SUM(Y248:Y249)</f>
        <v>0</v>
      </c>
      <c r="Z250" s="1641">
        <f>SUM(Z248:Z249)</f>
        <v>0</v>
      </c>
      <c r="AA250" s="1642">
        <f>SUM(AA248:AA249)</f>
        <v>0</v>
      </c>
      <c r="AB250" s="695"/>
    </row>
    <row r="251" spans="1:28" x14ac:dyDescent="0.45">
      <c r="A251" s="695"/>
      <c r="B251" s="1180"/>
      <c r="C251" s="1181"/>
      <c r="D251" s="1181"/>
      <c r="E251" s="1181"/>
      <c r="F251" s="1181"/>
      <c r="G251" s="1641"/>
      <c r="H251" s="1641"/>
      <c r="I251" s="1641"/>
      <c r="J251" s="1641"/>
      <c r="K251" s="1641"/>
      <c r="L251" s="1641"/>
      <c r="M251" s="1641"/>
      <c r="N251" s="1641"/>
      <c r="O251" s="1641"/>
      <c r="P251" s="1641"/>
      <c r="Q251" s="1641"/>
      <c r="R251" s="1641"/>
      <c r="S251" s="1641"/>
      <c r="T251" s="1641"/>
      <c r="U251" s="1641"/>
      <c r="V251" s="1641"/>
      <c r="W251" s="1641"/>
      <c r="X251" s="1641"/>
      <c r="Y251" s="1641"/>
      <c r="Z251" s="1641"/>
      <c r="AA251" s="1642"/>
      <c r="AB251" s="695"/>
    </row>
    <row r="252" spans="1:28" x14ac:dyDescent="0.45">
      <c r="A252" s="695"/>
      <c r="B252" s="1180"/>
      <c r="C252" s="1271" t="s">
        <v>58</v>
      </c>
      <c r="D252" s="1181"/>
      <c r="E252" s="1181"/>
      <c r="F252" s="1181"/>
      <c r="G252" s="1641"/>
      <c r="H252" s="1641"/>
      <c r="I252" s="1641"/>
      <c r="J252" s="1641"/>
      <c r="K252" s="1641"/>
      <c r="L252" s="1641"/>
      <c r="M252" s="1641"/>
      <c r="N252" s="1641"/>
      <c r="O252" s="1641"/>
      <c r="P252" s="1641"/>
      <c r="Q252" s="1641"/>
      <c r="R252" s="1641"/>
      <c r="S252" s="1641"/>
      <c r="T252" s="1641"/>
      <c r="U252" s="1641"/>
      <c r="V252" s="1641"/>
      <c r="W252" s="1641"/>
      <c r="X252" s="1641"/>
      <c r="Y252" s="1641"/>
      <c r="Z252" s="1641"/>
      <c r="AA252" s="1642"/>
      <c r="AB252" s="695"/>
    </row>
    <row r="253" spans="1:28" x14ac:dyDescent="0.45">
      <c r="A253" s="695"/>
      <c r="B253" s="1180"/>
      <c r="C253" s="1181" t="s">
        <v>68</v>
      </c>
      <c r="D253" s="1181"/>
      <c r="E253" s="1181"/>
      <c r="F253" s="1181"/>
      <c r="G253" s="1641">
        <v>0</v>
      </c>
      <c r="H253" s="1641">
        <f>G256</f>
        <v>372108601.11137956</v>
      </c>
      <c r="I253" s="1641">
        <f t="shared" ref="I253:W253" si="86">H256</f>
        <v>349753677.47610426</v>
      </c>
      <c r="J253" s="1641">
        <f t="shared" si="86"/>
        <v>325610359.95000696</v>
      </c>
      <c r="K253" s="1641">
        <f t="shared" si="86"/>
        <v>299535577.02182186</v>
      </c>
      <c r="L253" s="1641">
        <f t="shared" si="86"/>
        <v>271374811.45938194</v>
      </c>
      <c r="M253" s="1641">
        <f t="shared" si="86"/>
        <v>240961184.65194684</v>
      </c>
      <c r="N253" s="1641">
        <f t="shared" si="86"/>
        <v>208114467.69991693</v>
      </c>
      <c r="O253" s="1641">
        <f t="shared" si="86"/>
        <v>172640013.39172465</v>
      </c>
      <c r="P253" s="1641">
        <f t="shared" si="86"/>
        <v>134327602.73887697</v>
      </c>
      <c r="Q253" s="1641">
        <f t="shared" si="86"/>
        <v>92950199.233801484</v>
      </c>
      <c r="R253" s="1641">
        <f t="shared" si="86"/>
        <v>48262603.448319964</v>
      </c>
      <c r="S253" s="1641">
        <f t="shared" si="86"/>
        <v>-8.1956386566162109E-8</v>
      </c>
      <c r="T253" s="1641">
        <f t="shared" si="86"/>
        <v>-8.1956386566162109E-8</v>
      </c>
      <c r="U253" s="1641">
        <f t="shared" si="86"/>
        <v>-8.1956386566162109E-8</v>
      </c>
      <c r="V253" s="1641">
        <f t="shared" si="86"/>
        <v>-8.1956386566162109E-8</v>
      </c>
      <c r="W253" s="1641">
        <f t="shared" si="86"/>
        <v>-8.1956386566162109E-8</v>
      </c>
      <c r="X253" s="1641">
        <f>W256</f>
        <v>-8.1956386566162109E-8</v>
      </c>
      <c r="Y253" s="1641">
        <f>X256</f>
        <v>-8.1956386566162109E-8</v>
      </c>
      <c r="Z253" s="1641">
        <f>Y256</f>
        <v>-8.1956386566162109E-8</v>
      </c>
      <c r="AA253" s="1642">
        <f>Z256</f>
        <v>-8.1956386566162109E-8</v>
      </c>
      <c r="AB253" s="695"/>
    </row>
    <row r="254" spans="1:28" x14ac:dyDescent="0.45">
      <c r="A254" s="695"/>
      <c r="B254" s="1180"/>
      <c r="C254" s="1181" t="s">
        <v>69</v>
      </c>
      <c r="D254" s="1181"/>
      <c r="E254" s="1181"/>
      <c r="F254" s="1181"/>
      <c r="G254" s="1641">
        <f>G243</f>
        <v>372108601.11137956</v>
      </c>
      <c r="H254" s="1641">
        <v>0</v>
      </c>
      <c r="I254" s="1641">
        <v>0</v>
      </c>
      <c r="J254" s="1641">
        <v>0</v>
      </c>
      <c r="K254" s="1641">
        <v>0</v>
      </c>
      <c r="L254" s="1641">
        <v>0</v>
      </c>
      <c r="M254" s="1641">
        <v>0</v>
      </c>
      <c r="N254" s="1641">
        <v>0</v>
      </c>
      <c r="O254" s="1641">
        <v>0</v>
      </c>
      <c r="P254" s="1641">
        <v>0</v>
      </c>
      <c r="Q254" s="1641">
        <v>0</v>
      </c>
      <c r="R254" s="1641">
        <v>0</v>
      </c>
      <c r="S254" s="1641">
        <v>0</v>
      </c>
      <c r="T254" s="1641">
        <v>0</v>
      </c>
      <c r="U254" s="1641">
        <v>0</v>
      </c>
      <c r="V254" s="1641">
        <v>0</v>
      </c>
      <c r="W254" s="1641">
        <v>0</v>
      </c>
      <c r="X254" s="1641">
        <v>0</v>
      </c>
      <c r="Y254" s="1641">
        <v>0</v>
      </c>
      <c r="Z254" s="1641">
        <v>0</v>
      </c>
      <c r="AA254" s="1642">
        <v>0</v>
      </c>
      <c r="AB254" s="695"/>
    </row>
    <row r="255" spans="1:28" x14ac:dyDescent="0.45">
      <c r="A255" s="695"/>
      <c r="B255" s="1180"/>
      <c r="C255" s="1193" t="s">
        <v>70</v>
      </c>
      <c r="D255" s="1193"/>
      <c r="E255" s="1193"/>
      <c r="F255" s="1193"/>
      <c r="G255" s="1643">
        <v>0</v>
      </c>
      <c r="H255" s="1643">
        <f>-H249</f>
        <v>-22354923.635275282</v>
      </c>
      <c r="I255" s="1643">
        <f t="shared" ref="I255:W255" si="87">-I249</f>
        <v>-24143317.526097301</v>
      </c>
      <c r="J255" s="1643">
        <f t="shared" si="87"/>
        <v>-26074782.92818509</v>
      </c>
      <c r="K255" s="1643">
        <f t="shared" si="87"/>
        <v>-28160765.562439896</v>
      </c>
      <c r="L255" s="1643">
        <f t="shared" si="87"/>
        <v>-30413626.807435088</v>
      </c>
      <c r="M255" s="1643">
        <f t="shared" si="87"/>
        <v>-32846716.952029902</v>
      </c>
      <c r="N255" s="1643">
        <f t="shared" si="87"/>
        <v>-35474454.30819229</v>
      </c>
      <c r="O255" s="1643">
        <f t="shared" si="87"/>
        <v>-38312410.65284767</v>
      </c>
      <c r="P255" s="1643">
        <f t="shared" si="87"/>
        <v>-41377403.505075485</v>
      </c>
      <c r="Q255" s="1643">
        <f t="shared" si="87"/>
        <v>-44687595.78548152</v>
      </c>
      <c r="R255" s="1643">
        <f t="shared" si="87"/>
        <v>-48262603.448320046</v>
      </c>
      <c r="S255" s="1643">
        <f t="shared" si="87"/>
        <v>0</v>
      </c>
      <c r="T255" s="1643">
        <f t="shared" si="87"/>
        <v>0</v>
      </c>
      <c r="U255" s="1643">
        <f t="shared" si="87"/>
        <v>0</v>
      </c>
      <c r="V255" s="1643">
        <f t="shared" si="87"/>
        <v>0</v>
      </c>
      <c r="W255" s="1643">
        <f t="shared" si="87"/>
        <v>0</v>
      </c>
      <c r="X255" s="1643">
        <f>-X249</f>
        <v>0</v>
      </c>
      <c r="Y255" s="1643">
        <f>-Y249</f>
        <v>0</v>
      </c>
      <c r="Z255" s="1643">
        <f>-Z249</f>
        <v>0</v>
      </c>
      <c r="AA255" s="1644">
        <f>-AA249</f>
        <v>0</v>
      </c>
      <c r="AB255" s="695"/>
    </row>
    <row r="256" spans="1:28" x14ac:dyDescent="0.45">
      <c r="A256" s="695"/>
      <c r="B256" s="1180"/>
      <c r="C256" s="1181" t="s">
        <v>59</v>
      </c>
      <c r="D256" s="1181"/>
      <c r="E256" s="1181"/>
      <c r="F256" s="1181"/>
      <c r="G256" s="1641">
        <f>SUM(G253:G255)</f>
        <v>372108601.11137956</v>
      </c>
      <c r="H256" s="1641">
        <f>SUM(H253:H255)</f>
        <v>349753677.47610426</v>
      </c>
      <c r="I256" s="1641">
        <f t="shared" ref="I256:W256" si="88">SUM(I253:I255)</f>
        <v>325610359.95000696</v>
      </c>
      <c r="J256" s="1641">
        <f t="shared" si="88"/>
        <v>299535577.02182186</v>
      </c>
      <c r="K256" s="1641">
        <f t="shared" si="88"/>
        <v>271374811.45938194</v>
      </c>
      <c r="L256" s="1641">
        <f t="shared" si="88"/>
        <v>240961184.65194684</v>
      </c>
      <c r="M256" s="1641">
        <f t="shared" si="88"/>
        <v>208114467.69991693</v>
      </c>
      <c r="N256" s="1641">
        <f t="shared" si="88"/>
        <v>172640013.39172465</v>
      </c>
      <c r="O256" s="1641">
        <f t="shared" si="88"/>
        <v>134327602.73887697</v>
      </c>
      <c r="P256" s="1641">
        <f t="shared" si="88"/>
        <v>92950199.233801484</v>
      </c>
      <c r="Q256" s="1641">
        <f t="shared" si="88"/>
        <v>48262603.448319964</v>
      </c>
      <c r="R256" s="1641">
        <f t="shared" si="88"/>
        <v>-8.1956386566162109E-8</v>
      </c>
      <c r="S256" s="1641">
        <f t="shared" si="88"/>
        <v>-8.1956386566162109E-8</v>
      </c>
      <c r="T256" s="1641">
        <f t="shared" si="88"/>
        <v>-8.1956386566162109E-8</v>
      </c>
      <c r="U256" s="1641">
        <f t="shared" si="88"/>
        <v>-8.1956386566162109E-8</v>
      </c>
      <c r="V256" s="1641">
        <f t="shared" si="88"/>
        <v>-8.1956386566162109E-8</v>
      </c>
      <c r="W256" s="1641">
        <f t="shared" si="88"/>
        <v>-8.1956386566162109E-8</v>
      </c>
      <c r="X256" s="1641">
        <f>SUM(X253:X255)</f>
        <v>-8.1956386566162109E-8</v>
      </c>
      <c r="Y256" s="1641">
        <f>SUM(Y253:Y255)</f>
        <v>-8.1956386566162109E-8</v>
      </c>
      <c r="Z256" s="1641">
        <f>SUM(Z253:Z255)</f>
        <v>-8.1956386566162109E-8</v>
      </c>
      <c r="AA256" s="1642">
        <f>SUM(AA253:AA255)</f>
        <v>-8.1956386566162109E-8</v>
      </c>
      <c r="AB256" s="695"/>
    </row>
    <row r="257" spans="1:28" x14ac:dyDescent="0.45">
      <c r="A257" s="695"/>
      <c r="B257" s="1180"/>
      <c r="C257" s="1181"/>
      <c r="D257" s="1181"/>
      <c r="E257" s="1181"/>
      <c r="F257" s="1181"/>
      <c r="G257" s="1641"/>
      <c r="H257" s="1641"/>
      <c r="I257" s="1641"/>
      <c r="J257" s="1641"/>
      <c r="K257" s="1641"/>
      <c r="L257" s="1641"/>
      <c r="M257" s="1641"/>
      <c r="N257" s="1641"/>
      <c r="O257" s="1641"/>
      <c r="P257" s="1641"/>
      <c r="Q257" s="1641"/>
      <c r="R257" s="1641"/>
      <c r="S257" s="1641"/>
      <c r="T257" s="1641"/>
      <c r="U257" s="1641"/>
      <c r="V257" s="1641"/>
      <c r="W257" s="1641"/>
      <c r="X257" s="1641"/>
      <c r="Y257" s="1641"/>
      <c r="Z257" s="1641"/>
      <c r="AA257" s="1642"/>
      <c r="AB257" s="695"/>
    </row>
    <row r="258" spans="1:28" x14ac:dyDescent="0.45">
      <c r="A258" s="695"/>
      <c r="B258" s="1180"/>
      <c r="C258" s="1271" t="s">
        <v>64</v>
      </c>
      <c r="D258" s="1181"/>
      <c r="E258" s="1181"/>
      <c r="F258" s="1181"/>
      <c r="G258" s="1641"/>
      <c r="H258" s="1641"/>
      <c r="I258" s="1641"/>
      <c r="J258" s="1641"/>
      <c r="K258" s="1641"/>
      <c r="L258" s="1641"/>
      <c r="M258" s="1641"/>
      <c r="N258" s="1641"/>
      <c r="O258" s="1641"/>
      <c r="P258" s="1641"/>
      <c r="Q258" s="1641"/>
      <c r="R258" s="1641"/>
      <c r="S258" s="1641"/>
      <c r="T258" s="1641"/>
      <c r="U258" s="1641"/>
      <c r="V258" s="1641"/>
      <c r="W258" s="1641"/>
      <c r="X258" s="1641"/>
      <c r="Y258" s="1641"/>
      <c r="Z258" s="1641"/>
      <c r="AA258" s="1642"/>
      <c r="AB258" s="695"/>
    </row>
    <row r="259" spans="1:28" x14ac:dyDescent="0.45">
      <c r="A259" s="695"/>
      <c r="B259" s="1180"/>
      <c r="C259" s="1181" t="s">
        <v>201</v>
      </c>
      <c r="D259" s="1181"/>
      <c r="E259" s="1181"/>
      <c r="F259" s="1181"/>
      <c r="G259" s="1641"/>
      <c r="H259" s="1641">
        <f>IF($G$243&gt;0, $G$243*'III. Inputs, Renewable Energy'!$S$55/10000,0)</f>
        <v>0</v>
      </c>
      <c r="I259" s="1641">
        <v>0</v>
      </c>
      <c r="J259" s="1641">
        <v>0</v>
      </c>
      <c r="K259" s="1641">
        <v>0</v>
      </c>
      <c r="L259" s="1641">
        <v>0</v>
      </c>
      <c r="M259" s="1641">
        <v>0</v>
      </c>
      <c r="N259" s="1641">
        <v>0</v>
      </c>
      <c r="O259" s="1641">
        <v>0</v>
      </c>
      <c r="P259" s="1641">
        <v>0</v>
      </c>
      <c r="Q259" s="1641">
        <v>0</v>
      </c>
      <c r="R259" s="1641">
        <v>0</v>
      </c>
      <c r="S259" s="1641">
        <v>0</v>
      </c>
      <c r="T259" s="1641">
        <v>0</v>
      </c>
      <c r="U259" s="1641">
        <v>0</v>
      </c>
      <c r="V259" s="1641">
        <v>0</v>
      </c>
      <c r="W259" s="1641">
        <v>0</v>
      </c>
      <c r="X259" s="1641">
        <v>0</v>
      </c>
      <c r="Y259" s="1641">
        <v>0</v>
      </c>
      <c r="Z259" s="1641">
        <v>0</v>
      </c>
      <c r="AA259" s="1642">
        <v>0</v>
      </c>
      <c r="AB259" s="695"/>
    </row>
    <row r="260" spans="1:28" x14ac:dyDescent="0.45">
      <c r="A260" s="695"/>
      <c r="B260" s="1180"/>
      <c r="C260" s="1181"/>
      <c r="D260" s="1181"/>
      <c r="E260" s="1181"/>
      <c r="F260" s="1181"/>
      <c r="G260" s="1263"/>
      <c r="H260" s="1263"/>
      <c r="I260" s="1263"/>
      <c r="J260" s="1263"/>
      <c r="K260" s="1263"/>
      <c r="L260" s="1263"/>
      <c r="M260" s="1263"/>
      <c r="N260" s="1263"/>
      <c r="O260" s="1263"/>
      <c r="P260" s="1263"/>
      <c r="Q260" s="1263"/>
      <c r="R260" s="1263"/>
      <c r="S260" s="1263"/>
      <c r="T260" s="1263"/>
      <c r="U260" s="1263"/>
      <c r="V260" s="1263"/>
      <c r="W260" s="1263"/>
      <c r="X260" s="1263"/>
      <c r="Y260" s="1263"/>
      <c r="Z260" s="1263"/>
      <c r="AA260" s="1264"/>
      <c r="AB260" s="695"/>
    </row>
    <row r="261" spans="1:28" x14ac:dyDescent="0.45">
      <c r="A261" s="695"/>
      <c r="B261" s="1180"/>
      <c r="C261" s="1181"/>
      <c r="D261" s="1181"/>
      <c r="E261" s="1181"/>
      <c r="F261" s="1181"/>
      <c r="G261" s="1263"/>
      <c r="H261" s="1263"/>
      <c r="I261" s="1263"/>
      <c r="J261" s="1263"/>
      <c r="K261" s="1263"/>
      <c r="L261" s="1263"/>
      <c r="M261" s="1263"/>
      <c r="N261" s="1263"/>
      <c r="O261" s="1263"/>
      <c r="P261" s="1263"/>
      <c r="Q261" s="1263"/>
      <c r="R261" s="1263"/>
      <c r="S261" s="1263"/>
      <c r="T261" s="1263"/>
      <c r="U261" s="1263"/>
      <c r="V261" s="1263"/>
      <c r="W261" s="1263"/>
      <c r="X261" s="1263"/>
      <c r="Y261" s="1263"/>
      <c r="Z261" s="1263"/>
      <c r="AA261" s="1264"/>
      <c r="AB261" s="695"/>
    </row>
    <row r="262" spans="1:28" ht="13.15" x14ac:dyDescent="0.45">
      <c r="A262" s="695"/>
      <c r="B262" s="1196" t="s">
        <v>79</v>
      </c>
      <c r="C262" s="1181"/>
      <c r="D262" s="1181"/>
      <c r="E262" s="1181"/>
      <c r="F262" s="1181"/>
      <c r="G262" s="1263"/>
      <c r="H262" s="1263"/>
      <c r="I262" s="1263"/>
      <c r="J262" s="1263"/>
      <c r="K262" s="1263"/>
      <c r="L262" s="1263"/>
      <c r="M262" s="1263"/>
      <c r="N262" s="1263"/>
      <c r="O262" s="1263"/>
      <c r="P262" s="1263"/>
      <c r="Q262" s="1263"/>
      <c r="R262" s="1263"/>
      <c r="S262" s="1263"/>
      <c r="T262" s="1263"/>
      <c r="U262" s="1263"/>
      <c r="V262" s="1263"/>
      <c r="W262" s="1263"/>
      <c r="X262" s="1263"/>
      <c r="Y262" s="1263"/>
      <c r="Z262" s="1263"/>
      <c r="AA262" s="1264"/>
      <c r="AB262" s="695"/>
    </row>
    <row r="263" spans="1:28" x14ac:dyDescent="0.45">
      <c r="A263" s="695"/>
      <c r="B263" s="1180"/>
      <c r="C263" s="1265" t="s">
        <v>77</v>
      </c>
      <c r="D263" s="1181"/>
      <c r="E263" s="1181"/>
      <c r="F263" s="1629">
        <f>IF('III. Inputs, Renewable Energy'!$S$227&gt;0, 'III. Inputs, Renewable Energy'!$U$15*'III. Inputs, Renewable Energy'!$U$14*'III. Inputs, Renewable Energy'!$S$33*'III. Inputs, Renewable Energy'!$S$227,0)</f>
        <v>0</v>
      </c>
      <c r="G263" s="1263"/>
      <c r="H263" s="1263"/>
      <c r="I263" s="1263"/>
      <c r="J263" s="1263"/>
      <c r="K263" s="1263"/>
      <c r="L263" s="1263"/>
      <c r="M263" s="1263"/>
      <c r="N263" s="1263"/>
      <c r="O263" s="1263"/>
      <c r="P263" s="1263"/>
      <c r="Q263" s="1263"/>
      <c r="R263" s="1263"/>
      <c r="S263" s="1263"/>
      <c r="T263" s="1263"/>
      <c r="U263" s="1263"/>
      <c r="V263" s="1263"/>
      <c r="W263" s="1263"/>
      <c r="X263" s="1263"/>
      <c r="Y263" s="1263"/>
      <c r="Z263" s="1263"/>
      <c r="AA263" s="1264"/>
      <c r="AB263" s="695"/>
    </row>
    <row r="264" spans="1:28" x14ac:dyDescent="0.45">
      <c r="A264" s="695"/>
      <c r="B264" s="1180"/>
      <c r="C264" s="1265" t="str">
        <f>'III. Inputs, Renewable Energy'!N228</f>
        <v xml:space="preserve">Term of Political Risk Insurance </v>
      </c>
      <c r="D264" s="1181"/>
      <c r="E264" s="1181"/>
      <c r="F264" s="1207">
        <f>'III. Inputs, Renewable Energy'!S228</f>
        <v>0</v>
      </c>
      <c r="G264" s="1263"/>
      <c r="H264" s="1263"/>
      <c r="I264" s="1263"/>
      <c r="J264" s="1263"/>
      <c r="K264" s="1263"/>
      <c r="L264" s="1263"/>
      <c r="M264" s="1263"/>
      <c r="N264" s="1263"/>
      <c r="O264" s="1263"/>
      <c r="P264" s="1263"/>
      <c r="Q264" s="1263"/>
      <c r="R264" s="1263"/>
      <c r="S264" s="1263"/>
      <c r="T264" s="1263"/>
      <c r="U264" s="1263"/>
      <c r="V264" s="1263"/>
      <c r="W264" s="1263"/>
      <c r="X264" s="1263"/>
      <c r="Y264" s="1263"/>
      <c r="Z264" s="1263"/>
      <c r="AA264" s="1264"/>
      <c r="AB264" s="695"/>
    </row>
    <row r="265" spans="1:28" x14ac:dyDescent="0.45">
      <c r="A265" s="695"/>
      <c r="B265" s="1180"/>
      <c r="C265" s="1265" t="str">
        <f>'III. Inputs, Renewable Energy'!N229</f>
        <v xml:space="preserve">Front-end Fee </v>
      </c>
      <c r="D265" s="1181"/>
      <c r="E265" s="1181"/>
      <c r="F265" s="1207">
        <f>'III. Inputs, Renewable Energy'!S229</f>
        <v>0</v>
      </c>
      <c r="G265" s="1263"/>
      <c r="H265" s="1263"/>
      <c r="I265" s="1263"/>
      <c r="J265" s="1263"/>
      <c r="K265" s="1263"/>
      <c r="L265" s="1263"/>
      <c r="M265" s="1263"/>
      <c r="N265" s="1263"/>
      <c r="O265" s="1263"/>
      <c r="P265" s="1263"/>
      <c r="Q265" s="1263"/>
      <c r="R265" s="1263"/>
      <c r="S265" s="1263"/>
      <c r="T265" s="1263"/>
      <c r="U265" s="1263"/>
      <c r="V265" s="1263"/>
      <c r="W265" s="1263"/>
      <c r="X265" s="1263"/>
      <c r="Y265" s="1263"/>
      <c r="Z265" s="1263"/>
      <c r="AA265" s="1264"/>
      <c r="AB265" s="695"/>
    </row>
    <row r="266" spans="1:28" x14ac:dyDescent="0.45">
      <c r="A266" s="695"/>
      <c r="B266" s="1180"/>
      <c r="C266" s="1265" t="str">
        <f>'III. Inputs, Renewable Energy'!N230</f>
        <v xml:space="preserve">Annual Political Risk Insurance Premium </v>
      </c>
      <c r="D266" s="1181"/>
      <c r="E266" s="1181"/>
      <c r="F266" s="1207">
        <f>'III. Inputs, Renewable Energy'!S230</f>
        <v>0</v>
      </c>
      <c r="G266" s="1263"/>
      <c r="H266" s="1263"/>
      <c r="I266" s="1263"/>
      <c r="J266" s="1263"/>
      <c r="K266" s="1263"/>
      <c r="L266" s="1263"/>
      <c r="M266" s="1263"/>
      <c r="N266" s="1263"/>
      <c r="O266" s="1263"/>
      <c r="P266" s="1263"/>
      <c r="Q266" s="1263"/>
      <c r="R266" s="1263"/>
      <c r="S266" s="1263"/>
      <c r="T266" s="1263"/>
      <c r="U266" s="1263"/>
      <c r="V266" s="1263"/>
      <c r="W266" s="1263"/>
      <c r="X266" s="1263"/>
      <c r="Y266" s="1263"/>
      <c r="Z266" s="1263"/>
      <c r="AA266" s="1264"/>
      <c r="AB266" s="695"/>
    </row>
    <row r="267" spans="1:28" x14ac:dyDescent="0.45">
      <c r="A267" s="695"/>
      <c r="B267" s="1180"/>
      <c r="C267" s="1181"/>
      <c r="D267" s="1181"/>
      <c r="E267" s="1181"/>
      <c r="F267" s="1181"/>
      <c r="G267" s="1263"/>
      <c r="H267" s="1263"/>
      <c r="I267" s="1263"/>
      <c r="J267" s="1263"/>
      <c r="K267" s="1263"/>
      <c r="L267" s="1263"/>
      <c r="M267" s="1263"/>
      <c r="N267" s="1263"/>
      <c r="O267" s="1263"/>
      <c r="P267" s="1263"/>
      <c r="Q267" s="1263"/>
      <c r="R267" s="1263"/>
      <c r="S267" s="1263"/>
      <c r="T267" s="1263"/>
      <c r="U267" s="1263"/>
      <c r="V267" s="1263"/>
      <c r="W267" s="1263"/>
      <c r="X267" s="1263"/>
      <c r="Y267" s="1263"/>
      <c r="Z267" s="1263"/>
      <c r="AA267" s="1264"/>
      <c r="AB267" s="695"/>
    </row>
    <row r="268" spans="1:28" x14ac:dyDescent="0.45">
      <c r="A268" s="695"/>
      <c r="B268" s="1180"/>
      <c r="C268" s="1271" t="s">
        <v>64</v>
      </c>
      <c r="D268" s="1181"/>
      <c r="E268" s="1181"/>
      <c r="F268" s="1181"/>
      <c r="G268" s="1263"/>
      <c r="H268" s="1263"/>
      <c r="I268" s="1263"/>
      <c r="J268" s="1263"/>
      <c r="K268" s="1263"/>
      <c r="L268" s="1263"/>
      <c r="M268" s="1263"/>
      <c r="N268" s="1263"/>
      <c r="O268" s="1263"/>
      <c r="P268" s="1263"/>
      <c r="Q268" s="1263"/>
      <c r="R268" s="1263"/>
      <c r="S268" s="1263"/>
      <c r="T268" s="1263"/>
      <c r="U268" s="1263"/>
      <c r="V268" s="1263"/>
      <c r="W268" s="1263"/>
      <c r="X268" s="1263"/>
      <c r="Y268" s="1263"/>
      <c r="Z268" s="1263"/>
      <c r="AA268" s="1264"/>
      <c r="AB268" s="695"/>
    </row>
    <row r="269" spans="1:28" x14ac:dyDescent="0.45">
      <c r="A269" s="695"/>
      <c r="B269" s="1180"/>
      <c r="C269" s="1181" t="str">
        <f>'III. Inputs, Renewable Energy'!N229</f>
        <v xml:space="preserve">Front-end Fee </v>
      </c>
      <c r="D269" s="1181"/>
      <c r="E269" s="1181"/>
      <c r="F269" s="1181"/>
      <c r="G269" s="1263"/>
      <c r="H269" s="1641">
        <f>IF(F263&gt;0, F263*F265/10000, 0)</f>
        <v>0</v>
      </c>
      <c r="I269" s="1641">
        <v>0</v>
      </c>
      <c r="J269" s="1641">
        <v>0</v>
      </c>
      <c r="K269" s="1641">
        <v>0</v>
      </c>
      <c r="L269" s="1641">
        <v>0</v>
      </c>
      <c r="M269" s="1641">
        <v>0</v>
      </c>
      <c r="N269" s="1641">
        <v>0</v>
      </c>
      <c r="O269" s="1641">
        <v>0</v>
      </c>
      <c r="P269" s="1641">
        <v>0</v>
      </c>
      <c r="Q269" s="1641">
        <v>0</v>
      </c>
      <c r="R269" s="1641">
        <v>0</v>
      </c>
      <c r="S269" s="1641">
        <v>0</v>
      </c>
      <c r="T269" s="1641">
        <v>0</v>
      </c>
      <c r="U269" s="1641">
        <v>0</v>
      </c>
      <c r="V269" s="1641">
        <v>0</v>
      </c>
      <c r="W269" s="1641">
        <v>0</v>
      </c>
      <c r="X269" s="1641">
        <v>0</v>
      </c>
      <c r="Y269" s="1641">
        <v>0</v>
      </c>
      <c r="Z269" s="1641">
        <v>0</v>
      </c>
      <c r="AA269" s="1642">
        <v>0</v>
      </c>
      <c r="AB269" s="695"/>
    </row>
    <row r="270" spans="1:28" x14ac:dyDescent="0.45">
      <c r="A270" s="695"/>
      <c r="B270" s="1180"/>
      <c r="C270" s="1193" t="str">
        <f>'III. Inputs, Renewable Energy'!N230</f>
        <v xml:space="preserve">Annual Political Risk Insurance Premium </v>
      </c>
      <c r="D270" s="1193"/>
      <c r="E270" s="1193"/>
      <c r="F270" s="1193"/>
      <c r="G270" s="1274"/>
      <c r="H270" s="1643">
        <f>IF(H196&gt;$F$264,0,($F$263*$F$266/10000))</f>
        <v>0</v>
      </c>
      <c r="I270" s="1643">
        <f t="shared" ref="I270:AA270" si="89">IF(I196&gt;$F$264,0,($F$263*$F$266/10000))</f>
        <v>0</v>
      </c>
      <c r="J270" s="1643">
        <f t="shared" si="89"/>
        <v>0</v>
      </c>
      <c r="K270" s="1643">
        <f t="shared" si="89"/>
        <v>0</v>
      </c>
      <c r="L270" s="1643">
        <f t="shared" si="89"/>
        <v>0</v>
      </c>
      <c r="M270" s="1643">
        <f t="shared" si="89"/>
        <v>0</v>
      </c>
      <c r="N270" s="1643">
        <f t="shared" si="89"/>
        <v>0</v>
      </c>
      <c r="O270" s="1643">
        <f t="shared" si="89"/>
        <v>0</v>
      </c>
      <c r="P270" s="1643">
        <f t="shared" si="89"/>
        <v>0</v>
      </c>
      <c r="Q270" s="1643">
        <f t="shared" si="89"/>
        <v>0</v>
      </c>
      <c r="R270" s="1643">
        <f t="shared" si="89"/>
        <v>0</v>
      </c>
      <c r="S270" s="1643">
        <f t="shared" si="89"/>
        <v>0</v>
      </c>
      <c r="T270" s="1643">
        <f t="shared" si="89"/>
        <v>0</v>
      </c>
      <c r="U270" s="1643">
        <f t="shared" si="89"/>
        <v>0</v>
      </c>
      <c r="V270" s="1643">
        <f t="shared" si="89"/>
        <v>0</v>
      </c>
      <c r="W270" s="1643">
        <f t="shared" si="89"/>
        <v>0</v>
      </c>
      <c r="X270" s="1643">
        <f t="shared" si="89"/>
        <v>0</v>
      </c>
      <c r="Y270" s="1643">
        <f t="shared" si="89"/>
        <v>0</v>
      </c>
      <c r="Z270" s="1643">
        <f t="shared" si="89"/>
        <v>0</v>
      </c>
      <c r="AA270" s="1644">
        <f t="shared" si="89"/>
        <v>0</v>
      </c>
      <c r="AB270" s="695"/>
    </row>
    <row r="271" spans="1:28" x14ac:dyDescent="0.45">
      <c r="A271" s="695"/>
      <c r="B271" s="1180"/>
      <c r="C271" s="1181" t="s">
        <v>78</v>
      </c>
      <c r="D271" s="1181"/>
      <c r="E271" s="1181"/>
      <c r="F271" s="1181"/>
      <c r="G271" s="1263"/>
      <c r="H271" s="1641">
        <f>H269+H270</f>
        <v>0</v>
      </c>
      <c r="I271" s="1641">
        <f t="shared" ref="I271:AA271" si="90">I269+I270</f>
        <v>0</v>
      </c>
      <c r="J271" s="1641">
        <f t="shared" si="90"/>
        <v>0</v>
      </c>
      <c r="K271" s="1641">
        <f t="shared" si="90"/>
        <v>0</v>
      </c>
      <c r="L271" s="1641">
        <f t="shared" si="90"/>
        <v>0</v>
      </c>
      <c r="M271" s="1641">
        <f t="shared" si="90"/>
        <v>0</v>
      </c>
      <c r="N271" s="1641">
        <f t="shared" si="90"/>
        <v>0</v>
      </c>
      <c r="O271" s="1641">
        <f t="shared" si="90"/>
        <v>0</v>
      </c>
      <c r="P271" s="1641">
        <f t="shared" si="90"/>
        <v>0</v>
      </c>
      <c r="Q271" s="1641">
        <f t="shared" si="90"/>
        <v>0</v>
      </c>
      <c r="R271" s="1641">
        <f t="shared" si="90"/>
        <v>0</v>
      </c>
      <c r="S271" s="1641">
        <f t="shared" si="90"/>
        <v>0</v>
      </c>
      <c r="T271" s="1641">
        <f t="shared" si="90"/>
        <v>0</v>
      </c>
      <c r="U271" s="1641">
        <f t="shared" si="90"/>
        <v>0</v>
      </c>
      <c r="V271" s="1641">
        <f t="shared" si="90"/>
        <v>0</v>
      </c>
      <c r="W271" s="1641">
        <f t="shared" si="90"/>
        <v>0</v>
      </c>
      <c r="X271" s="1641">
        <f t="shared" si="90"/>
        <v>0</v>
      </c>
      <c r="Y271" s="1641">
        <f t="shared" si="90"/>
        <v>0</v>
      </c>
      <c r="Z271" s="1641">
        <f t="shared" si="90"/>
        <v>0</v>
      </c>
      <c r="AA271" s="1642">
        <f t="shared" si="90"/>
        <v>0</v>
      </c>
      <c r="AB271" s="695"/>
    </row>
    <row r="272" spans="1:28" ht="13.15" thickBot="1" x14ac:dyDescent="0.5">
      <c r="A272" s="695"/>
      <c r="B272" s="1219"/>
      <c r="C272" s="1204"/>
      <c r="D272" s="1204"/>
      <c r="E272" s="1204"/>
      <c r="F272" s="1204"/>
      <c r="G272" s="1275"/>
      <c r="H272" s="1275"/>
      <c r="I272" s="1275"/>
      <c r="J272" s="1275"/>
      <c r="K272" s="1275"/>
      <c r="L272" s="1275"/>
      <c r="M272" s="1275"/>
      <c r="N272" s="1275"/>
      <c r="O272" s="1275"/>
      <c r="P272" s="1275"/>
      <c r="Q272" s="1275"/>
      <c r="R272" s="1275"/>
      <c r="S272" s="1275"/>
      <c r="T272" s="1275"/>
      <c r="U272" s="1275"/>
      <c r="V272" s="1275"/>
      <c r="W272" s="1275"/>
      <c r="X272" s="1275"/>
      <c r="Y272" s="1275"/>
      <c r="Z272" s="1275"/>
      <c r="AA272" s="1276"/>
      <c r="AB272" s="695"/>
    </row>
    <row r="273" spans="1:28" s="479" customFormat="1" ht="13.5" thickBot="1" x14ac:dyDescent="0.5">
      <c r="A273" s="704"/>
      <c r="B273" s="704"/>
      <c r="C273" s="704"/>
      <c r="D273" s="704"/>
      <c r="E273" s="704"/>
      <c r="F273" s="704"/>
      <c r="G273" s="1353"/>
      <c r="H273" s="1353"/>
      <c r="I273" s="1353"/>
      <c r="J273" s="1353"/>
      <c r="K273" s="1353"/>
      <c r="L273" s="1353"/>
      <c r="M273" s="1353"/>
      <c r="N273" s="1353"/>
      <c r="O273" s="1353"/>
      <c r="P273" s="1353"/>
      <c r="Q273" s="1353"/>
      <c r="R273" s="1353"/>
      <c r="S273" s="1353"/>
      <c r="T273" s="1353"/>
      <c r="U273" s="1353"/>
      <c r="V273" s="1353"/>
      <c r="W273" s="1353"/>
      <c r="X273" s="1353"/>
      <c r="Y273" s="1353"/>
      <c r="Z273" s="1353"/>
      <c r="AA273" s="1353"/>
      <c r="AB273" s="704"/>
    </row>
    <row r="274" spans="1:28" ht="13.15" x14ac:dyDescent="0.45">
      <c r="A274" s="695"/>
      <c r="B274" s="1277" t="s">
        <v>391</v>
      </c>
      <c r="C274" s="1278"/>
      <c r="D274" s="1278"/>
      <c r="E274" s="1278"/>
      <c r="F274" s="1278"/>
      <c r="G274" s="1279"/>
      <c r="H274" s="1279"/>
      <c r="I274" s="1279"/>
      <c r="J274" s="1279"/>
      <c r="K274" s="1279"/>
      <c r="L274" s="1279"/>
      <c r="M274" s="1279"/>
      <c r="N274" s="1279"/>
      <c r="O274" s="1279"/>
      <c r="P274" s="1279"/>
      <c r="Q274" s="1279"/>
      <c r="R274" s="1279"/>
      <c r="S274" s="1279"/>
      <c r="T274" s="1279"/>
      <c r="U274" s="1279"/>
      <c r="V274" s="1279"/>
      <c r="W274" s="1279"/>
      <c r="X274" s="1279"/>
      <c r="Y274" s="1279"/>
      <c r="Z274" s="1279"/>
      <c r="AA274" s="1280"/>
      <c r="AB274" s="695"/>
    </row>
    <row r="275" spans="1:28" ht="13.15" x14ac:dyDescent="0.45">
      <c r="A275" s="695"/>
      <c r="B275" s="1281"/>
      <c r="C275" s="1282"/>
      <c r="D275" s="1282"/>
      <c r="E275" s="1282"/>
      <c r="F275" s="1282"/>
      <c r="G275" s="1283"/>
      <c r="H275" s="1283"/>
      <c r="I275" s="1283"/>
      <c r="J275" s="1283"/>
      <c r="K275" s="1283"/>
      <c r="L275" s="1283"/>
      <c r="M275" s="1283"/>
      <c r="N275" s="1283"/>
      <c r="O275" s="1283"/>
      <c r="P275" s="1283"/>
      <c r="Q275" s="1283"/>
      <c r="R275" s="1283"/>
      <c r="S275" s="1283"/>
      <c r="T275" s="1283"/>
      <c r="U275" s="1283"/>
      <c r="V275" s="1283"/>
      <c r="W275" s="1283"/>
      <c r="X275" s="1283"/>
      <c r="Y275" s="1283"/>
      <c r="Z275" s="1283"/>
      <c r="AA275" s="1284"/>
      <c r="AB275" s="695"/>
    </row>
    <row r="276" spans="1:28" ht="13.15" x14ac:dyDescent="0.45">
      <c r="A276" s="695"/>
      <c r="B276" s="1281" t="s">
        <v>220</v>
      </c>
      <c r="C276" s="1282"/>
      <c r="D276" s="1282"/>
      <c r="E276" s="1282"/>
      <c r="F276" s="1282"/>
      <c r="G276" s="1283"/>
      <c r="H276" s="1283"/>
      <c r="I276" s="1283"/>
      <c r="J276" s="1283"/>
      <c r="K276" s="1283"/>
      <c r="L276" s="1283"/>
      <c r="M276" s="1283"/>
      <c r="N276" s="1283"/>
      <c r="O276" s="1283"/>
      <c r="P276" s="1283"/>
      <c r="Q276" s="1283"/>
      <c r="R276" s="1283"/>
      <c r="S276" s="1283"/>
      <c r="T276" s="1283"/>
      <c r="U276" s="1283"/>
      <c r="V276" s="1283"/>
      <c r="W276" s="1283"/>
      <c r="X276" s="1283"/>
      <c r="Y276" s="1283"/>
      <c r="Z276" s="1283"/>
      <c r="AA276" s="1284"/>
      <c r="AB276" s="695"/>
    </row>
    <row r="277" spans="1:28" x14ac:dyDescent="0.45">
      <c r="A277" s="695"/>
      <c r="B277" s="1285"/>
      <c r="C277" s="1286" t="s">
        <v>61</v>
      </c>
      <c r="D277" s="1287" t="s">
        <v>748</v>
      </c>
      <c r="E277" s="1282"/>
      <c r="F277" s="1282"/>
      <c r="G277" s="1645">
        <f>IF('III. Inputs, Renewable Energy'!$V$36&gt;0, 'III. Inputs, Renewable Energy'!$U$14*'III. Inputs, Renewable Energy'!$U$15*'III. Inputs, Renewable Energy'!$V$34*SUM('III. Inputs, Renewable Energy'!$V$36), 0)</f>
        <v>115619458.20246436</v>
      </c>
      <c r="H277" s="1283"/>
      <c r="I277" s="1283"/>
      <c r="J277" s="1283"/>
      <c r="K277" s="1283"/>
      <c r="L277" s="1283"/>
      <c r="M277" s="1283"/>
      <c r="N277" s="1283"/>
      <c r="O277" s="1283"/>
      <c r="P277" s="1283"/>
      <c r="Q277" s="1283"/>
      <c r="R277" s="1283"/>
      <c r="S277" s="1283"/>
      <c r="T277" s="1283"/>
      <c r="U277" s="1283"/>
      <c r="V277" s="1283"/>
      <c r="W277" s="1283"/>
      <c r="X277" s="1283"/>
      <c r="Y277" s="1283"/>
      <c r="Z277" s="1283"/>
      <c r="AA277" s="1284"/>
      <c r="AB277" s="695"/>
    </row>
    <row r="278" spans="1:28" x14ac:dyDescent="0.45">
      <c r="A278" s="695"/>
      <c r="B278" s="1285"/>
      <c r="C278" s="1286" t="s">
        <v>62</v>
      </c>
      <c r="D278" s="1287" t="s">
        <v>18</v>
      </c>
      <c r="E278" s="1282"/>
      <c r="F278" s="1282"/>
      <c r="G278" s="1288">
        <f>SUM('III. Inputs, Renewable Energy'!$V$48)</f>
        <v>20</v>
      </c>
      <c r="H278" s="1283"/>
      <c r="I278" s="1283"/>
      <c r="J278" s="1283"/>
      <c r="K278" s="1283"/>
      <c r="L278" s="1283"/>
      <c r="M278" s="1283"/>
      <c r="N278" s="1283"/>
      <c r="O278" s="1283"/>
      <c r="P278" s="1283"/>
      <c r="Q278" s="1283"/>
      <c r="R278" s="1283"/>
      <c r="S278" s="1283"/>
      <c r="T278" s="1283"/>
      <c r="U278" s="1283"/>
      <c r="V278" s="1283"/>
      <c r="W278" s="1283"/>
      <c r="X278" s="1283"/>
      <c r="Y278" s="1283"/>
      <c r="Z278" s="1283"/>
      <c r="AA278" s="1284"/>
      <c r="AB278" s="695"/>
    </row>
    <row r="279" spans="1:28" x14ac:dyDescent="0.45">
      <c r="A279" s="695"/>
      <c r="B279" s="1285"/>
      <c r="C279" s="1286" t="s">
        <v>63</v>
      </c>
      <c r="D279" s="1287" t="s">
        <v>14</v>
      </c>
      <c r="E279" s="1282"/>
      <c r="F279" s="1282"/>
      <c r="G279" s="1289">
        <f>SUM('III. Inputs, Renewable Energy'!$V$43)</f>
        <v>0.04</v>
      </c>
      <c r="H279" s="1283"/>
      <c r="I279" s="1283"/>
      <c r="J279" s="1283"/>
      <c r="K279" s="1283"/>
      <c r="L279" s="1283"/>
      <c r="M279" s="1283"/>
      <c r="N279" s="1283"/>
      <c r="O279" s="1283"/>
      <c r="P279" s="1283"/>
      <c r="Q279" s="1283"/>
      <c r="R279" s="1283"/>
      <c r="S279" s="1283"/>
      <c r="T279" s="1283"/>
      <c r="U279" s="1283"/>
      <c r="V279" s="1283"/>
      <c r="W279" s="1283"/>
      <c r="X279" s="1283"/>
      <c r="Y279" s="1283"/>
      <c r="Z279" s="1283"/>
      <c r="AA279" s="1284"/>
      <c r="AB279" s="695"/>
    </row>
    <row r="280" spans="1:28" x14ac:dyDescent="0.45">
      <c r="A280" s="695"/>
      <c r="B280" s="1285"/>
      <c r="C280" s="1282"/>
      <c r="D280" s="1282"/>
      <c r="E280" s="1282"/>
      <c r="F280" s="1282"/>
      <c r="G280" s="1283"/>
      <c r="H280" s="1283"/>
      <c r="I280" s="1283"/>
      <c r="J280" s="1283"/>
      <c r="K280" s="1283"/>
      <c r="L280" s="1283"/>
      <c r="M280" s="1283"/>
      <c r="N280" s="1283"/>
      <c r="O280" s="1283"/>
      <c r="P280" s="1283"/>
      <c r="Q280" s="1283"/>
      <c r="R280" s="1283"/>
      <c r="S280" s="1283"/>
      <c r="T280" s="1283"/>
      <c r="U280" s="1283"/>
      <c r="V280" s="1283"/>
      <c r="W280" s="1283"/>
      <c r="X280" s="1283"/>
      <c r="Y280" s="1283"/>
      <c r="Z280" s="1283"/>
      <c r="AA280" s="1284"/>
      <c r="AB280" s="695"/>
    </row>
    <row r="281" spans="1:28" x14ac:dyDescent="0.45">
      <c r="A281" s="695"/>
      <c r="B281" s="1285"/>
      <c r="C281" s="1290" t="s">
        <v>60</v>
      </c>
      <c r="D281" s="1282"/>
      <c r="E281" s="1282"/>
      <c r="F281" s="1282"/>
      <c r="G281" s="1283"/>
      <c r="H281" s="1283"/>
      <c r="I281" s="1283"/>
      <c r="J281" s="1283"/>
      <c r="K281" s="1283"/>
      <c r="L281" s="1283"/>
      <c r="M281" s="1283"/>
      <c r="N281" s="1283"/>
      <c r="O281" s="1283"/>
      <c r="P281" s="1283"/>
      <c r="Q281" s="1283"/>
      <c r="R281" s="1283"/>
      <c r="S281" s="1283"/>
      <c r="T281" s="1283"/>
      <c r="U281" s="1283"/>
      <c r="V281" s="1283"/>
      <c r="W281" s="1283"/>
      <c r="X281" s="1283"/>
      <c r="Y281" s="1283"/>
      <c r="Z281" s="1283"/>
      <c r="AA281" s="1284"/>
      <c r="AB281" s="695"/>
    </row>
    <row r="282" spans="1:28" x14ac:dyDescent="0.45">
      <c r="A282" s="695"/>
      <c r="B282" s="1285"/>
      <c r="C282" s="1282" t="s">
        <v>66</v>
      </c>
      <c r="D282" s="1282"/>
      <c r="E282" s="1282"/>
      <c r="F282" s="1282"/>
      <c r="G282" s="1645"/>
      <c r="H282" s="1645">
        <f>IF($G$277=0,0,IF(H$196&gt;$G$278,0,IPMT($G$279,H$196,$G$278,-$G$277)))</f>
        <v>4624778.3280985747</v>
      </c>
      <c r="I282" s="1645">
        <f t="shared" ref="I282:AA282" si="91">IF($G$277=0,0,IF(I$196&gt;$G$278,0,IPMT($G$279,I$196,$G$278,-$G$277)))</f>
        <v>4469470.1769591141</v>
      </c>
      <c r="J282" s="1645">
        <f t="shared" si="91"/>
        <v>4307949.6997740762</v>
      </c>
      <c r="K282" s="1645">
        <f t="shared" si="91"/>
        <v>4139968.4035016359</v>
      </c>
      <c r="L282" s="1645">
        <f t="shared" si="91"/>
        <v>3965267.8553782981</v>
      </c>
      <c r="M282" s="1645">
        <f t="shared" si="91"/>
        <v>3783579.2853300278</v>
      </c>
      <c r="N282" s="1645">
        <f t="shared" si="91"/>
        <v>3594623.1724798251</v>
      </c>
      <c r="O282" s="1645">
        <f t="shared" si="91"/>
        <v>3398108.8151156157</v>
      </c>
      <c r="P282" s="1645">
        <f t="shared" si="91"/>
        <v>3193733.8834568369</v>
      </c>
      <c r="Q282" s="1645">
        <f t="shared" si="91"/>
        <v>2981183.9545317078</v>
      </c>
      <c r="R282" s="1645">
        <f t="shared" si="91"/>
        <v>2760132.0284495722</v>
      </c>
      <c r="S282" s="1645">
        <f t="shared" si="91"/>
        <v>2530238.0253241523</v>
      </c>
      <c r="T282" s="1645">
        <f t="shared" si="91"/>
        <v>2291148.2620737157</v>
      </c>
      <c r="U282" s="1645">
        <f t="shared" si="91"/>
        <v>2042494.9082932612</v>
      </c>
      <c r="V282" s="1645">
        <f t="shared" si="91"/>
        <v>1783895.4203615887</v>
      </c>
      <c r="W282" s="1645">
        <f t="shared" si="91"/>
        <v>1514951.9529126491</v>
      </c>
      <c r="X282" s="1645">
        <f t="shared" si="91"/>
        <v>1235250.7467657521</v>
      </c>
      <c r="Y282" s="1645">
        <f t="shared" si="91"/>
        <v>944361.49237297929</v>
      </c>
      <c r="Z282" s="1645">
        <f t="shared" si="91"/>
        <v>641836.66780449532</v>
      </c>
      <c r="AA282" s="1646">
        <f t="shared" si="91"/>
        <v>327210.85025327216</v>
      </c>
      <c r="AB282" s="695"/>
    </row>
    <row r="283" spans="1:28" x14ac:dyDescent="0.45">
      <c r="A283" s="695"/>
      <c r="B283" s="1285"/>
      <c r="C283" s="1291" t="s">
        <v>65</v>
      </c>
      <c r="D283" s="1291"/>
      <c r="E283" s="1291"/>
      <c r="F283" s="1291"/>
      <c r="G283" s="1647"/>
      <c r="H283" s="1647">
        <f>IF($G$277=0,0,IF(H$196&gt;$G$278,0,PPMT($G$279,H$196,$G$278,-$G$277)))</f>
        <v>3882703.7784865014</v>
      </c>
      <c r="I283" s="1647">
        <f t="shared" ref="I283:AA283" si="92">IF($G$277=0,0,IF(I$196&gt;$G$278,0,PPMT($G$279,I$196,$G$278,-$G$277)))</f>
        <v>4038011.9296259619</v>
      </c>
      <c r="J283" s="1647">
        <f t="shared" si="92"/>
        <v>4199532.4068109998</v>
      </c>
      <c r="K283" s="1647">
        <f t="shared" si="92"/>
        <v>4367513.7030834397</v>
      </c>
      <c r="L283" s="1647">
        <f t="shared" si="92"/>
        <v>4542214.251206778</v>
      </c>
      <c r="M283" s="1647">
        <f t="shared" si="92"/>
        <v>4723902.8212550497</v>
      </c>
      <c r="N283" s="1647">
        <f t="shared" si="92"/>
        <v>4912858.934105251</v>
      </c>
      <c r="O283" s="1647">
        <f t="shared" si="92"/>
        <v>5109373.2914694604</v>
      </c>
      <c r="P283" s="1647">
        <f t="shared" si="92"/>
        <v>5313748.2231282396</v>
      </c>
      <c r="Q283" s="1647">
        <f t="shared" si="92"/>
        <v>5526298.1520533683</v>
      </c>
      <c r="R283" s="1647">
        <f t="shared" si="92"/>
        <v>5747350.0781355035</v>
      </c>
      <c r="S283" s="1647">
        <f t="shared" si="92"/>
        <v>5977244.0812609233</v>
      </c>
      <c r="T283" s="1647">
        <f t="shared" si="92"/>
        <v>6216333.8445113599</v>
      </c>
      <c r="U283" s="1647">
        <f t="shared" si="92"/>
        <v>6464987.1982918149</v>
      </c>
      <c r="V283" s="1647">
        <f t="shared" si="92"/>
        <v>6723586.6862234864</v>
      </c>
      <c r="W283" s="1647">
        <f t="shared" si="92"/>
        <v>6992530.1536724269</v>
      </c>
      <c r="X283" s="1647">
        <f t="shared" si="92"/>
        <v>7272231.3598193238</v>
      </c>
      <c r="Y283" s="1647">
        <f t="shared" si="92"/>
        <v>7563120.6142120967</v>
      </c>
      <c r="Z283" s="1647">
        <f t="shared" si="92"/>
        <v>7865645.4387805806</v>
      </c>
      <c r="AA283" s="1648">
        <f t="shared" si="92"/>
        <v>8180271.2563318042</v>
      </c>
      <c r="AB283" s="695"/>
    </row>
    <row r="284" spans="1:28" x14ac:dyDescent="0.45">
      <c r="A284" s="695"/>
      <c r="B284" s="1285"/>
      <c r="C284" s="1282" t="s">
        <v>67</v>
      </c>
      <c r="D284" s="1282"/>
      <c r="E284" s="1282"/>
      <c r="F284" s="1282"/>
      <c r="G284" s="1645"/>
      <c r="H284" s="1645">
        <f>SUM(H282:H283)</f>
        <v>8507482.1065850761</v>
      </c>
      <c r="I284" s="1645">
        <f t="shared" ref="I284:AA284" si="93">SUM(I282:I283)</f>
        <v>8507482.1065850761</v>
      </c>
      <c r="J284" s="1645">
        <f t="shared" si="93"/>
        <v>8507482.1065850761</v>
      </c>
      <c r="K284" s="1645">
        <f t="shared" si="93"/>
        <v>8507482.1065850761</v>
      </c>
      <c r="L284" s="1645">
        <f t="shared" si="93"/>
        <v>8507482.1065850761</v>
      </c>
      <c r="M284" s="1645">
        <f t="shared" si="93"/>
        <v>8507482.1065850779</v>
      </c>
      <c r="N284" s="1645">
        <f t="shared" si="93"/>
        <v>8507482.1065850761</v>
      </c>
      <c r="O284" s="1645">
        <f t="shared" si="93"/>
        <v>8507482.1065850761</v>
      </c>
      <c r="P284" s="1645">
        <f t="shared" si="93"/>
        <v>8507482.1065850761</v>
      </c>
      <c r="Q284" s="1645">
        <f t="shared" si="93"/>
        <v>8507482.1065850761</v>
      </c>
      <c r="R284" s="1645">
        <f t="shared" si="93"/>
        <v>8507482.1065850761</v>
      </c>
      <c r="S284" s="1645">
        <f t="shared" si="93"/>
        <v>8507482.1065850761</v>
      </c>
      <c r="T284" s="1645">
        <f t="shared" si="93"/>
        <v>8507482.1065850761</v>
      </c>
      <c r="U284" s="1645">
        <f t="shared" si="93"/>
        <v>8507482.1065850761</v>
      </c>
      <c r="V284" s="1645">
        <f t="shared" si="93"/>
        <v>8507482.1065850742</v>
      </c>
      <c r="W284" s="1645">
        <f t="shared" si="93"/>
        <v>8507482.1065850761</v>
      </c>
      <c r="X284" s="1645">
        <f t="shared" si="93"/>
        <v>8507482.1065850761</v>
      </c>
      <c r="Y284" s="1645">
        <f t="shared" si="93"/>
        <v>8507482.1065850761</v>
      </c>
      <c r="Z284" s="1645">
        <f t="shared" si="93"/>
        <v>8507482.1065850761</v>
      </c>
      <c r="AA284" s="1646">
        <f t="shared" si="93"/>
        <v>8507482.1065850761</v>
      </c>
      <c r="AB284" s="695"/>
    </row>
    <row r="285" spans="1:28" x14ac:dyDescent="0.45">
      <c r="A285" s="695"/>
      <c r="B285" s="1285"/>
      <c r="C285" s="1282"/>
      <c r="D285" s="1282"/>
      <c r="E285" s="1282"/>
      <c r="F285" s="1282"/>
      <c r="G285" s="1645"/>
      <c r="H285" s="1645"/>
      <c r="I285" s="1645"/>
      <c r="J285" s="1645"/>
      <c r="K285" s="1645"/>
      <c r="L285" s="1645"/>
      <c r="M285" s="1645"/>
      <c r="N285" s="1645"/>
      <c r="O285" s="1645"/>
      <c r="P285" s="1645"/>
      <c r="Q285" s="1645"/>
      <c r="R285" s="1645"/>
      <c r="S285" s="1645"/>
      <c r="T285" s="1645"/>
      <c r="U285" s="1645"/>
      <c r="V285" s="1645"/>
      <c r="W285" s="1645"/>
      <c r="X285" s="1645"/>
      <c r="Y285" s="1645"/>
      <c r="Z285" s="1645"/>
      <c r="AA285" s="1646"/>
      <c r="AB285" s="695"/>
    </row>
    <row r="286" spans="1:28" x14ac:dyDescent="0.45">
      <c r="A286" s="695"/>
      <c r="B286" s="1285"/>
      <c r="C286" s="1292" t="s">
        <v>58</v>
      </c>
      <c r="D286" s="1282"/>
      <c r="E286" s="1282"/>
      <c r="F286" s="1282"/>
      <c r="G286" s="1645"/>
      <c r="H286" s="1645"/>
      <c r="I286" s="1645"/>
      <c r="J286" s="1645"/>
      <c r="K286" s="1645"/>
      <c r="L286" s="1645"/>
      <c r="M286" s="1645"/>
      <c r="N286" s="1645"/>
      <c r="O286" s="1645"/>
      <c r="P286" s="1645"/>
      <c r="Q286" s="1645"/>
      <c r="R286" s="1645"/>
      <c r="S286" s="1645"/>
      <c r="T286" s="1645"/>
      <c r="U286" s="1645"/>
      <c r="V286" s="1645"/>
      <c r="W286" s="1645"/>
      <c r="X286" s="1645"/>
      <c r="Y286" s="1645"/>
      <c r="Z286" s="1645"/>
      <c r="AA286" s="1646"/>
      <c r="AB286" s="695"/>
    </row>
    <row r="287" spans="1:28" x14ac:dyDescent="0.45">
      <c r="A287" s="695"/>
      <c r="B287" s="1285"/>
      <c r="C287" s="1282" t="s">
        <v>68</v>
      </c>
      <c r="D287" s="1282"/>
      <c r="E287" s="1282"/>
      <c r="F287" s="1282"/>
      <c r="G287" s="1645">
        <v>0</v>
      </c>
      <c r="H287" s="1645">
        <f t="shared" ref="H287:AA287" si="94">G290</f>
        <v>115619458.20246436</v>
      </c>
      <c r="I287" s="1645">
        <f t="shared" si="94"/>
        <v>111736754.42397785</v>
      </c>
      <c r="J287" s="1645">
        <f t="shared" si="94"/>
        <v>107698742.49435189</v>
      </c>
      <c r="K287" s="1645">
        <f t="shared" si="94"/>
        <v>103499210.08754089</v>
      </c>
      <c r="L287" s="1645">
        <f t="shared" si="94"/>
        <v>99131696.384457454</v>
      </c>
      <c r="M287" s="1645">
        <f t="shared" si="94"/>
        <v>94589482.133250684</v>
      </c>
      <c r="N287" s="1645">
        <f t="shared" si="94"/>
        <v>89865579.31199564</v>
      </c>
      <c r="O287" s="1645">
        <f t="shared" si="94"/>
        <v>84952720.377890393</v>
      </c>
      <c r="P287" s="1645">
        <f t="shared" si="94"/>
        <v>79843347.086420938</v>
      </c>
      <c r="Q287" s="1645">
        <f t="shared" si="94"/>
        <v>74529598.863292694</v>
      </c>
      <c r="R287" s="1645">
        <f t="shared" si="94"/>
        <v>69003300.711239323</v>
      </c>
      <c r="S287" s="1645">
        <f t="shared" si="94"/>
        <v>63255950.633103818</v>
      </c>
      <c r="T287" s="1645">
        <f t="shared" si="94"/>
        <v>57278706.551842898</v>
      </c>
      <c r="U287" s="1645">
        <f t="shared" si="94"/>
        <v>51062372.707331538</v>
      </c>
      <c r="V287" s="1645">
        <f t="shared" si="94"/>
        <v>44597385.509039722</v>
      </c>
      <c r="W287" s="1645">
        <f t="shared" si="94"/>
        <v>37873798.822816238</v>
      </c>
      <c r="X287" s="1645">
        <f t="shared" si="94"/>
        <v>30881268.669143811</v>
      </c>
      <c r="Y287" s="1645">
        <f t="shared" si="94"/>
        <v>23609037.309324488</v>
      </c>
      <c r="Z287" s="1645">
        <f t="shared" si="94"/>
        <v>16045916.695112392</v>
      </c>
      <c r="AA287" s="1646">
        <f t="shared" si="94"/>
        <v>8180271.2563318117</v>
      </c>
      <c r="AB287" s="695"/>
    </row>
    <row r="288" spans="1:28" x14ac:dyDescent="0.45">
      <c r="A288" s="695"/>
      <c r="B288" s="1285"/>
      <c r="C288" s="1282" t="s">
        <v>69</v>
      </c>
      <c r="D288" s="1282"/>
      <c r="E288" s="1282"/>
      <c r="F288" s="1282"/>
      <c r="G288" s="1645">
        <f>G277</f>
        <v>115619458.20246436</v>
      </c>
      <c r="H288" s="1645">
        <v>0</v>
      </c>
      <c r="I288" s="1645">
        <v>0</v>
      </c>
      <c r="J288" s="1645">
        <v>0</v>
      </c>
      <c r="K288" s="1645">
        <v>0</v>
      </c>
      <c r="L288" s="1645">
        <v>0</v>
      </c>
      <c r="M288" s="1645">
        <v>0</v>
      </c>
      <c r="N288" s="1645">
        <v>0</v>
      </c>
      <c r="O288" s="1645">
        <v>0</v>
      </c>
      <c r="P288" s="1645">
        <v>0</v>
      </c>
      <c r="Q288" s="1645">
        <v>0</v>
      </c>
      <c r="R288" s="1645">
        <v>0</v>
      </c>
      <c r="S288" s="1645">
        <v>0</v>
      </c>
      <c r="T288" s="1645">
        <v>0</v>
      </c>
      <c r="U288" s="1645">
        <v>0</v>
      </c>
      <c r="V288" s="1645">
        <v>0</v>
      </c>
      <c r="W288" s="1645">
        <v>0</v>
      </c>
      <c r="X288" s="1645">
        <v>0</v>
      </c>
      <c r="Y288" s="1645">
        <v>0</v>
      </c>
      <c r="Z288" s="1645">
        <v>0</v>
      </c>
      <c r="AA288" s="1646">
        <v>0</v>
      </c>
      <c r="AB288" s="695"/>
    </row>
    <row r="289" spans="1:28" x14ac:dyDescent="0.45">
      <c r="A289" s="695"/>
      <c r="B289" s="1285"/>
      <c r="C289" s="1291" t="s">
        <v>70</v>
      </c>
      <c r="D289" s="1291"/>
      <c r="E289" s="1291"/>
      <c r="F289" s="1291"/>
      <c r="G289" s="1647">
        <v>0</v>
      </c>
      <c r="H289" s="1647">
        <f t="shared" ref="H289:AA289" si="95">-H283</f>
        <v>-3882703.7784865014</v>
      </c>
      <c r="I289" s="1647">
        <f t="shared" si="95"/>
        <v>-4038011.9296259619</v>
      </c>
      <c r="J289" s="1647">
        <f t="shared" si="95"/>
        <v>-4199532.4068109998</v>
      </c>
      <c r="K289" s="1647">
        <f t="shared" si="95"/>
        <v>-4367513.7030834397</v>
      </c>
      <c r="L289" s="1647">
        <f t="shared" si="95"/>
        <v>-4542214.251206778</v>
      </c>
      <c r="M289" s="1647">
        <f t="shared" si="95"/>
        <v>-4723902.8212550497</v>
      </c>
      <c r="N289" s="1647">
        <f t="shared" si="95"/>
        <v>-4912858.934105251</v>
      </c>
      <c r="O289" s="1647">
        <f t="shared" si="95"/>
        <v>-5109373.2914694604</v>
      </c>
      <c r="P289" s="1647">
        <f t="shared" si="95"/>
        <v>-5313748.2231282396</v>
      </c>
      <c r="Q289" s="1647">
        <f t="shared" si="95"/>
        <v>-5526298.1520533683</v>
      </c>
      <c r="R289" s="1647">
        <f t="shared" si="95"/>
        <v>-5747350.0781355035</v>
      </c>
      <c r="S289" s="1647">
        <f t="shared" si="95"/>
        <v>-5977244.0812609233</v>
      </c>
      <c r="T289" s="1647">
        <f t="shared" si="95"/>
        <v>-6216333.8445113599</v>
      </c>
      <c r="U289" s="1647">
        <f t="shared" si="95"/>
        <v>-6464987.1982918149</v>
      </c>
      <c r="V289" s="1647">
        <f t="shared" si="95"/>
        <v>-6723586.6862234864</v>
      </c>
      <c r="W289" s="1647">
        <f t="shared" si="95"/>
        <v>-6992530.1536724269</v>
      </c>
      <c r="X289" s="1647">
        <f t="shared" si="95"/>
        <v>-7272231.3598193238</v>
      </c>
      <c r="Y289" s="1647">
        <f t="shared" si="95"/>
        <v>-7563120.6142120967</v>
      </c>
      <c r="Z289" s="1647">
        <f t="shared" si="95"/>
        <v>-7865645.4387805806</v>
      </c>
      <c r="AA289" s="1648">
        <f t="shared" si="95"/>
        <v>-8180271.2563318042</v>
      </c>
      <c r="AB289" s="695"/>
    </row>
    <row r="290" spans="1:28" x14ac:dyDescent="0.45">
      <c r="A290" s="695"/>
      <c r="B290" s="1285"/>
      <c r="C290" s="1282" t="s">
        <v>59</v>
      </c>
      <c r="D290" s="1282"/>
      <c r="E290" s="1282"/>
      <c r="F290" s="1282"/>
      <c r="G290" s="1645">
        <f>SUM(G287:G289)</f>
        <v>115619458.20246436</v>
      </c>
      <c r="H290" s="1645">
        <f t="shared" ref="H290:AA290" si="96">SUM(H287:H289)</f>
        <v>111736754.42397785</v>
      </c>
      <c r="I290" s="1645">
        <f t="shared" si="96"/>
        <v>107698742.49435189</v>
      </c>
      <c r="J290" s="1645">
        <f t="shared" si="96"/>
        <v>103499210.08754089</v>
      </c>
      <c r="K290" s="1645">
        <f t="shared" si="96"/>
        <v>99131696.384457454</v>
      </c>
      <c r="L290" s="1645">
        <f t="shared" si="96"/>
        <v>94589482.133250684</v>
      </c>
      <c r="M290" s="1645">
        <f t="shared" si="96"/>
        <v>89865579.31199564</v>
      </c>
      <c r="N290" s="1645">
        <f t="shared" si="96"/>
        <v>84952720.377890393</v>
      </c>
      <c r="O290" s="1645">
        <f t="shared" si="96"/>
        <v>79843347.086420938</v>
      </c>
      <c r="P290" s="1645">
        <f t="shared" si="96"/>
        <v>74529598.863292694</v>
      </c>
      <c r="Q290" s="1645">
        <f t="shared" si="96"/>
        <v>69003300.711239323</v>
      </c>
      <c r="R290" s="1645">
        <f t="shared" si="96"/>
        <v>63255950.633103818</v>
      </c>
      <c r="S290" s="1645">
        <f t="shared" si="96"/>
        <v>57278706.551842898</v>
      </c>
      <c r="T290" s="1645">
        <f t="shared" si="96"/>
        <v>51062372.707331538</v>
      </c>
      <c r="U290" s="1645">
        <f t="shared" si="96"/>
        <v>44597385.509039722</v>
      </c>
      <c r="V290" s="1645">
        <f t="shared" si="96"/>
        <v>37873798.822816238</v>
      </c>
      <c r="W290" s="1645">
        <f t="shared" si="96"/>
        <v>30881268.669143811</v>
      </c>
      <c r="X290" s="1645">
        <f t="shared" si="96"/>
        <v>23609037.309324488</v>
      </c>
      <c r="Y290" s="1645">
        <f t="shared" si="96"/>
        <v>16045916.695112392</v>
      </c>
      <c r="Z290" s="1645">
        <f t="shared" si="96"/>
        <v>8180271.2563318117</v>
      </c>
      <c r="AA290" s="1646">
        <f t="shared" si="96"/>
        <v>7.4505805969238281E-9</v>
      </c>
      <c r="AB290" s="695"/>
    </row>
    <row r="291" spans="1:28" x14ac:dyDescent="0.45">
      <c r="A291" s="695"/>
      <c r="B291" s="1285"/>
      <c r="C291" s="1282"/>
      <c r="D291" s="1282"/>
      <c r="E291" s="1282"/>
      <c r="F291" s="1282"/>
      <c r="G291" s="1645"/>
      <c r="H291" s="1645"/>
      <c r="I291" s="1645"/>
      <c r="J291" s="1645"/>
      <c r="K291" s="1645"/>
      <c r="L291" s="1645"/>
      <c r="M291" s="1645"/>
      <c r="N291" s="1645"/>
      <c r="O291" s="1645"/>
      <c r="P291" s="1645"/>
      <c r="Q291" s="1645"/>
      <c r="R291" s="1645"/>
      <c r="S291" s="1645"/>
      <c r="T291" s="1645"/>
      <c r="U291" s="1645"/>
      <c r="V291" s="1645"/>
      <c r="W291" s="1645"/>
      <c r="X291" s="1645"/>
      <c r="Y291" s="1645"/>
      <c r="Z291" s="1645"/>
      <c r="AA291" s="1646"/>
      <c r="AB291" s="695"/>
    </row>
    <row r="292" spans="1:28" x14ac:dyDescent="0.45">
      <c r="A292" s="695"/>
      <c r="B292" s="1285"/>
      <c r="C292" s="1292" t="s">
        <v>64</v>
      </c>
      <c r="D292" s="1282"/>
      <c r="E292" s="1282"/>
      <c r="F292" s="1282"/>
      <c r="G292" s="1645"/>
      <c r="H292" s="1645"/>
      <c r="I292" s="1645"/>
      <c r="J292" s="1645"/>
      <c r="K292" s="1645"/>
      <c r="L292" s="1645"/>
      <c r="M292" s="1645"/>
      <c r="N292" s="1645"/>
      <c r="O292" s="1645"/>
      <c r="P292" s="1645"/>
      <c r="Q292" s="1645"/>
      <c r="R292" s="1645"/>
      <c r="S292" s="1645"/>
      <c r="T292" s="1645"/>
      <c r="U292" s="1645"/>
      <c r="V292" s="1645"/>
      <c r="W292" s="1645"/>
      <c r="X292" s="1645"/>
      <c r="Y292" s="1645"/>
      <c r="Z292" s="1645"/>
      <c r="AA292" s="1646"/>
      <c r="AB292" s="695"/>
    </row>
    <row r="293" spans="1:28" x14ac:dyDescent="0.45">
      <c r="A293" s="695"/>
      <c r="B293" s="1285"/>
      <c r="C293" s="1282" t="s">
        <v>203</v>
      </c>
      <c r="D293" s="1282"/>
      <c r="E293" s="1282"/>
      <c r="F293" s="1282"/>
      <c r="G293" s="1645"/>
      <c r="H293" s="1645">
        <f>IF($G$277&gt;0, $G$277*'III. Inputs, Renewable Energy'!$V$53/10000,0)</f>
        <v>0</v>
      </c>
      <c r="I293" s="1645">
        <v>0</v>
      </c>
      <c r="J293" s="1645">
        <v>0</v>
      </c>
      <c r="K293" s="1645">
        <v>0</v>
      </c>
      <c r="L293" s="1645">
        <v>0</v>
      </c>
      <c r="M293" s="1645">
        <v>0</v>
      </c>
      <c r="N293" s="1645">
        <v>0</v>
      </c>
      <c r="O293" s="1645">
        <v>0</v>
      </c>
      <c r="P293" s="1645">
        <v>0</v>
      </c>
      <c r="Q293" s="1645">
        <v>0</v>
      </c>
      <c r="R293" s="1645">
        <v>0</v>
      </c>
      <c r="S293" s="1645">
        <v>0</v>
      </c>
      <c r="T293" s="1645">
        <v>0</v>
      </c>
      <c r="U293" s="1645">
        <v>0</v>
      </c>
      <c r="V293" s="1645">
        <v>0</v>
      </c>
      <c r="W293" s="1645">
        <v>0</v>
      </c>
      <c r="X293" s="1645">
        <v>0</v>
      </c>
      <c r="Y293" s="1645">
        <v>0</v>
      </c>
      <c r="Z293" s="1645">
        <v>0</v>
      </c>
      <c r="AA293" s="1646">
        <v>0</v>
      </c>
      <c r="AB293" s="695"/>
    </row>
    <row r="294" spans="1:28" x14ac:dyDescent="0.45">
      <c r="A294" s="695"/>
      <c r="B294" s="1285"/>
      <c r="C294" s="1282"/>
      <c r="D294" s="1282"/>
      <c r="E294" s="1282"/>
      <c r="F294" s="1282"/>
      <c r="G294" s="1283"/>
      <c r="H294" s="1283"/>
      <c r="I294" s="1283"/>
      <c r="J294" s="1283"/>
      <c r="K294" s="1283"/>
      <c r="L294" s="1283"/>
      <c r="M294" s="1283"/>
      <c r="N294" s="1283"/>
      <c r="O294" s="1283"/>
      <c r="P294" s="1283"/>
      <c r="Q294" s="1283"/>
      <c r="R294" s="1283"/>
      <c r="S294" s="1283"/>
      <c r="T294" s="1283"/>
      <c r="U294" s="1283"/>
      <c r="V294" s="1283"/>
      <c r="W294" s="1283"/>
      <c r="X294" s="1283"/>
      <c r="Y294" s="1283"/>
      <c r="Z294" s="1283"/>
      <c r="AA294" s="1284"/>
      <c r="AB294" s="695"/>
    </row>
    <row r="295" spans="1:28" ht="13.15" x14ac:dyDescent="0.45">
      <c r="A295" s="695"/>
      <c r="B295" s="1281" t="s">
        <v>151</v>
      </c>
      <c r="C295" s="1282"/>
      <c r="D295" s="1282"/>
      <c r="E295" s="1282"/>
      <c r="F295" s="1282"/>
      <c r="G295" s="1283"/>
      <c r="H295" s="1283"/>
      <c r="I295" s="1283"/>
      <c r="J295" s="1283"/>
      <c r="K295" s="1283"/>
      <c r="L295" s="1283"/>
      <c r="M295" s="1283"/>
      <c r="N295" s="1283"/>
      <c r="O295" s="1283"/>
      <c r="P295" s="1283"/>
      <c r="Q295" s="1283"/>
      <c r="R295" s="1283"/>
      <c r="S295" s="1283"/>
      <c r="T295" s="1283"/>
      <c r="U295" s="1283"/>
      <c r="V295" s="1283"/>
      <c r="W295" s="1283"/>
      <c r="X295" s="1283"/>
      <c r="Y295" s="1283"/>
      <c r="Z295" s="1283"/>
      <c r="AA295" s="1284"/>
      <c r="AB295" s="695"/>
    </row>
    <row r="296" spans="1:28" x14ac:dyDescent="0.45">
      <c r="A296" s="695"/>
      <c r="B296" s="1285"/>
      <c r="C296" s="1286" t="s">
        <v>61</v>
      </c>
      <c r="D296" s="1287" t="s">
        <v>748</v>
      </c>
      <c r="E296" s="1282"/>
      <c r="F296" s="1282"/>
      <c r="G296" s="1645">
        <f>IF('III. Inputs, Renewable Energy'!$V$37&gt;0, 'III. Inputs, Renewable Energy'!$U$14*'III. Inputs, Renewable Energy'!$U$15*'III. Inputs, Renewable Energy'!$V$34*SUM('III. Inputs, Renewable Energy'!$V$37),0)</f>
        <v>0</v>
      </c>
      <c r="H296" s="1283"/>
      <c r="I296" s="1283"/>
      <c r="J296" s="1283"/>
      <c r="K296" s="1283"/>
      <c r="L296" s="1283"/>
      <c r="M296" s="1283"/>
      <c r="N296" s="1283"/>
      <c r="O296" s="1283"/>
      <c r="P296" s="1283"/>
      <c r="Q296" s="1283"/>
      <c r="R296" s="1283"/>
      <c r="S296" s="1283"/>
      <c r="T296" s="1283"/>
      <c r="U296" s="1283"/>
      <c r="V296" s="1283"/>
      <c r="W296" s="1283"/>
      <c r="X296" s="1283"/>
      <c r="Y296" s="1283"/>
      <c r="Z296" s="1283"/>
      <c r="AA296" s="1284"/>
      <c r="AB296" s="695"/>
    </row>
    <row r="297" spans="1:28" x14ac:dyDescent="0.45">
      <c r="A297" s="695"/>
      <c r="B297" s="1285"/>
      <c r="C297" s="1286" t="s">
        <v>62</v>
      </c>
      <c r="D297" s="1287" t="s">
        <v>18</v>
      </c>
      <c r="E297" s="1282"/>
      <c r="F297" s="1282"/>
      <c r="G297" s="1288">
        <f>SUM('III. Inputs, Renewable Energy'!$V$49)</f>
        <v>0</v>
      </c>
      <c r="H297" s="1283"/>
      <c r="I297" s="1283"/>
      <c r="J297" s="1283"/>
      <c r="K297" s="1283"/>
      <c r="L297" s="1283"/>
      <c r="M297" s="1283"/>
      <c r="N297" s="1283"/>
      <c r="O297" s="1283"/>
      <c r="P297" s="1283"/>
      <c r="Q297" s="1283"/>
      <c r="R297" s="1283"/>
      <c r="S297" s="1283"/>
      <c r="T297" s="1283"/>
      <c r="U297" s="1283"/>
      <c r="V297" s="1283"/>
      <c r="W297" s="1283"/>
      <c r="X297" s="1283"/>
      <c r="Y297" s="1283"/>
      <c r="Z297" s="1283"/>
      <c r="AA297" s="1284"/>
      <c r="AB297" s="695"/>
    </row>
    <row r="298" spans="1:28" x14ac:dyDescent="0.45">
      <c r="A298" s="695"/>
      <c r="B298" s="1285"/>
      <c r="C298" s="1286" t="s">
        <v>63</v>
      </c>
      <c r="D298" s="1287" t="s">
        <v>14</v>
      </c>
      <c r="E298" s="1282"/>
      <c r="F298" s="1282"/>
      <c r="G298" s="1289">
        <f>SUM('III. Inputs, Renewable Energy'!$V$44)</f>
        <v>0</v>
      </c>
      <c r="H298" s="1283"/>
      <c r="I298" s="1283"/>
      <c r="J298" s="1283"/>
      <c r="K298" s="1283"/>
      <c r="L298" s="1283"/>
      <c r="M298" s="1283"/>
      <c r="N298" s="1283"/>
      <c r="O298" s="1283"/>
      <c r="P298" s="1283"/>
      <c r="Q298" s="1283"/>
      <c r="R298" s="1283"/>
      <c r="S298" s="1283"/>
      <c r="T298" s="1283"/>
      <c r="U298" s="1283"/>
      <c r="V298" s="1283"/>
      <c r="W298" s="1283"/>
      <c r="X298" s="1283"/>
      <c r="Y298" s="1283"/>
      <c r="Z298" s="1283"/>
      <c r="AA298" s="1284"/>
      <c r="AB298" s="695"/>
    </row>
    <row r="299" spans="1:28" x14ac:dyDescent="0.45">
      <c r="A299" s="695"/>
      <c r="B299" s="1285"/>
      <c r="C299" s="1282" t="s">
        <v>204</v>
      </c>
      <c r="D299" s="1287" t="s">
        <v>14</v>
      </c>
      <c r="E299" s="1282"/>
      <c r="F299" s="1282"/>
      <c r="G299" s="1293">
        <f>IF('III. Inputs, Renewable Energy'!$V$128="N", 0, 'III. Inputs, Renewable Energy'!$V$222)</f>
        <v>0</v>
      </c>
      <c r="H299" s="1283"/>
      <c r="I299" s="1283"/>
      <c r="J299" s="1283"/>
      <c r="K299" s="1283"/>
      <c r="L299" s="1283"/>
      <c r="M299" s="1283"/>
      <c r="N299" s="1283"/>
      <c r="O299" s="1283"/>
      <c r="P299" s="1283"/>
      <c r="Q299" s="1283"/>
      <c r="R299" s="1283"/>
      <c r="S299" s="1283"/>
      <c r="T299" s="1283"/>
      <c r="U299" s="1283"/>
      <c r="V299" s="1283"/>
      <c r="W299" s="1283"/>
      <c r="X299" s="1283"/>
      <c r="Y299" s="1283"/>
      <c r="Z299" s="1283"/>
      <c r="AA299" s="1284"/>
      <c r="AB299" s="695"/>
    </row>
    <row r="300" spans="1:28" x14ac:dyDescent="0.45">
      <c r="A300" s="695"/>
      <c r="B300" s="1285"/>
      <c r="C300" s="1282" t="s">
        <v>178</v>
      </c>
      <c r="D300" s="1287" t="s">
        <v>18</v>
      </c>
      <c r="E300" s="1282"/>
      <c r="F300" s="1282"/>
      <c r="G300" s="1294">
        <f>IF('III. Inputs, Renewable Energy'!$V$128="N", 0, 'III. Inputs, Renewable Energy'!$V$223)</f>
        <v>0</v>
      </c>
      <c r="H300" s="1283"/>
      <c r="I300" s="1283"/>
      <c r="J300" s="1283"/>
      <c r="K300" s="1283"/>
      <c r="L300" s="1283"/>
      <c r="M300" s="1283"/>
      <c r="N300" s="1283"/>
      <c r="O300" s="1283"/>
      <c r="P300" s="1283"/>
      <c r="Q300" s="1283"/>
      <c r="R300" s="1283"/>
      <c r="S300" s="1283"/>
      <c r="T300" s="1283"/>
      <c r="U300" s="1283"/>
      <c r="V300" s="1283"/>
      <c r="W300" s="1283"/>
      <c r="X300" s="1283"/>
      <c r="Y300" s="1283"/>
      <c r="Z300" s="1283"/>
      <c r="AA300" s="1284"/>
      <c r="AB300" s="695"/>
    </row>
    <row r="301" spans="1:28" x14ac:dyDescent="0.45">
      <c r="A301" s="695"/>
      <c r="B301" s="1285"/>
      <c r="C301" s="1282"/>
      <c r="D301" s="1282"/>
      <c r="E301" s="1282"/>
      <c r="F301" s="1282"/>
      <c r="G301" s="1283"/>
      <c r="H301" s="1283"/>
      <c r="I301" s="1283"/>
      <c r="J301" s="1283"/>
      <c r="K301" s="1283"/>
      <c r="L301" s="1283"/>
      <c r="M301" s="1283"/>
      <c r="N301" s="1283"/>
      <c r="O301" s="1283"/>
      <c r="P301" s="1283"/>
      <c r="Q301" s="1283"/>
      <c r="R301" s="1283"/>
      <c r="S301" s="1283"/>
      <c r="T301" s="1283"/>
      <c r="U301" s="1283"/>
      <c r="V301" s="1283"/>
      <c r="W301" s="1283"/>
      <c r="X301" s="1283"/>
      <c r="Y301" s="1283"/>
      <c r="Z301" s="1283"/>
      <c r="AA301" s="1284"/>
      <c r="AB301" s="695"/>
    </row>
    <row r="302" spans="1:28" x14ac:dyDescent="0.45">
      <c r="A302" s="695"/>
      <c r="B302" s="1285"/>
      <c r="C302" s="1290" t="s">
        <v>60</v>
      </c>
      <c r="D302" s="1282"/>
      <c r="E302" s="1282"/>
      <c r="F302" s="1282"/>
      <c r="G302" s="1295"/>
      <c r="H302" s="1295"/>
      <c r="I302" s="1295"/>
      <c r="J302" s="1295"/>
      <c r="K302" s="1295"/>
      <c r="L302" s="1295"/>
      <c r="M302" s="1295"/>
      <c r="N302" s="1295"/>
      <c r="O302" s="1295"/>
      <c r="P302" s="1295"/>
      <c r="Q302" s="1295"/>
      <c r="R302" s="1295"/>
      <c r="S302" s="1295"/>
      <c r="T302" s="1295"/>
      <c r="U302" s="1295"/>
      <c r="V302" s="1295"/>
      <c r="W302" s="1295"/>
      <c r="X302" s="1295"/>
      <c r="Y302" s="1295"/>
      <c r="Z302" s="1295"/>
      <c r="AA302" s="1296"/>
      <c r="AB302" s="1168"/>
    </row>
    <row r="303" spans="1:28" x14ac:dyDescent="0.45">
      <c r="A303" s="695"/>
      <c r="B303" s="1285"/>
      <c r="C303" s="1282" t="s">
        <v>66</v>
      </c>
      <c r="D303" s="1282"/>
      <c r="E303" s="1282"/>
      <c r="F303" s="1282"/>
      <c r="G303" s="1645"/>
      <c r="H303" s="1645">
        <f>IF($G$296=0,0,IF(H$196&gt;$G$297,0,IPMT($G$298,H$196,$G$297,-$G$296)))</f>
        <v>0</v>
      </c>
      <c r="I303" s="1645">
        <f t="shared" ref="I303:AA303" si="97">IF($G$296=0,0,IF(I$196&gt;$G$297,0,IPMT($G$298,I$196,$G$297,-$G$296)))</f>
        <v>0</v>
      </c>
      <c r="J303" s="1645">
        <f t="shared" si="97"/>
        <v>0</v>
      </c>
      <c r="K303" s="1645">
        <f t="shared" si="97"/>
        <v>0</v>
      </c>
      <c r="L303" s="1645">
        <f t="shared" si="97"/>
        <v>0</v>
      </c>
      <c r="M303" s="1645">
        <f t="shared" si="97"/>
        <v>0</v>
      </c>
      <c r="N303" s="1645">
        <f t="shared" si="97"/>
        <v>0</v>
      </c>
      <c r="O303" s="1645">
        <f t="shared" si="97"/>
        <v>0</v>
      </c>
      <c r="P303" s="1645">
        <f t="shared" si="97"/>
        <v>0</v>
      </c>
      <c r="Q303" s="1645">
        <f t="shared" si="97"/>
        <v>0</v>
      </c>
      <c r="R303" s="1645">
        <f t="shared" si="97"/>
        <v>0</v>
      </c>
      <c r="S303" s="1645">
        <f t="shared" si="97"/>
        <v>0</v>
      </c>
      <c r="T303" s="1645">
        <f t="shared" si="97"/>
        <v>0</v>
      </c>
      <c r="U303" s="1645">
        <f t="shared" si="97"/>
        <v>0</v>
      </c>
      <c r="V303" s="1645">
        <f t="shared" si="97"/>
        <v>0</v>
      </c>
      <c r="W303" s="1645">
        <f t="shared" si="97"/>
        <v>0</v>
      </c>
      <c r="X303" s="1645">
        <f t="shared" si="97"/>
        <v>0</v>
      </c>
      <c r="Y303" s="1645">
        <f t="shared" si="97"/>
        <v>0</v>
      </c>
      <c r="Z303" s="1645">
        <f t="shared" si="97"/>
        <v>0</v>
      </c>
      <c r="AA303" s="1646">
        <f t="shared" si="97"/>
        <v>0</v>
      </c>
      <c r="AB303" s="1168"/>
    </row>
    <row r="304" spans="1:28" x14ac:dyDescent="0.45">
      <c r="A304" s="695"/>
      <c r="B304" s="1285"/>
      <c r="C304" s="1291" t="s">
        <v>65</v>
      </c>
      <c r="D304" s="1291"/>
      <c r="E304" s="1291"/>
      <c r="F304" s="1291"/>
      <c r="G304" s="1647"/>
      <c r="H304" s="1647">
        <f>IF($G$296=0,0,IF(H$196&gt;$G$297,0,PPMT($G$298,H$196,$G$297,-$G$296)))</f>
        <v>0</v>
      </c>
      <c r="I304" s="1647">
        <f t="shared" ref="I304:AA304" si="98">IF($G$296=0,0,IF(I$196&gt;$G$297,0,PPMT($G$298,I$196,$G$297,-$G$296)))</f>
        <v>0</v>
      </c>
      <c r="J304" s="1647">
        <f t="shared" si="98"/>
        <v>0</v>
      </c>
      <c r="K304" s="1647">
        <f t="shared" si="98"/>
        <v>0</v>
      </c>
      <c r="L304" s="1647">
        <f t="shared" si="98"/>
        <v>0</v>
      </c>
      <c r="M304" s="1647">
        <f t="shared" si="98"/>
        <v>0</v>
      </c>
      <c r="N304" s="1647">
        <f t="shared" si="98"/>
        <v>0</v>
      </c>
      <c r="O304" s="1647">
        <f t="shared" si="98"/>
        <v>0</v>
      </c>
      <c r="P304" s="1647">
        <f t="shared" si="98"/>
        <v>0</v>
      </c>
      <c r="Q304" s="1647">
        <f t="shared" si="98"/>
        <v>0</v>
      </c>
      <c r="R304" s="1647">
        <f t="shared" si="98"/>
        <v>0</v>
      </c>
      <c r="S304" s="1647">
        <f t="shared" si="98"/>
        <v>0</v>
      </c>
      <c r="T304" s="1647">
        <f t="shared" si="98"/>
        <v>0</v>
      </c>
      <c r="U304" s="1647">
        <f t="shared" si="98"/>
        <v>0</v>
      </c>
      <c r="V304" s="1647">
        <f t="shared" si="98"/>
        <v>0</v>
      </c>
      <c r="W304" s="1647">
        <f t="shared" si="98"/>
        <v>0</v>
      </c>
      <c r="X304" s="1647">
        <f t="shared" si="98"/>
        <v>0</v>
      </c>
      <c r="Y304" s="1647">
        <f t="shared" si="98"/>
        <v>0</v>
      </c>
      <c r="Z304" s="1647">
        <f t="shared" si="98"/>
        <v>0</v>
      </c>
      <c r="AA304" s="1648">
        <f t="shared" si="98"/>
        <v>0</v>
      </c>
      <c r="AB304" s="1168"/>
    </row>
    <row r="305" spans="1:28" x14ac:dyDescent="0.45">
      <c r="A305" s="695"/>
      <c r="B305" s="1285"/>
      <c r="C305" s="1282" t="s">
        <v>67</v>
      </c>
      <c r="D305" s="1282"/>
      <c r="E305" s="1282"/>
      <c r="F305" s="1282"/>
      <c r="G305" s="1645"/>
      <c r="H305" s="1645">
        <f>SUM(H303:H304)</f>
        <v>0</v>
      </c>
      <c r="I305" s="1645">
        <f t="shared" ref="I305:AA305" si="99">SUM(I303:I304)</f>
        <v>0</v>
      </c>
      <c r="J305" s="1645">
        <f t="shared" si="99"/>
        <v>0</v>
      </c>
      <c r="K305" s="1645">
        <f t="shared" si="99"/>
        <v>0</v>
      </c>
      <c r="L305" s="1645">
        <f t="shared" si="99"/>
        <v>0</v>
      </c>
      <c r="M305" s="1645">
        <f t="shared" si="99"/>
        <v>0</v>
      </c>
      <c r="N305" s="1645">
        <f t="shared" si="99"/>
        <v>0</v>
      </c>
      <c r="O305" s="1645">
        <f t="shared" si="99"/>
        <v>0</v>
      </c>
      <c r="P305" s="1645">
        <f t="shared" si="99"/>
        <v>0</v>
      </c>
      <c r="Q305" s="1645">
        <f t="shared" si="99"/>
        <v>0</v>
      </c>
      <c r="R305" s="1645">
        <f t="shared" si="99"/>
        <v>0</v>
      </c>
      <c r="S305" s="1645">
        <f t="shared" si="99"/>
        <v>0</v>
      </c>
      <c r="T305" s="1645">
        <f t="shared" si="99"/>
        <v>0</v>
      </c>
      <c r="U305" s="1645">
        <f t="shared" si="99"/>
        <v>0</v>
      </c>
      <c r="V305" s="1645">
        <f t="shared" si="99"/>
        <v>0</v>
      </c>
      <c r="W305" s="1645">
        <f t="shared" si="99"/>
        <v>0</v>
      </c>
      <c r="X305" s="1645">
        <f t="shared" si="99"/>
        <v>0</v>
      </c>
      <c r="Y305" s="1645">
        <f t="shared" si="99"/>
        <v>0</v>
      </c>
      <c r="Z305" s="1645">
        <f t="shared" si="99"/>
        <v>0</v>
      </c>
      <c r="AA305" s="1646">
        <f t="shared" si="99"/>
        <v>0</v>
      </c>
      <c r="AB305" s="1168"/>
    </row>
    <row r="306" spans="1:28" x14ac:dyDescent="0.45">
      <c r="A306" s="695"/>
      <c r="B306" s="1285"/>
      <c r="C306" s="1282"/>
      <c r="D306" s="1282"/>
      <c r="E306" s="1282"/>
      <c r="F306" s="1282"/>
      <c r="G306" s="1645"/>
      <c r="H306" s="1645"/>
      <c r="I306" s="1645"/>
      <c r="J306" s="1645"/>
      <c r="K306" s="1645"/>
      <c r="L306" s="1645"/>
      <c r="M306" s="1645"/>
      <c r="N306" s="1645"/>
      <c r="O306" s="1645"/>
      <c r="P306" s="1645"/>
      <c r="Q306" s="1645"/>
      <c r="R306" s="1645"/>
      <c r="S306" s="1645"/>
      <c r="T306" s="1645"/>
      <c r="U306" s="1645"/>
      <c r="V306" s="1645"/>
      <c r="W306" s="1645"/>
      <c r="X306" s="1645"/>
      <c r="Y306" s="1645"/>
      <c r="Z306" s="1645"/>
      <c r="AA306" s="1646"/>
      <c r="AB306" s="1168"/>
    </row>
    <row r="307" spans="1:28" x14ac:dyDescent="0.45">
      <c r="A307" s="695"/>
      <c r="B307" s="1285"/>
      <c r="C307" s="1292" t="s">
        <v>58</v>
      </c>
      <c r="D307" s="1282"/>
      <c r="E307" s="1282"/>
      <c r="F307" s="1282"/>
      <c r="G307" s="1645"/>
      <c r="H307" s="1645"/>
      <c r="I307" s="1645"/>
      <c r="J307" s="1645"/>
      <c r="K307" s="1645"/>
      <c r="L307" s="1645"/>
      <c r="M307" s="1645"/>
      <c r="N307" s="1645"/>
      <c r="O307" s="1645"/>
      <c r="P307" s="1645"/>
      <c r="Q307" s="1645"/>
      <c r="R307" s="1645"/>
      <c r="S307" s="1645"/>
      <c r="T307" s="1645"/>
      <c r="U307" s="1645"/>
      <c r="V307" s="1645"/>
      <c r="W307" s="1645"/>
      <c r="X307" s="1645"/>
      <c r="Y307" s="1645"/>
      <c r="Z307" s="1645"/>
      <c r="AA307" s="1646"/>
      <c r="AB307" s="1168"/>
    </row>
    <row r="308" spans="1:28" x14ac:dyDescent="0.45">
      <c r="A308" s="695"/>
      <c r="B308" s="1285"/>
      <c r="C308" s="1282" t="s">
        <v>68</v>
      </c>
      <c r="D308" s="1282"/>
      <c r="E308" s="1282"/>
      <c r="F308" s="1282"/>
      <c r="G308" s="1645">
        <v>0</v>
      </c>
      <c r="H308" s="1645">
        <f t="shared" ref="H308:AA308" si="100">G311</f>
        <v>0</v>
      </c>
      <c r="I308" s="1645">
        <f t="shared" si="100"/>
        <v>0</v>
      </c>
      <c r="J308" s="1645">
        <f t="shared" si="100"/>
        <v>0</v>
      </c>
      <c r="K308" s="1645">
        <f t="shared" si="100"/>
        <v>0</v>
      </c>
      <c r="L308" s="1645">
        <f t="shared" si="100"/>
        <v>0</v>
      </c>
      <c r="M308" s="1645">
        <f t="shared" si="100"/>
        <v>0</v>
      </c>
      <c r="N308" s="1645">
        <f t="shared" si="100"/>
        <v>0</v>
      </c>
      <c r="O308" s="1645">
        <f t="shared" si="100"/>
        <v>0</v>
      </c>
      <c r="P308" s="1645">
        <f t="shared" si="100"/>
        <v>0</v>
      </c>
      <c r="Q308" s="1645">
        <f t="shared" si="100"/>
        <v>0</v>
      </c>
      <c r="R308" s="1645">
        <f t="shared" si="100"/>
        <v>0</v>
      </c>
      <c r="S308" s="1645">
        <f t="shared" si="100"/>
        <v>0</v>
      </c>
      <c r="T308" s="1645">
        <f t="shared" si="100"/>
        <v>0</v>
      </c>
      <c r="U308" s="1645">
        <f t="shared" si="100"/>
        <v>0</v>
      </c>
      <c r="V308" s="1645">
        <f t="shared" si="100"/>
        <v>0</v>
      </c>
      <c r="W308" s="1645">
        <f t="shared" si="100"/>
        <v>0</v>
      </c>
      <c r="X308" s="1645">
        <f t="shared" si="100"/>
        <v>0</v>
      </c>
      <c r="Y308" s="1645">
        <f t="shared" si="100"/>
        <v>0</v>
      </c>
      <c r="Z308" s="1645">
        <f t="shared" si="100"/>
        <v>0</v>
      </c>
      <c r="AA308" s="1646">
        <f t="shared" si="100"/>
        <v>0</v>
      </c>
      <c r="AB308" s="1168"/>
    </row>
    <row r="309" spans="1:28" x14ac:dyDescent="0.45">
      <c r="A309" s="695"/>
      <c r="B309" s="1285"/>
      <c r="C309" s="1282" t="s">
        <v>69</v>
      </c>
      <c r="D309" s="1282"/>
      <c r="E309" s="1282"/>
      <c r="F309" s="1282"/>
      <c r="G309" s="1645">
        <f>G296</f>
        <v>0</v>
      </c>
      <c r="H309" s="1645">
        <v>0</v>
      </c>
      <c r="I309" s="1645">
        <v>0</v>
      </c>
      <c r="J309" s="1645">
        <v>0</v>
      </c>
      <c r="K309" s="1645">
        <v>0</v>
      </c>
      <c r="L309" s="1645">
        <v>0</v>
      </c>
      <c r="M309" s="1645">
        <v>0</v>
      </c>
      <c r="N309" s="1645">
        <v>0</v>
      </c>
      <c r="O309" s="1645">
        <v>0</v>
      </c>
      <c r="P309" s="1645">
        <v>0</v>
      </c>
      <c r="Q309" s="1645">
        <v>0</v>
      </c>
      <c r="R309" s="1645">
        <v>0</v>
      </c>
      <c r="S309" s="1645">
        <v>0</v>
      </c>
      <c r="T309" s="1645">
        <v>0</v>
      </c>
      <c r="U309" s="1645">
        <v>0</v>
      </c>
      <c r="V309" s="1645">
        <v>0</v>
      </c>
      <c r="W309" s="1645">
        <v>0</v>
      </c>
      <c r="X309" s="1645">
        <v>0</v>
      </c>
      <c r="Y309" s="1645">
        <v>0</v>
      </c>
      <c r="Z309" s="1645">
        <v>0</v>
      </c>
      <c r="AA309" s="1646">
        <v>0</v>
      </c>
      <c r="AB309" s="1168"/>
    </row>
    <row r="310" spans="1:28" x14ac:dyDescent="0.45">
      <c r="A310" s="695"/>
      <c r="B310" s="1285"/>
      <c r="C310" s="1291" t="s">
        <v>70</v>
      </c>
      <c r="D310" s="1291"/>
      <c r="E310" s="1291"/>
      <c r="F310" s="1291"/>
      <c r="G310" s="1647">
        <v>0</v>
      </c>
      <c r="H310" s="1647">
        <f>-H304</f>
        <v>0</v>
      </c>
      <c r="I310" s="1647">
        <f t="shared" ref="I310:AA310" si="101">-I304</f>
        <v>0</v>
      </c>
      <c r="J310" s="1647">
        <f t="shared" si="101"/>
        <v>0</v>
      </c>
      <c r="K310" s="1647">
        <f t="shared" si="101"/>
        <v>0</v>
      </c>
      <c r="L310" s="1647">
        <f t="shared" si="101"/>
        <v>0</v>
      </c>
      <c r="M310" s="1647">
        <f t="shared" si="101"/>
        <v>0</v>
      </c>
      <c r="N310" s="1647">
        <f t="shared" si="101"/>
        <v>0</v>
      </c>
      <c r="O310" s="1647">
        <f t="shared" si="101"/>
        <v>0</v>
      </c>
      <c r="P310" s="1647">
        <f t="shared" si="101"/>
        <v>0</v>
      </c>
      <c r="Q310" s="1647">
        <f t="shared" si="101"/>
        <v>0</v>
      </c>
      <c r="R310" s="1647">
        <f t="shared" si="101"/>
        <v>0</v>
      </c>
      <c r="S310" s="1647">
        <f t="shared" si="101"/>
        <v>0</v>
      </c>
      <c r="T310" s="1647">
        <f t="shared" si="101"/>
        <v>0</v>
      </c>
      <c r="U310" s="1647">
        <f t="shared" si="101"/>
        <v>0</v>
      </c>
      <c r="V310" s="1647">
        <f t="shared" si="101"/>
        <v>0</v>
      </c>
      <c r="W310" s="1647">
        <f t="shared" si="101"/>
        <v>0</v>
      </c>
      <c r="X310" s="1647">
        <f t="shared" si="101"/>
        <v>0</v>
      </c>
      <c r="Y310" s="1647">
        <f t="shared" si="101"/>
        <v>0</v>
      </c>
      <c r="Z310" s="1647">
        <f t="shared" si="101"/>
        <v>0</v>
      </c>
      <c r="AA310" s="1648">
        <f t="shared" si="101"/>
        <v>0</v>
      </c>
      <c r="AB310" s="1168"/>
    </row>
    <row r="311" spans="1:28" x14ac:dyDescent="0.45">
      <c r="A311" s="695"/>
      <c r="B311" s="1285"/>
      <c r="C311" s="1282" t="s">
        <v>59</v>
      </c>
      <c r="D311" s="1282"/>
      <c r="E311" s="1282"/>
      <c r="F311" s="1282"/>
      <c r="G311" s="1645">
        <f>SUM(G308:G310)</f>
        <v>0</v>
      </c>
      <c r="H311" s="1645">
        <f>SUM(H308:H310)</f>
        <v>0</v>
      </c>
      <c r="I311" s="1645">
        <f t="shared" ref="I311:AA311" si="102">SUM(I308:I310)</f>
        <v>0</v>
      </c>
      <c r="J311" s="1645">
        <f t="shared" si="102"/>
        <v>0</v>
      </c>
      <c r="K311" s="1645">
        <f t="shared" si="102"/>
        <v>0</v>
      </c>
      <c r="L311" s="1645">
        <f t="shared" si="102"/>
        <v>0</v>
      </c>
      <c r="M311" s="1645">
        <f t="shared" si="102"/>
        <v>0</v>
      </c>
      <c r="N311" s="1645">
        <f t="shared" si="102"/>
        <v>0</v>
      </c>
      <c r="O311" s="1645">
        <f t="shared" si="102"/>
        <v>0</v>
      </c>
      <c r="P311" s="1645">
        <f t="shared" si="102"/>
        <v>0</v>
      </c>
      <c r="Q311" s="1645">
        <f t="shared" si="102"/>
        <v>0</v>
      </c>
      <c r="R311" s="1645">
        <f t="shared" si="102"/>
        <v>0</v>
      </c>
      <c r="S311" s="1645">
        <f t="shared" si="102"/>
        <v>0</v>
      </c>
      <c r="T311" s="1645">
        <f t="shared" si="102"/>
        <v>0</v>
      </c>
      <c r="U311" s="1645">
        <f t="shared" si="102"/>
        <v>0</v>
      </c>
      <c r="V311" s="1645">
        <f t="shared" si="102"/>
        <v>0</v>
      </c>
      <c r="W311" s="1645">
        <f t="shared" si="102"/>
        <v>0</v>
      </c>
      <c r="X311" s="1645">
        <f t="shared" si="102"/>
        <v>0</v>
      </c>
      <c r="Y311" s="1645">
        <f t="shared" si="102"/>
        <v>0</v>
      </c>
      <c r="Z311" s="1645">
        <f t="shared" si="102"/>
        <v>0</v>
      </c>
      <c r="AA311" s="1646">
        <f t="shared" si="102"/>
        <v>0</v>
      </c>
      <c r="AB311" s="1168"/>
    </row>
    <row r="312" spans="1:28" x14ac:dyDescent="0.45">
      <c r="A312" s="695"/>
      <c r="B312" s="1285"/>
      <c r="C312" s="1282"/>
      <c r="D312" s="1282"/>
      <c r="E312" s="1282"/>
      <c r="F312" s="1282"/>
      <c r="G312" s="1645"/>
      <c r="H312" s="1645"/>
      <c r="I312" s="1645"/>
      <c r="J312" s="1645"/>
      <c r="K312" s="1645"/>
      <c r="L312" s="1645"/>
      <c r="M312" s="1645"/>
      <c r="N312" s="1645"/>
      <c r="O312" s="1645"/>
      <c r="P312" s="1645"/>
      <c r="Q312" s="1645"/>
      <c r="R312" s="1645"/>
      <c r="S312" s="1645"/>
      <c r="T312" s="1645"/>
      <c r="U312" s="1645"/>
      <c r="V312" s="1645"/>
      <c r="W312" s="1645"/>
      <c r="X312" s="1645"/>
      <c r="Y312" s="1645"/>
      <c r="Z312" s="1645"/>
      <c r="AA312" s="1646"/>
      <c r="AB312" s="1168"/>
    </row>
    <row r="313" spans="1:28" x14ac:dyDescent="0.45">
      <c r="A313" s="695"/>
      <c r="B313" s="1285"/>
      <c r="C313" s="1292" t="s">
        <v>64</v>
      </c>
      <c r="D313" s="1282"/>
      <c r="E313" s="1282"/>
      <c r="F313" s="1282"/>
      <c r="G313" s="1645"/>
      <c r="H313" s="1645"/>
      <c r="I313" s="1645"/>
      <c r="J313" s="1645"/>
      <c r="K313" s="1645"/>
      <c r="L313" s="1645"/>
      <c r="M313" s="1645"/>
      <c r="N313" s="1645"/>
      <c r="O313" s="1645"/>
      <c r="P313" s="1645"/>
      <c r="Q313" s="1645"/>
      <c r="R313" s="1645"/>
      <c r="S313" s="1645"/>
      <c r="T313" s="1645"/>
      <c r="U313" s="1645"/>
      <c r="V313" s="1645"/>
      <c r="W313" s="1645"/>
      <c r="X313" s="1645"/>
      <c r="Y313" s="1645"/>
      <c r="Z313" s="1645"/>
      <c r="AA313" s="1646"/>
      <c r="AB313" s="1168"/>
    </row>
    <row r="314" spans="1:28" x14ac:dyDescent="0.45">
      <c r="A314" s="695"/>
      <c r="B314" s="1285"/>
      <c r="C314" s="1282" t="str">
        <f>'III. Inputs, Renewable Energy'!$N$221</f>
        <v xml:space="preserve">Front-end Fee, Commercial Loans </v>
      </c>
      <c r="D314" s="1282"/>
      <c r="E314" s="1282"/>
      <c r="F314" s="1282"/>
      <c r="G314" s="1645"/>
      <c r="H314" s="1645">
        <f>IF($G$296&gt;0, $G$296*'III. Inputs, Renewable Energy'!$V$221/10000,0)</f>
        <v>0</v>
      </c>
      <c r="I314" s="1645">
        <v>0</v>
      </c>
      <c r="J314" s="1645">
        <v>0</v>
      </c>
      <c r="K314" s="1645">
        <v>0</v>
      </c>
      <c r="L314" s="1645">
        <v>0</v>
      </c>
      <c r="M314" s="1645">
        <v>0</v>
      </c>
      <c r="N314" s="1645">
        <v>0</v>
      </c>
      <c r="O314" s="1645">
        <v>0</v>
      </c>
      <c r="P314" s="1645">
        <v>0</v>
      </c>
      <c r="Q314" s="1645">
        <v>0</v>
      </c>
      <c r="R314" s="1645">
        <v>0</v>
      </c>
      <c r="S314" s="1645">
        <v>0</v>
      </c>
      <c r="T314" s="1645">
        <v>0</v>
      </c>
      <c r="U314" s="1645">
        <v>0</v>
      </c>
      <c r="V314" s="1645">
        <v>0</v>
      </c>
      <c r="W314" s="1645">
        <v>0</v>
      </c>
      <c r="X314" s="1645">
        <v>0</v>
      </c>
      <c r="Y314" s="1645">
        <v>0</v>
      </c>
      <c r="Z314" s="1645">
        <v>0</v>
      </c>
      <c r="AA314" s="1646">
        <v>0</v>
      </c>
      <c r="AB314" s="1168"/>
    </row>
    <row r="315" spans="1:28" x14ac:dyDescent="0.45">
      <c r="A315" s="695"/>
      <c r="B315" s="1285"/>
      <c r="C315" s="1282" t="str">
        <f>'III. Inputs, Renewable Energy'!$O$224</f>
        <v>Front-end Fee, Public Guarantee</v>
      </c>
      <c r="D315" s="1282"/>
      <c r="E315" s="1282"/>
      <c r="F315" s="1282"/>
      <c r="G315" s="1645"/>
      <c r="H315" s="1645">
        <f>IF($G$296&gt;0, $G$296*$G$299*'III. Inputs, Renewable Energy'!$V$224/10000,0)</f>
        <v>0</v>
      </c>
      <c r="I315" s="1645">
        <v>0</v>
      </c>
      <c r="J315" s="1645">
        <v>0</v>
      </c>
      <c r="K315" s="1645">
        <v>0</v>
      </c>
      <c r="L315" s="1645">
        <v>0</v>
      </c>
      <c r="M315" s="1645">
        <v>0</v>
      </c>
      <c r="N315" s="1645">
        <v>0</v>
      </c>
      <c r="O315" s="1645">
        <v>0</v>
      </c>
      <c r="P315" s="1645">
        <v>0</v>
      </c>
      <c r="Q315" s="1645">
        <v>0</v>
      </c>
      <c r="R315" s="1645">
        <v>0</v>
      </c>
      <c r="S315" s="1645">
        <v>0</v>
      </c>
      <c r="T315" s="1645">
        <v>0</v>
      </c>
      <c r="U315" s="1645">
        <v>0</v>
      </c>
      <c r="V315" s="1645">
        <v>0</v>
      </c>
      <c r="W315" s="1645">
        <v>0</v>
      </c>
      <c r="X315" s="1645">
        <v>0</v>
      </c>
      <c r="Y315" s="1645">
        <v>0</v>
      </c>
      <c r="Z315" s="1645">
        <v>0</v>
      </c>
      <c r="AA315" s="1646">
        <v>0</v>
      </c>
      <c r="AB315" s="1168"/>
    </row>
    <row r="316" spans="1:28" x14ac:dyDescent="0.45">
      <c r="A316" s="695"/>
      <c r="B316" s="1285"/>
      <c r="C316" s="1282" t="str">
        <f>'III. Inputs, Renewable Energy'!$O$225</f>
        <v>Annual Guarantee Fee</v>
      </c>
      <c r="D316" s="1282"/>
      <c r="E316" s="1282"/>
      <c r="F316" s="1282"/>
      <c r="G316" s="1645"/>
      <c r="H316" s="1645">
        <f>IF(H$196&gt;$G$300,0,((H308+H311)/2)*$G$299*'III. Inputs, Renewable Energy'!$V$225/10000)</f>
        <v>0</v>
      </c>
      <c r="I316" s="1645">
        <f>IF(I$196&gt;$G$300,0,((I308+I311)/2)*$G$299*'III. Inputs, Renewable Energy'!$V$225/10000)</f>
        <v>0</v>
      </c>
      <c r="J316" s="1645">
        <f>IF(J$196&gt;$G$300,0,((J308+J311)/2)*$G$299*'III. Inputs, Renewable Energy'!$V$225/10000)</f>
        <v>0</v>
      </c>
      <c r="K316" s="1645">
        <f>IF(K$196&gt;$G$300,0,((K308+K311)/2)*$G$299*'III. Inputs, Renewable Energy'!$V$225/10000)</f>
        <v>0</v>
      </c>
      <c r="L316" s="1645">
        <f>IF(L$196&gt;$G$300,0,((L308+L311)/2)*$G$299*'III. Inputs, Renewable Energy'!$V$225/10000)</f>
        <v>0</v>
      </c>
      <c r="M316" s="1645">
        <f>IF(M$196&gt;$G$300,0,((M308+M311)/2)*$G$299*'III. Inputs, Renewable Energy'!$V$225/10000)</f>
        <v>0</v>
      </c>
      <c r="N316" s="1645">
        <f>IF(N$196&gt;$G$300,0,((N308+N311)/2)*$G$299*'III. Inputs, Renewable Energy'!$V$225/10000)</f>
        <v>0</v>
      </c>
      <c r="O316" s="1645">
        <f>IF(O$196&gt;$G$300,0,((O308+O311)/2)*$G$299*'III. Inputs, Renewable Energy'!$V$225/10000)</f>
        <v>0</v>
      </c>
      <c r="P316" s="1645">
        <f>IF(P$196&gt;$G$300,0,((P308+P311)/2)*$G$299*'III. Inputs, Renewable Energy'!$V$225/10000)</f>
        <v>0</v>
      </c>
      <c r="Q316" s="1645">
        <f>IF(Q$196&gt;$G$300,0,((Q308+Q311)/2)*$G$299*'III. Inputs, Renewable Energy'!$V$225/10000)</f>
        <v>0</v>
      </c>
      <c r="R316" s="1645">
        <f>IF(R$196&gt;$G$300,0,((R308+R311)/2)*$G$299*'III. Inputs, Renewable Energy'!$V$225/10000)</f>
        <v>0</v>
      </c>
      <c r="S316" s="1645">
        <f>IF(S$196&gt;$G$300,0,((S308+S311)/2)*$G$299*'III. Inputs, Renewable Energy'!$V$225/10000)</f>
        <v>0</v>
      </c>
      <c r="T316" s="1645">
        <f>IF(T$196&gt;$G$300,0,((T308+T311)/2)*$G$299*'III. Inputs, Renewable Energy'!$V$225/10000)</f>
        <v>0</v>
      </c>
      <c r="U316" s="1645">
        <f>IF(U$196&gt;$G$300,0,((U308+U311)/2)*$G$299*'III. Inputs, Renewable Energy'!$V$225/10000)</f>
        <v>0</v>
      </c>
      <c r="V316" s="1645">
        <f>IF(V$196&gt;$G$300,0,((V308+V311)/2)*$G$299*'III. Inputs, Renewable Energy'!$V$225/10000)</f>
        <v>0</v>
      </c>
      <c r="W316" s="1645">
        <f>IF(W$196&gt;$G$300,0,((W308+W311)/2)*$G$299*'III. Inputs, Renewable Energy'!$V$225/10000)</f>
        <v>0</v>
      </c>
      <c r="X316" s="1645">
        <f>IF(X$196&gt;$G$300,0,((X308+X311)/2)*$G$299*'III. Inputs, Renewable Energy'!$V$225/10000)</f>
        <v>0</v>
      </c>
      <c r="Y316" s="1645">
        <f>IF(Y$196&gt;$G$300,0,((Y308+Y311)/2)*$G$299*'III. Inputs, Renewable Energy'!$V$225/10000)</f>
        <v>0</v>
      </c>
      <c r="Z316" s="1645">
        <f>IF(Z$196&gt;$G$300,0,((Z308+Z311)/2)*$G$299*'III. Inputs, Renewable Energy'!$V$225/10000)</f>
        <v>0</v>
      </c>
      <c r="AA316" s="1646">
        <f>IF(AA$196&gt;$G$300,0,((AA308+AA311)/2)*$G$299*'III. Inputs, Renewable Energy'!$V$225/10000)</f>
        <v>0</v>
      </c>
      <c r="AB316" s="1168"/>
    </row>
    <row r="317" spans="1:28" x14ac:dyDescent="0.45">
      <c r="A317" s="695"/>
      <c r="B317" s="1285"/>
      <c r="C317" s="1282"/>
      <c r="D317" s="1282"/>
      <c r="E317" s="1282"/>
      <c r="F317" s="1282"/>
      <c r="G317" s="1283"/>
      <c r="H317" s="1283"/>
      <c r="I317" s="1283"/>
      <c r="J317" s="1283"/>
      <c r="K317" s="1283"/>
      <c r="L317" s="1283"/>
      <c r="M317" s="1283"/>
      <c r="N317" s="1283"/>
      <c r="O317" s="1283"/>
      <c r="P317" s="1283"/>
      <c r="Q317" s="1283"/>
      <c r="R317" s="1283"/>
      <c r="S317" s="1283"/>
      <c r="T317" s="1283"/>
      <c r="U317" s="1283"/>
      <c r="V317" s="1283"/>
      <c r="W317" s="1283"/>
      <c r="X317" s="1283"/>
      <c r="Y317" s="1283"/>
      <c r="Z317" s="1283"/>
      <c r="AA317" s="1284"/>
      <c r="AB317" s="695"/>
    </row>
    <row r="318" spans="1:28" ht="13.15" x14ac:dyDescent="0.45">
      <c r="A318" s="695"/>
      <c r="B318" s="1281" t="s">
        <v>152</v>
      </c>
      <c r="C318" s="1282"/>
      <c r="D318" s="1282"/>
      <c r="E318" s="1282"/>
      <c r="F318" s="1282"/>
      <c r="G318" s="1283"/>
      <c r="H318" s="1283"/>
      <c r="I318" s="1283"/>
      <c r="J318" s="1283"/>
      <c r="K318" s="1283"/>
      <c r="L318" s="1283"/>
      <c r="M318" s="1283"/>
      <c r="N318" s="1283"/>
      <c r="O318" s="1283"/>
      <c r="P318" s="1283"/>
      <c r="Q318" s="1283"/>
      <c r="R318" s="1283"/>
      <c r="S318" s="1283"/>
      <c r="T318" s="1283"/>
      <c r="U318" s="1283"/>
      <c r="V318" s="1283"/>
      <c r="W318" s="1283"/>
      <c r="X318" s="1283"/>
      <c r="Y318" s="1283"/>
      <c r="Z318" s="1283"/>
      <c r="AA318" s="1284"/>
      <c r="AB318" s="695"/>
    </row>
    <row r="319" spans="1:28" x14ac:dyDescent="0.45">
      <c r="A319" s="695"/>
      <c r="B319" s="1285"/>
      <c r="C319" s="1286" t="s">
        <v>61</v>
      </c>
      <c r="D319" s="1282"/>
      <c r="E319" s="1282"/>
      <c r="F319" s="1282"/>
      <c r="G319" s="1645">
        <f>IF('III. Inputs, Renewable Energy'!$V$38&gt;0, 'III. Inputs, Renewable Energy'!$U$14*'III. Inputs, Renewable Energy'!$U$15*'III. Inputs, Renewable Energy'!$V$34*'III. Inputs, Renewable Energy'!$V$38,0)</f>
        <v>269778735.80575013</v>
      </c>
      <c r="H319" s="1283"/>
      <c r="I319" s="1283"/>
      <c r="J319" s="1283"/>
      <c r="K319" s="1283"/>
      <c r="L319" s="1283"/>
      <c r="M319" s="1283"/>
      <c r="N319" s="1283"/>
      <c r="O319" s="1283"/>
      <c r="P319" s="1283"/>
      <c r="Q319" s="1283"/>
      <c r="R319" s="1283"/>
      <c r="S319" s="1283"/>
      <c r="T319" s="1283"/>
      <c r="U319" s="1283"/>
      <c r="V319" s="1283"/>
      <c r="W319" s="1283"/>
      <c r="X319" s="1283"/>
      <c r="Y319" s="1283"/>
      <c r="Z319" s="1283"/>
      <c r="AA319" s="1284"/>
      <c r="AB319" s="695"/>
    </row>
    <row r="320" spans="1:28" x14ac:dyDescent="0.45">
      <c r="A320" s="695"/>
      <c r="B320" s="1285"/>
      <c r="C320" s="1286" t="s">
        <v>62</v>
      </c>
      <c r="D320" s="1282"/>
      <c r="E320" s="1282"/>
      <c r="F320" s="1282"/>
      <c r="G320" s="1294">
        <f>IF('III. Inputs, Renewable Energy'!$V$38&gt;0, 'III. Inputs, Renewable Energy'!$V$50,0)</f>
        <v>12</v>
      </c>
      <c r="H320" s="1283"/>
      <c r="I320" s="1283"/>
      <c r="J320" s="1283"/>
      <c r="K320" s="1283"/>
      <c r="L320" s="1283"/>
      <c r="M320" s="1283"/>
      <c r="N320" s="1283"/>
      <c r="O320" s="1283"/>
      <c r="P320" s="1283"/>
      <c r="Q320" s="1283"/>
      <c r="R320" s="1283"/>
      <c r="S320" s="1283"/>
      <c r="T320" s="1283"/>
      <c r="U320" s="1283"/>
      <c r="V320" s="1283"/>
      <c r="W320" s="1283"/>
      <c r="X320" s="1283"/>
      <c r="Y320" s="1283"/>
      <c r="Z320" s="1283"/>
      <c r="AA320" s="1284"/>
      <c r="AB320" s="695"/>
    </row>
    <row r="321" spans="1:28" x14ac:dyDescent="0.45">
      <c r="A321" s="695"/>
      <c r="B321" s="1285"/>
      <c r="C321" s="1286" t="s">
        <v>63</v>
      </c>
      <c r="D321" s="1282"/>
      <c r="E321" s="1282"/>
      <c r="F321" s="1282"/>
      <c r="G321" s="1293">
        <f>SUM('III. Inputs, Renewable Energy'!V45)</f>
        <v>5.8339140534262486E-2</v>
      </c>
      <c r="H321" s="1283"/>
      <c r="I321" s="1283"/>
      <c r="J321" s="1283"/>
      <c r="K321" s="1283"/>
      <c r="L321" s="1283"/>
      <c r="M321" s="1283"/>
      <c r="N321" s="1283"/>
      <c r="O321" s="1283"/>
      <c r="P321" s="1283"/>
      <c r="Q321" s="1283"/>
      <c r="R321" s="1283"/>
      <c r="S321" s="1283"/>
      <c r="T321" s="1283"/>
      <c r="U321" s="1283"/>
      <c r="V321" s="1283"/>
      <c r="W321" s="1283"/>
      <c r="X321" s="1283"/>
      <c r="Y321" s="1283"/>
      <c r="Z321" s="1283"/>
      <c r="AA321" s="1284"/>
      <c r="AB321" s="695"/>
    </row>
    <row r="322" spans="1:28" x14ac:dyDescent="0.45">
      <c r="A322" s="695"/>
      <c r="B322" s="1285"/>
      <c r="C322" s="1282"/>
      <c r="D322" s="1282"/>
      <c r="E322" s="1282"/>
      <c r="F322" s="1282"/>
      <c r="G322" s="1283"/>
      <c r="H322" s="1283"/>
      <c r="I322" s="1283"/>
      <c r="J322" s="1283"/>
      <c r="K322" s="1283"/>
      <c r="L322" s="1283"/>
      <c r="M322" s="1283"/>
      <c r="N322" s="1283"/>
      <c r="O322" s="1283"/>
      <c r="P322" s="1283"/>
      <c r="Q322" s="1283"/>
      <c r="R322" s="1283"/>
      <c r="S322" s="1283"/>
      <c r="T322" s="1283"/>
      <c r="U322" s="1283"/>
      <c r="V322" s="1283"/>
      <c r="W322" s="1283"/>
      <c r="X322" s="1283"/>
      <c r="Y322" s="1283"/>
      <c r="Z322" s="1283"/>
      <c r="AA322" s="1284"/>
      <c r="AB322" s="695"/>
    </row>
    <row r="323" spans="1:28" x14ac:dyDescent="0.45">
      <c r="A323" s="695"/>
      <c r="B323" s="1285"/>
      <c r="C323" s="1290" t="s">
        <v>60</v>
      </c>
      <c r="D323" s="1282"/>
      <c r="E323" s="1282"/>
      <c r="F323" s="1282"/>
      <c r="G323" s="1295"/>
      <c r="H323" s="1295"/>
      <c r="I323" s="1295"/>
      <c r="J323" s="1295"/>
      <c r="K323" s="1295"/>
      <c r="L323" s="1295"/>
      <c r="M323" s="1295"/>
      <c r="N323" s="1295"/>
      <c r="O323" s="1295"/>
      <c r="P323" s="1295"/>
      <c r="Q323" s="1295"/>
      <c r="R323" s="1295"/>
      <c r="S323" s="1295"/>
      <c r="T323" s="1295"/>
      <c r="U323" s="1295"/>
      <c r="V323" s="1295"/>
      <c r="W323" s="1295"/>
      <c r="X323" s="1295"/>
      <c r="Y323" s="1295"/>
      <c r="Z323" s="1295"/>
      <c r="AA323" s="1296"/>
      <c r="AB323" s="1168"/>
    </row>
    <row r="324" spans="1:28" x14ac:dyDescent="0.45">
      <c r="A324" s="695"/>
      <c r="B324" s="1285"/>
      <c r="C324" s="1282" t="s">
        <v>66</v>
      </c>
      <c r="D324" s="1282"/>
      <c r="E324" s="1282"/>
      <c r="F324" s="1282"/>
      <c r="G324" s="1645"/>
      <c r="H324" s="1645">
        <f>IF($G$319=0,0,IF(H$196&gt;$G$320,0,IPMT($G$321,H$196,$G$320,-$G$319)))</f>
        <v>15738659.581327328</v>
      </c>
      <c r="I324" s="1645">
        <f t="shared" ref="I324:AA324" si="103">IF($G$319=0,0,IF(I$196&gt;$G$320,0,IPMT($G$321,I$196,$G$320,-$G$319)))</f>
        <v>14796634.34348681</v>
      </c>
      <c r="J324" s="1645">
        <f t="shared" si="103"/>
        <v>13799652.162909089</v>
      </c>
      <c r="K324" s="1645">
        <f t="shared" si="103"/>
        <v>12744506.898788488</v>
      </c>
      <c r="L324" s="1645">
        <f t="shared" si="103"/>
        <v>11627805.3668203</v>
      </c>
      <c r="M324" s="1645">
        <f t="shared" si="103"/>
        <v>10445956.427243792</v>
      </c>
      <c r="N324" s="1645">
        <f t="shared" si="103"/>
        <v>9195159.4362910558</v>
      </c>
      <c r="O324" s="1645">
        <f t="shared" si="103"/>
        <v>7871392.0239032991</v>
      </c>
      <c r="P324" s="1645">
        <f t="shared" si="103"/>
        <v>6470397.1584095769</v>
      </c>
      <c r="Q324" s="1645">
        <f t="shared" si="103"/>
        <v>4987669.4565700348</v>
      </c>
      <c r="R324" s="1645">
        <f t="shared" si="103"/>
        <v>3418440.6949588321</v>
      </c>
      <c r="S324" s="1645">
        <f t="shared" si="103"/>
        <v>1757664.4760935863</v>
      </c>
      <c r="T324" s="1645">
        <f t="shared" si="103"/>
        <v>0</v>
      </c>
      <c r="U324" s="1645">
        <f t="shared" si="103"/>
        <v>0</v>
      </c>
      <c r="V324" s="1645">
        <f t="shared" si="103"/>
        <v>0</v>
      </c>
      <c r="W324" s="1645">
        <f t="shared" si="103"/>
        <v>0</v>
      </c>
      <c r="X324" s="1645">
        <f t="shared" si="103"/>
        <v>0</v>
      </c>
      <c r="Y324" s="1645">
        <f t="shared" si="103"/>
        <v>0</v>
      </c>
      <c r="Z324" s="1645">
        <f t="shared" si="103"/>
        <v>0</v>
      </c>
      <c r="AA324" s="1646">
        <f t="shared" si="103"/>
        <v>0</v>
      </c>
      <c r="AB324" s="1168"/>
    </row>
    <row r="325" spans="1:28" x14ac:dyDescent="0.45">
      <c r="A325" s="695"/>
      <c r="B325" s="1285"/>
      <c r="C325" s="1291" t="s">
        <v>65</v>
      </c>
      <c r="D325" s="1291"/>
      <c r="E325" s="1291"/>
      <c r="F325" s="1291"/>
      <c r="G325" s="1647"/>
      <c r="H325" s="1647">
        <f>IF($G$319=0,0,IF(H$196&gt;$G$320,0,PPMT($G$321,H$196,$G$320,-$G$319)))</f>
        <v>16147396.571385369</v>
      </c>
      <c r="I325" s="1647">
        <f t="shared" ref="I325:AA325" si="104">IF($G$319=0,0,IF(I$196&gt;$G$320,0,PPMT($G$321,I$196,$G$320,-$G$319)))</f>
        <v>17089421.809225887</v>
      </c>
      <c r="J325" s="1647">
        <f t="shared" si="104"/>
        <v>18086403.989803605</v>
      </c>
      <c r="K325" s="1647">
        <f t="shared" si="104"/>
        <v>19141549.253924206</v>
      </c>
      <c r="L325" s="1647">
        <f t="shared" si="104"/>
        <v>20258250.785892397</v>
      </c>
      <c r="M325" s="1647">
        <f t="shared" si="104"/>
        <v>21440099.725468904</v>
      </c>
      <c r="N325" s="1647">
        <f t="shared" si="104"/>
        <v>22690896.716421641</v>
      </c>
      <c r="O325" s="1647">
        <f t="shared" si="104"/>
        <v>24014664.128809396</v>
      </c>
      <c r="P325" s="1647">
        <f t="shared" si="104"/>
        <v>25415658.994303122</v>
      </c>
      <c r="Q325" s="1647">
        <f t="shared" si="104"/>
        <v>26898386.696142662</v>
      </c>
      <c r="R325" s="1647">
        <f t="shared" si="104"/>
        <v>28467615.457753867</v>
      </c>
      <c r="S325" s="1647">
        <f t="shared" si="104"/>
        <v>30128391.676619112</v>
      </c>
      <c r="T325" s="1647">
        <f t="shared" si="104"/>
        <v>0</v>
      </c>
      <c r="U325" s="1647">
        <f t="shared" si="104"/>
        <v>0</v>
      </c>
      <c r="V325" s="1647">
        <f t="shared" si="104"/>
        <v>0</v>
      </c>
      <c r="W325" s="1647">
        <f t="shared" si="104"/>
        <v>0</v>
      </c>
      <c r="X325" s="1647">
        <f t="shared" si="104"/>
        <v>0</v>
      </c>
      <c r="Y325" s="1647">
        <f t="shared" si="104"/>
        <v>0</v>
      </c>
      <c r="Z325" s="1647">
        <f t="shared" si="104"/>
        <v>0</v>
      </c>
      <c r="AA325" s="1648">
        <f t="shared" si="104"/>
        <v>0</v>
      </c>
      <c r="AB325" s="1168"/>
    </row>
    <row r="326" spans="1:28" x14ac:dyDescent="0.45">
      <c r="A326" s="695"/>
      <c r="B326" s="1285"/>
      <c r="C326" s="1282" t="s">
        <v>67</v>
      </c>
      <c r="D326" s="1282"/>
      <c r="E326" s="1282"/>
      <c r="F326" s="1282"/>
      <c r="G326" s="1645"/>
      <c r="H326" s="1645">
        <f>SUM(H324:H325)</f>
        <v>31886056.152712695</v>
      </c>
      <c r="I326" s="1645">
        <f t="shared" ref="I326:AA326" si="105">SUM(I324:I325)</f>
        <v>31886056.152712695</v>
      </c>
      <c r="J326" s="1645">
        <f t="shared" si="105"/>
        <v>31886056.152712695</v>
      </c>
      <c r="K326" s="1645">
        <f t="shared" si="105"/>
        <v>31886056.152712695</v>
      </c>
      <c r="L326" s="1645">
        <f t="shared" si="105"/>
        <v>31886056.152712695</v>
      </c>
      <c r="M326" s="1645">
        <f t="shared" si="105"/>
        <v>31886056.152712695</v>
      </c>
      <c r="N326" s="1645">
        <f t="shared" si="105"/>
        <v>31886056.152712695</v>
      </c>
      <c r="O326" s="1645">
        <f t="shared" si="105"/>
        <v>31886056.152712695</v>
      </c>
      <c r="P326" s="1645">
        <f t="shared" si="105"/>
        <v>31886056.152712699</v>
      </c>
      <c r="Q326" s="1645">
        <f t="shared" si="105"/>
        <v>31886056.152712695</v>
      </c>
      <c r="R326" s="1645">
        <f t="shared" si="105"/>
        <v>31886056.152712699</v>
      </c>
      <c r="S326" s="1645">
        <f t="shared" si="105"/>
        <v>31886056.152712699</v>
      </c>
      <c r="T326" s="1645">
        <f t="shared" si="105"/>
        <v>0</v>
      </c>
      <c r="U326" s="1645">
        <f t="shared" si="105"/>
        <v>0</v>
      </c>
      <c r="V326" s="1645">
        <f t="shared" si="105"/>
        <v>0</v>
      </c>
      <c r="W326" s="1645">
        <f t="shared" si="105"/>
        <v>0</v>
      </c>
      <c r="X326" s="1645">
        <f t="shared" si="105"/>
        <v>0</v>
      </c>
      <c r="Y326" s="1645">
        <f t="shared" si="105"/>
        <v>0</v>
      </c>
      <c r="Z326" s="1645">
        <f t="shared" si="105"/>
        <v>0</v>
      </c>
      <c r="AA326" s="1646">
        <f t="shared" si="105"/>
        <v>0</v>
      </c>
      <c r="AB326" s="1168"/>
    </row>
    <row r="327" spans="1:28" x14ac:dyDescent="0.45">
      <c r="A327" s="695"/>
      <c r="B327" s="1285"/>
      <c r="C327" s="1282"/>
      <c r="D327" s="1282"/>
      <c r="E327" s="1282"/>
      <c r="F327" s="1282"/>
      <c r="G327" s="1645"/>
      <c r="H327" s="1645"/>
      <c r="I327" s="1645"/>
      <c r="J327" s="1645"/>
      <c r="K327" s="1645"/>
      <c r="L327" s="1645"/>
      <c r="M327" s="1645"/>
      <c r="N327" s="1645"/>
      <c r="O327" s="1645"/>
      <c r="P327" s="1645"/>
      <c r="Q327" s="1645"/>
      <c r="R327" s="1645"/>
      <c r="S327" s="1645"/>
      <c r="T327" s="1645"/>
      <c r="U327" s="1645"/>
      <c r="V327" s="1645"/>
      <c r="W327" s="1645"/>
      <c r="X327" s="1645"/>
      <c r="Y327" s="1645"/>
      <c r="Z327" s="1645"/>
      <c r="AA327" s="1646"/>
      <c r="AB327" s="1168"/>
    </row>
    <row r="328" spans="1:28" x14ac:dyDescent="0.45">
      <c r="A328" s="695"/>
      <c r="B328" s="1285"/>
      <c r="C328" s="1292" t="s">
        <v>58</v>
      </c>
      <c r="D328" s="1282"/>
      <c r="E328" s="1282"/>
      <c r="F328" s="1282"/>
      <c r="G328" s="1645"/>
      <c r="H328" s="1645"/>
      <c r="I328" s="1645"/>
      <c r="J328" s="1645"/>
      <c r="K328" s="1645"/>
      <c r="L328" s="1645"/>
      <c r="M328" s="1645"/>
      <c r="N328" s="1645"/>
      <c r="O328" s="1645"/>
      <c r="P328" s="1645"/>
      <c r="Q328" s="1645"/>
      <c r="R328" s="1645"/>
      <c r="S328" s="1645"/>
      <c r="T328" s="1645"/>
      <c r="U328" s="1645"/>
      <c r="V328" s="1645"/>
      <c r="W328" s="1645"/>
      <c r="X328" s="1645"/>
      <c r="Y328" s="1645"/>
      <c r="Z328" s="1645"/>
      <c r="AA328" s="1646"/>
      <c r="AB328" s="1168"/>
    </row>
    <row r="329" spans="1:28" x14ac:dyDescent="0.45">
      <c r="A329" s="695"/>
      <c r="B329" s="1285"/>
      <c r="C329" s="1282" t="s">
        <v>68</v>
      </c>
      <c r="D329" s="1282"/>
      <c r="E329" s="1282"/>
      <c r="F329" s="1282"/>
      <c r="G329" s="1645">
        <v>0</v>
      </c>
      <c r="H329" s="1645">
        <f t="shared" ref="H329:AA329" si="106">G332</f>
        <v>269778735.80575013</v>
      </c>
      <c r="I329" s="1645">
        <f t="shared" si="106"/>
        <v>253631339.23436475</v>
      </c>
      <c r="J329" s="1645">
        <f t="shared" si="106"/>
        <v>236541917.42513886</v>
      </c>
      <c r="K329" s="1645">
        <f t="shared" si="106"/>
        <v>218455513.43533525</v>
      </c>
      <c r="L329" s="1645">
        <f t="shared" si="106"/>
        <v>199313964.18141103</v>
      </c>
      <c r="M329" s="1645">
        <f t="shared" si="106"/>
        <v>179055713.39551863</v>
      </c>
      <c r="N329" s="1645">
        <f t="shared" si="106"/>
        <v>157615613.67004973</v>
      </c>
      <c r="O329" s="1645">
        <f t="shared" si="106"/>
        <v>134924716.95362809</v>
      </c>
      <c r="P329" s="1645">
        <f t="shared" si="106"/>
        <v>110910052.8248187</v>
      </c>
      <c r="Q329" s="1645">
        <f t="shared" si="106"/>
        <v>85494393.830515578</v>
      </c>
      <c r="R329" s="1645">
        <f t="shared" si="106"/>
        <v>58596007.13437292</v>
      </c>
      <c r="S329" s="1645">
        <f t="shared" si="106"/>
        <v>30128391.676619053</v>
      </c>
      <c r="T329" s="1645">
        <f t="shared" si="106"/>
        <v>-5.9604644775390625E-8</v>
      </c>
      <c r="U329" s="1645">
        <f t="shared" si="106"/>
        <v>-5.9604644775390625E-8</v>
      </c>
      <c r="V329" s="1645">
        <f t="shared" si="106"/>
        <v>-5.9604644775390625E-8</v>
      </c>
      <c r="W329" s="1645">
        <f t="shared" si="106"/>
        <v>-5.9604644775390625E-8</v>
      </c>
      <c r="X329" s="1645">
        <f t="shared" si="106"/>
        <v>-5.9604644775390625E-8</v>
      </c>
      <c r="Y329" s="1645">
        <f t="shared" si="106"/>
        <v>-5.9604644775390625E-8</v>
      </c>
      <c r="Z329" s="1645">
        <f t="shared" si="106"/>
        <v>-5.9604644775390625E-8</v>
      </c>
      <c r="AA329" s="1646">
        <f t="shared" si="106"/>
        <v>-5.9604644775390625E-8</v>
      </c>
      <c r="AB329" s="1168"/>
    </row>
    <row r="330" spans="1:28" x14ac:dyDescent="0.45">
      <c r="A330" s="695"/>
      <c r="B330" s="1285"/>
      <c r="C330" s="1282" t="s">
        <v>69</v>
      </c>
      <c r="D330" s="1282"/>
      <c r="E330" s="1282"/>
      <c r="F330" s="1282"/>
      <c r="G330" s="1645">
        <f>G319</f>
        <v>269778735.80575013</v>
      </c>
      <c r="H330" s="1645">
        <v>0</v>
      </c>
      <c r="I330" s="1645">
        <v>0</v>
      </c>
      <c r="J330" s="1645">
        <v>0</v>
      </c>
      <c r="K330" s="1645">
        <v>0</v>
      </c>
      <c r="L330" s="1645">
        <v>0</v>
      </c>
      <c r="M330" s="1645">
        <v>0</v>
      </c>
      <c r="N330" s="1645">
        <v>0</v>
      </c>
      <c r="O330" s="1645">
        <v>0</v>
      </c>
      <c r="P330" s="1645">
        <v>0</v>
      </c>
      <c r="Q330" s="1645">
        <v>0</v>
      </c>
      <c r="R330" s="1645">
        <v>0</v>
      </c>
      <c r="S330" s="1645">
        <v>0</v>
      </c>
      <c r="T330" s="1645">
        <v>0</v>
      </c>
      <c r="U330" s="1645">
        <v>0</v>
      </c>
      <c r="V330" s="1645">
        <v>0</v>
      </c>
      <c r="W330" s="1645">
        <v>0</v>
      </c>
      <c r="X330" s="1645">
        <v>0</v>
      </c>
      <c r="Y330" s="1645">
        <v>0</v>
      </c>
      <c r="Z330" s="1645">
        <v>0</v>
      </c>
      <c r="AA330" s="1646">
        <v>0</v>
      </c>
      <c r="AB330" s="1168"/>
    </row>
    <row r="331" spans="1:28" x14ac:dyDescent="0.45">
      <c r="A331" s="695"/>
      <c r="B331" s="1285"/>
      <c r="C331" s="1291" t="s">
        <v>70</v>
      </c>
      <c r="D331" s="1291"/>
      <c r="E331" s="1291"/>
      <c r="F331" s="1291"/>
      <c r="G331" s="1647">
        <v>0</v>
      </c>
      <c r="H331" s="1647">
        <f>-H325</f>
        <v>-16147396.571385369</v>
      </c>
      <c r="I331" s="1647">
        <f t="shared" ref="I331:AA331" si="107">-I325</f>
        <v>-17089421.809225887</v>
      </c>
      <c r="J331" s="1647">
        <f t="shared" si="107"/>
        <v>-18086403.989803605</v>
      </c>
      <c r="K331" s="1647">
        <f t="shared" si="107"/>
        <v>-19141549.253924206</v>
      </c>
      <c r="L331" s="1647">
        <f t="shared" si="107"/>
        <v>-20258250.785892397</v>
      </c>
      <c r="M331" s="1647">
        <f t="shared" si="107"/>
        <v>-21440099.725468904</v>
      </c>
      <c r="N331" s="1647">
        <f t="shared" si="107"/>
        <v>-22690896.716421641</v>
      </c>
      <c r="O331" s="1647">
        <f t="shared" si="107"/>
        <v>-24014664.128809396</v>
      </c>
      <c r="P331" s="1647">
        <f t="shared" si="107"/>
        <v>-25415658.994303122</v>
      </c>
      <c r="Q331" s="1647">
        <f t="shared" si="107"/>
        <v>-26898386.696142662</v>
      </c>
      <c r="R331" s="1647">
        <f t="shared" si="107"/>
        <v>-28467615.457753867</v>
      </c>
      <c r="S331" s="1647">
        <f t="shared" si="107"/>
        <v>-30128391.676619112</v>
      </c>
      <c r="T331" s="1647">
        <f t="shared" si="107"/>
        <v>0</v>
      </c>
      <c r="U331" s="1647">
        <f t="shared" si="107"/>
        <v>0</v>
      </c>
      <c r="V331" s="1647">
        <f t="shared" si="107"/>
        <v>0</v>
      </c>
      <c r="W331" s="1647">
        <f t="shared" si="107"/>
        <v>0</v>
      </c>
      <c r="X331" s="1647">
        <f t="shared" si="107"/>
        <v>0</v>
      </c>
      <c r="Y331" s="1647">
        <f t="shared" si="107"/>
        <v>0</v>
      </c>
      <c r="Z331" s="1647">
        <f t="shared" si="107"/>
        <v>0</v>
      </c>
      <c r="AA331" s="1648">
        <f t="shared" si="107"/>
        <v>0</v>
      </c>
      <c r="AB331" s="1168"/>
    </row>
    <row r="332" spans="1:28" x14ac:dyDescent="0.45">
      <c r="A332" s="695"/>
      <c r="B332" s="1285"/>
      <c r="C332" s="1282" t="s">
        <v>59</v>
      </c>
      <c r="D332" s="1282"/>
      <c r="E332" s="1282"/>
      <c r="F332" s="1282"/>
      <c r="G332" s="1645">
        <f>SUM(G329:G331)</f>
        <v>269778735.80575013</v>
      </c>
      <c r="H332" s="1645">
        <f>SUM(H329:H331)</f>
        <v>253631339.23436475</v>
      </c>
      <c r="I332" s="1645">
        <f t="shared" ref="I332:AA332" si="108">SUM(I329:I331)</f>
        <v>236541917.42513886</v>
      </c>
      <c r="J332" s="1645">
        <f t="shared" si="108"/>
        <v>218455513.43533525</v>
      </c>
      <c r="K332" s="1645">
        <f t="shared" si="108"/>
        <v>199313964.18141103</v>
      </c>
      <c r="L332" s="1645">
        <f t="shared" si="108"/>
        <v>179055713.39551863</v>
      </c>
      <c r="M332" s="1645">
        <f t="shared" si="108"/>
        <v>157615613.67004973</v>
      </c>
      <c r="N332" s="1645">
        <f t="shared" si="108"/>
        <v>134924716.95362809</v>
      </c>
      <c r="O332" s="1645">
        <f t="shared" si="108"/>
        <v>110910052.8248187</v>
      </c>
      <c r="P332" s="1645">
        <f t="shared" si="108"/>
        <v>85494393.830515578</v>
      </c>
      <c r="Q332" s="1645">
        <f t="shared" si="108"/>
        <v>58596007.13437292</v>
      </c>
      <c r="R332" s="1645">
        <f t="shared" si="108"/>
        <v>30128391.676619053</v>
      </c>
      <c r="S332" s="1645">
        <f t="shared" si="108"/>
        <v>-5.9604644775390625E-8</v>
      </c>
      <c r="T332" s="1645">
        <f t="shared" si="108"/>
        <v>-5.9604644775390625E-8</v>
      </c>
      <c r="U332" s="1645">
        <f t="shared" si="108"/>
        <v>-5.9604644775390625E-8</v>
      </c>
      <c r="V332" s="1645">
        <f t="shared" si="108"/>
        <v>-5.9604644775390625E-8</v>
      </c>
      <c r="W332" s="1645">
        <f t="shared" si="108"/>
        <v>-5.9604644775390625E-8</v>
      </c>
      <c r="X332" s="1645">
        <f t="shared" si="108"/>
        <v>-5.9604644775390625E-8</v>
      </c>
      <c r="Y332" s="1645">
        <f t="shared" si="108"/>
        <v>-5.9604644775390625E-8</v>
      </c>
      <c r="Z332" s="1645">
        <f t="shared" si="108"/>
        <v>-5.9604644775390625E-8</v>
      </c>
      <c r="AA332" s="1646">
        <f t="shared" si="108"/>
        <v>-5.9604644775390625E-8</v>
      </c>
      <c r="AB332" s="1168"/>
    </row>
    <row r="333" spans="1:28" x14ac:dyDescent="0.45">
      <c r="A333" s="695"/>
      <c r="B333" s="1285"/>
      <c r="C333" s="1282"/>
      <c r="D333" s="1282"/>
      <c r="E333" s="1282"/>
      <c r="F333" s="1282"/>
      <c r="G333" s="1645"/>
      <c r="H333" s="1645"/>
      <c r="I333" s="1645"/>
      <c r="J333" s="1645"/>
      <c r="K333" s="1645"/>
      <c r="L333" s="1645"/>
      <c r="M333" s="1645"/>
      <c r="N333" s="1645"/>
      <c r="O333" s="1645"/>
      <c r="P333" s="1645"/>
      <c r="Q333" s="1645"/>
      <c r="R333" s="1645"/>
      <c r="S333" s="1645"/>
      <c r="T333" s="1645"/>
      <c r="U333" s="1645"/>
      <c r="V333" s="1645"/>
      <c r="W333" s="1645"/>
      <c r="X333" s="1645"/>
      <c r="Y333" s="1645"/>
      <c r="Z333" s="1645"/>
      <c r="AA333" s="1646"/>
      <c r="AB333" s="1168"/>
    </row>
    <row r="334" spans="1:28" x14ac:dyDescent="0.45">
      <c r="A334" s="695"/>
      <c r="B334" s="1285"/>
      <c r="C334" s="1292" t="s">
        <v>64</v>
      </c>
      <c r="D334" s="1282"/>
      <c r="E334" s="1282"/>
      <c r="F334" s="1282"/>
      <c r="G334" s="1645"/>
      <c r="H334" s="1645"/>
      <c r="I334" s="1645"/>
      <c r="J334" s="1645"/>
      <c r="K334" s="1645"/>
      <c r="L334" s="1645"/>
      <c r="M334" s="1645"/>
      <c r="N334" s="1645"/>
      <c r="O334" s="1645"/>
      <c r="P334" s="1645"/>
      <c r="Q334" s="1645"/>
      <c r="R334" s="1645"/>
      <c r="S334" s="1645"/>
      <c r="T334" s="1645"/>
      <c r="U334" s="1645"/>
      <c r="V334" s="1645"/>
      <c r="W334" s="1645"/>
      <c r="X334" s="1645"/>
      <c r="Y334" s="1645"/>
      <c r="Z334" s="1645"/>
      <c r="AA334" s="1646"/>
      <c r="AB334" s="1168"/>
    </row>
    <row r="335" spans="1:28" x14ac:dyDescent="0.45">
      <c r="A335" s="695"/>
      <c r="B335" s="1285"/>
      <c r="C335" s="1282" t="s">
        <v>201</v>
      </c>
      <c r="D335" s="1282"/>
      <c r="E335" s="1282"/>
      <c r="F335" s="1282"/>
      <c r="G335" s="1645"/>
      <c r="H335" s="1645">
        <f>IF($G$319&gt;0, $G$319*'III. Inputs, Renewable Energy'!$V$55/10000,0)</f>
        <v>0</v>
      </c>
      <c r="I335" s="1645">
        <v>0</v>
      </c>
      <c r="J335" s="1645">
        <v>0</v>
      </c>
      <c r="K335" s="1645">
        <v>0</v>
      </c>
      <c r="L335" s="1645">
        <v>0</v>
      </c>
      <c r="M335" s="1645">
        <v>0</v>
      </c>
      <c r="N335" s="1645">
        <v>0</v>
      </c>
      <c r="O335" s="1645">
        <v>0</v>
      </c>
      <c r="P335" s="1645">
        <v>0</v>
      </c>
      <c r="Q335" s="1645">
        <v>0</v>
      </c>
      <c r="R335" s="1645">
        <v>0</v>
      </c>
      <c r="S335" s="1645">
        <v>0</v>
      </c>
      <c r="T335" s="1645">
        <v>0</v>
      </c>
      <c r="U335" s="1645">
        <v>0</v>
      </c>
      <c r="V335" s="1645">
        <v>0</v>
      </c>
      <c r="W335" s="1645">
        <v>0</v>
      </c>
      <c r="X335" s="1645">
        <v>0</v>
      </c>
      <c r="Y335" s="1645">
        <v>0</v>
      </c>
      <c r="Z335" s="1645">
        <v>0</v>
      </c>
      <c r="AA335" s="1646">
        <v>0</v>
      </c>
      <c r="AB335" s="1168"/>
    </row>
    <row r="336" spans="1:28" x14ac:dyDescent="0.45">
      <c r="A336" s="695"/>
      <c r="B336" s="1285"/>
      <c r="C336" s="1282"/>
      <c r="D336" s="1282"/>
      <c r="E336" s="1282"/>
      <c r="F336" s="1282"/>
      <c r="G336" s="1283"/>
      <c r="H336" s="1283"/>
      <c r="I336" s="1283"/>
      <c r="J336" s="1283"/>
      <c r="K336" s="1283"/>
      <c r="L336" s="1283"/>
      <c r="M336" s="1283"/>
      <c r="N336" s="1283"/>
      <c r="O336" s="1283"/>
      <c r="P336" s="1283"/>
      <c r="Q336" s="1283"/>
      <c r="R336" s="1283"/>
      <c r="S336" s="1283"/>
      <c r="T336" s="1283"/>
      <c r="U336" s="1283"/>
      <c r="V336" s="1283"/>
      <c r="W336" s="1283"/>
      <c r="X336" s="1283"/>
      <c r="Y336" s="1283"/>
      <c r="Z336" s="1283"/>
      <c r="AA336" s="1284"/>
      <c r="AB336" s="695"/>
    </row>
    <row r="337" spans="1:28" x14ac:dyDescent="0.45">
      <c r="A337" s="695"/>
      <c r="B337" s="1285"/>
      <c r="C337" s="1282"/>
      <c r="D337" s="1282"/>
      <c r="E337" s="1282"/>
      <c r="F337" s="1282"/>
      <c r="G337" s="1283"/>
      <c r="H337" s="1283"/>
      <c r="I337" s="1283"/>
      <c r="J337" s="1283"/>
      <c r="K337" s="1283"/>
      <c r="L337" s="1283"/>
      <c r="M337" s="1283"/>
      <c r="N337" s="1283"/>
      <c r="O337" s="1283"/>
      <c r="P337" s="1283"/>
      <c r="Q337" s="1283"/>
      <c r="R337" s="1283"/>
      <c r="S337" s="1283"/>
      <c r="T337" s="1283"/>
      <c r="U337" s="1283"/>
      <c r="V337" s="1283"/>
      <c r="W337" s="1283"/>
      <c r="X337" s="1283"/>
      <c r="Y337" s="1283"/>
      <c r="Z337" s="1283"/>
      <c r="AA337" s="1284"/>
      <c r="AB337" s="695"/>
    </row>
    <row r="338" spans="1:28" ht="13.15" x14ac:dyDescent="0.45">
      <c r="A338" s="695"/>
      <c r="B338" s="1281" t="s">
        <v>79</v>
      </c>
      <c r="C338" s="1282"/>
      <c r="D338" s="1282"/>
      <c r="E338" s="1282"/>
      <c r="F338" s="1282"/>
      <c r="G338" s="1283"/>
      <c r="H338" s="1283"/>
      <c r="I338" s="1283"/>
      <c r="J338" s="1283"/>
      <c r="K338" s="1283"/>
      <c r="L338" s="1283"/>
      <c r="M338" s="1283"/>
      <c r="N338" s="1283"/>
      <c r="O338" s="1283"/>
      <c r="P338" s="1283"/>
      <c r="Q338" s="1283"/>
      <c r="R338" s="1283"/>
      <c r="S338" s="1283"/>
      <c r="T338" s="1283"/>
      <c r="U338" s="1283"/>
      <c r="V338" s="1283"/>
      <c r="W338" s="1283"/>
      <c r="X338" s="1283"/>
      <c r="Y338" s="1283"/>
      <c r="Z338" s="1283"/>
      <c r="AA338" s="1284"/>
      <c r="AB338" s="695"/>
    </row>
    <row r="339" spans="1:28" x14ac:dyDescent="0.45">
      <c r="A339" s="695"/>
      <c r="B339" s="1285"/>
      <c r="C339" s="1286" t="s">
        <v>77</v>
      </c>
      <c r="D339" s="1282"/>
      <c r="E339" s="1282"/>
      <c r="F339" s="1649">
        <f>IF('III. Inputs, Renewable Energy'!V227&gt;0, 'III. Inputs, Renewable Energy'!$U$14*'III. Inputs, Renewable Energy'!$U$15*'III. Inputs, Renewable Energy'!$V$33*'III. Inputs, Renewable Energy'!$V$227,0)</f>
        <v>0</v>
      </c>
      <c r="G339" s="1283"/>
      <c r="H339" s="1283"/>
      <c r="I339" s="1283"/>
      <c r="J339" s="1283"/>
      <c r="K339" s="1283"/>
      <c r="L339" s="1283"/>
      <c r="M339" s="1283"/>
      <c r="N339" s="1283"/>
      <c r="O339" s="1283"/>
      <c r="P339" s="1283"/>
      <c r="Q339" s="1283"/>
      <c r="R339" s="1283"/>
      <c r="S339" s="1283"/>
      <c r="T339" s="1283"/>
      <c r="U339" s="1283"/>
      <c r="V339" s="1283"/>
      <c r="W339" s="1283"/>
      <c r="X339" s="1283"/>
      <c r="Y339" s="1283"/>
      <c r="Z339" s="1283"/>
      <c r="AA339" s="1284"/>
      <c r="AB339" s="695"/>
    </row>
    <row r="340" spans="1:28" x14ac:dyDescent="0.45">
      <c r="A340" s="695"/>
      <c r="B340" s="1285"/>
      <c r="C340" s="1286" t="str">
        <f>'III. Inputs, Renewable Energy'!$N$228</f>
        <v xml:space="preserve">Term of Political Risk Insurance </v>
      </c>
      <c r="D340" s="1282"/>
      <c r="E340" s="1282"/>
      <c r="F340" s="1297">
        <f>'III. Inputs, Renewable Energy'!V228</f>
        <v>0</v>
      </c>
      <c r="G340" s="1283"/>
      <c r="H340" s="1283"/>
      <c r="I340" s="1283"/>
      <c r="J340" s="1283"/>
      <c r="K340" s="1283"/>
      <c r="L340" s="1283"/>
      <c r="M340" s="1283"/>
      <c r="N340" s="1283"/>
      <c r="O340" s="1283"/>
      <c r="P340" s="1283"/>
      <c r="Q340" s="1283"/>
      <c r="R340" s="1283"/>
      <c r="S340" s="1283"/>
      <c r="T340" s="1283"/>
      <c r="U340" s="1283"/>
      <c r="V340" s="1283"/>
      <c r="W340" s="1283"/>
      <c r="X340" s="1283"/>
      <c r="Y340" s="1283"/>
      <c r="Z340" s="1283"/>
      <c r="AA340" s="1284"/>
      <c r="AB340" s="695"/>
    </row>
    <row r="341" spans="1:28" x14ac:dyDescent="0.45">
      <c r="A341" s="695"/>
      <c r="B341" s="1285"/>
      <c r="C341" s="1286" t="str">
        <f>'III. Inputs, Renewable Energy'!$N$229</f>
        <v xml:space="preserve">Front-end Fee </v>
      </c>
      <c r="D341" s="1282"/>
      <c r="E341" s="1282"/>
      <c r="F341" s="1297">
        <f>'III. Inputs, Renewable Energy'!V229</f>
        <v>0</v>
      </c>
      <c r="G341" s="1283"/>
      <c r="H341" s="1283"/>
      <c r="I341" s="1283"/>
      <c r="J341" s="1283"/>
      <c r="K341" s="1283"/>
      <c r="L341" s="1283"/>
      <c r="M341" s="1283"/>
      <c r="N341" s="1283"/>
      <c r="O341" s="1283"/>
      <c r="P341" s="1283"/>
      <c r="Q341" s="1283"/>
      <c r="R341" s="1283"/>
      <c r="S341" s="1283"/>
      <c r="T341" s="1283"/>
      <c r="U341" s="1283"/>
      <c r="V341" s="1283"/>
      <c r="W341" s="1283"/>
      <c r="X341" s="1283"/>
      <c r="Y341" s="1283"/>
      <c r="Z341" s="1283"/>
      <c r="AA341" s="1284"/>
      <c r="AB341" s="695"/>
    </row>
    <row r="342" spans="1:28" x14ac:dyDescent="0.45">
      <c r="A342" s="695"/>
      <c r="B342" s="1285"/>
      <c r="C342" s="1286" t="str">
        <f>'III. Inputs, Renewable Energy'!$N$230</f>
        <v xml:space="preserve">Annual Political Risk Insurance Premium </v>
      </c>
      <c r="D342" s="1282"/>
      <c r="E342" s="1282"/>
      <c r="F342" s="1297">
        <f>'III. Inputs, Renewable Energy'!V230</f>
        <v>0</v>
      </c>
      <c r="G342" s="1283"/>
      <c r="H342" s="1283"/>
      <c r="I342" s="1283"/>
      <c r="J342" s="1283"/>
      <c r="K342" s="1283"/>
      <c r="L342" s="1283"/>
      <c r="M342" s="1283"/>
      <c r="N342" s="1283"/>
      <c r="O342" s="1283"/>
      <c r="P342" s="1283"/>
      <c r="Q342" s="1283"/>
      <c r="R342" s="1283"/>
      <c r="S342" s="1283"/>
      <c r="T342" s="1283"/>
      <c r="U342" s="1283"/>
      <c r="V342" s="1283"/>
      <c r="W342" s="1283"/>
      <c r="X342" s="1283"/>
      <c r="Y342" s="1283"/>
      <c r="Z342" s="1283"/>
      <c r="AA342" s="1284"/>
      <c r="AB342" s="695"/>
    </row>
    <row r="343" spans="1:28" x14ac:dyDescent="0.45">
      <c r="A343" s="695"/>
      <c r="B343" s="1285"/>
      <c r="C343" s="1282"/>
      <c r="D343" s="1282"/>
      <c r="E343" s="1282"/>
      <c r="F343" s="1282"/>
      <c r="G343" s="1283"/>
      <c r="H343" s="1283"/>
      <c r="I343" s="1283"/>
      <c r="J343" s="1283"/>
      <c r="K343" s="1283"/>
      <c r="L343" s="1283"/>
      <c r="M343" s="1283"/>
      <c r="N343" s="1283"/>
      <c r="O343" s="1283"/>
      <c r="P343" s="1283"/>
      <c r="Q343" s="1283"/>
      <c r="R343" s="1283"/>
      <c r="S343" s="1283"/>
      <c r="T343" s="1283"/>
      <c r="U343" s="1283"/>
      <c r="V343" s="1283"/>
      <c r="W343" s="1283"/>
      <c r="X343" s="1283"/>
      <c r="Y343" s="1283"/>
      <c r="Z343" s="1283"/>
      <c r="AA343" s="1284"/>
      <c r="AB343" s="695"/>
    </row>
    <row r="344" spans="1:28" x14ac:dyDescent="0.45">
      <c r="A344" s="695"/>
      <c r="B344" s="1285"/>
      <c r="C344" s="1292" t="s">
        <v>64</v>
      </c>
      <c r="D344" s="1282"/>
      <c r="E344" s="1282"/>
      <c r="F344" s="1282"/>
      <c r="G344" s="1283"/>
      <c r="H344" s="1283"/>
      <c r="I344" s="1283"/>
      <c r="J344" s="1283"/>
      <c r="K344" s="1283"/>
      <c r="L344" s="1283"/>
      <c r="M344" s="1283"/>
      <c r="N344" s="1283"/>
      <c r="O344" s="1283"/>
      <c r="P344" s="1283"/>
      <c r="Q344" s="1283"/>
      <c r="R344" s="1283"/>
      <c r="S344" s="1283"/>
      <c r="T344" s="1283"/>
      <c r="U344" s="1283"/>
      <c r="V344" s="1283"/>
      <c r="W344" s="1283"/>
      <c r="X344" s="1283"/>
      <c r="Y344" s="1283"/>
      <c r="Z344" s="1283"/>
      <c r="AA344" s="1284"/>
      <c r="AB344" s="695"/>
    </row>
    <row r="345" spans="1:28" x14ac:dyDescent="0.45">
      <c r="A345" s="695"/>
      <c r="B345" s="1285"/>
      <c r="C345" s="1282" t="str">
        <f>'III. Inputs, Renewable Energy'!$N$229</f>
        <v xml:space="preserve">Front-end Fee </v>
      </c>
      <c r="D345" s="1282"/>
      <c r="E345" s="1282"/>
      <c r="F345" s="1282"/>
      <c r="G345" s="1283"/>
      <c r="H345" s="1645">
        <f>IF(F339&gt;0, F339*F341/10000, 0)</f>
        <v>0</v>
      </c>
      <c r="I345" s="1645">
        <v>0</v>
      </c>
      <c r="J345" s="1645">
        <v>0</v>
      </c>
      <c r="K345" s="1645">
        <v>0</v>
      </c>
      <c r="L345" s="1645">
        <v>0</v>
      </c>
      <c r="M345" s="1645">
        <v>0</v>
      </c>
      <c r="N345" s="1645">
        <v>0</v>
      </c>
      <c r="O345" s="1645">
        <v>0</v>
      </c>
      <c r="P345" s="1645">
        <v>0</v>
      </c>
      <c r="Q345" s="1645">
        <v>0</v>
      </c>
      <c r="R345" s="1645">
        <v>0</v>
      </c>
      <c r="S345" s="1645">
        <v>0</v>
      </c>
      <c r="T345" s="1645">
        <v>0</v>
      </c>
      <c r="U345" s="1645">
        <v>0</v>
      </c>
      <c r="V345" s="1645">
        <v>0</v>
      </c>
      <c r="W345" s="1645">
        <v>0</v>
      </c>
      <c r="X345" s="1645">
        <v>0</v>
      </c>
      <c r="Y345" s="1645">
        <v>0</v>
      </c>
      <c r="Z345" s="1645">
        <v>0</v>
      </c>
      <c r="AA345" s="1646">
        <v>0</v>
      </c>
      <c r="AB345" s="695"/>
    </row>
    <row r="346" spans="1:28" x14ac:dyDescent="0.45">
      <c r="A346" s="695"/>
      <c r="B346" s="1285"/>
      <c r="C346" s="1291" t="str">
        <f>'III. Inputs, Renewable Energy'!$N$230</f>
        <v xml:space="preserve">Annual Political Risk Insurance Premium </v>
      </c>
      <c r="D346" s="1291"/>
      <c r="E346" s="1291"/>
      <c r="F346" s="1291"/>
      <c r="G346" s="1298"/>
      <c r="H346" s="1647">
        <f>IF(H$196&gt;$F$340,0,($F$339*$F$342/10000))</f>
        <v>0</v>
      </c>
      <c r="I346" s="1647">
        <f t="shared" ref="I346:AA346" si="109">IF(I$196&gt;$F$340,0,($F$339*$F$342/10000))</f>
        <v>0</v>
      </c>
      <c r="J346" s="1647">
        <f t="shared" si="109"/>
        <v>0</v>
      </c>
      <c r="K346" s="1647">
        <f t="shared" si="109"/>
        <v>0</v>
      </c>
      <c r="L346" s="1647">
        <f t="shared" si="109"/>
        <v>0</v>
      </c>
      <c r="M346" s="1647">
        <f t="shared" si="109"/>
        <v>0</v>
      </c>
      <c r="N346" s="1647">
        <f t="shared" si="109"/>
        <v>0</v>
      </c>
      <c r="O346" s="1647">
        <f t="shared" si="109"/>
        <v>0</v>
      </c>
      <c r="P346" s="1647">
        <f t="shared" si="109"/>
        <v>0</v>
      </c>
      <c r="Q346" s="1647">
        <f t="shared" si="109"/>
        <v>0</v>
      </c>
      <c r="R346" s="1647">
        <f t="shared" si="109"/>
        <v>0</v>
      </c>
      <c r="S346" s="1647">
        <f t="shared" si="109"/>
        <v>0</v>
      </c>
      <c r="T346" s="1647">
        <f t="shared" si="109"/>
        <v>0</v>
      </c>
      <c r="U346" s="1647">
        <f t="shared" si="109"/>
        <v>0</v>
      </c>
      <c r="V346" s="1647">
        <f t="shared" si="109"/>
        <v>0</v>
      </c>
      <c r="W346" s="1647">
        <f t="shared" si="109"/>
        <v>0</v>
      </c>
      <c r="X346" s="1647">
        <f t="shared" si="109"/>
        <v>0</v>
      </c>
      <c r="Y346" s="1647">
        <f t="shared" si="109"/>
        <v>0</v>
      </c>
      <c r="Z346" s="1647">
        <f t="shared" si="109"/>
        <v>0</v>
      </c>
      <c r="AA346" s="1648">
        <f t="shared" si="109"/>
        <v>0</v>
      </c>
      <c r="AB346" s="695"/>
    </row>
    <row r="347" spans="1:28" x14ac:dyDescent="0.45">
      <c r="A347" s="695"/>
      <c r="B347" s="1285"/>
      <c r="C347" s="1282" t="s">
        <v>78</v>
      </c>
      <c r="D347" s="1282"/>
      <c r="E347" s="1282"/>
      <c r="F347" s="1282"/>
      <c r="G347" s="1283"/>
      <c r="H347" s="1645">
        <f>H345+H346</f>
        <v>0</v>
      </c>
      <c r="I347" s="1645">
        <f t="shared" ref="I347:AA347" si="110">I345+I346</f>
        <v>0</v>
      </c>
      <c r="J347" s="1645">
        <f t="shared" si="110"/>
        <v>0</v>
      </c>
      <c r="K347" s="1645">
        <f t="shared" si="110"/>
        <v>0</v>
      </c>
      <c r="L347" s="1645">
        <f t="shared" si="110"/>
        <v>0</v>
      </c>
      <c r="M347" s="1645">
        <f t="shared" si="110"/>
        <v>0</v>
      </c>
      <c r="N347" s="1645">
        <f t="shared" si="110"/>
        <v>0</v>
      </c>
      <c r="O347" s="1645">
        <f t="shared" si="110"/>
        <v>0</v>
      </c>
      <c r="P347" s="1645">
        <f t="shared" si="110"/>
        <v>0</v>
      </c>
      <c r="Q347" s="1645">
        <f t="shared" si="110"/>
        <v>0</v>
      </c>
      <c r="R347" s="1645">
        <f t="shared" si="110"/>
        <v>0</v>
      </c>
      <c r="S347" s="1645">
        <f t="shared" si="110"/>
        <v>0</v>
      </c>
      <c r="T347" s="1645">
        <f t="shared" si="110"/>
        <v>0</v>
      </c>
      <c r="U347" s="1645">
        <f t="shared" si="110"/>
        <v>0</v>
      </c>
      <c r="V347" s="1645">
        <f t="shared" si="110"/>
        <v>0</v>
      </c>
      <c r="W347" s="1645">
        <f t="shared" si="110"/>
        <v>0</v>
      </c>
      <c r="X347" s="1645">
        <f t="shared" si="110"/>
        <v>0</v>
      </c>
      <c r="Y347" s="1645">
        <f t="shared" si="110"/>
        <v>0</v>
      </c>
      <c r="Z347" s="1645">
        <f t="shared" si="110"/>
        <v>0</v>
      </c>
      <c r="AA347" s="1646">
        <f t="shared" si="110"/>
        <v>0</v>
      </c>
      <c r="AB347" s="695"/>
    </row>
    <row r="348" spans="1:28" ht="13.15" thickBot="1" x14ac:dyDescent="0.5">
      <c r="A348" s="695"/>
      <c r="B348" s="1299"/>
      <c r="C348" s="1300"/>
      <c r="D348" s="1300"/>
      <c r="E348" s="1300"/>
      <c r="F348" s="1300"/>
      <c r="G348" s="1301"/>
      <c r="H348" s="1301"/>
      <c r="I348" s="1301"/>
      <c r="J348" s="1301"/>
      <c r="K348" s="1301"/>
      <c r="L348" s="1301"/>
      <c r="M348" s="1301"/>
      <c r="N348" s="1301"/>
      <c r="O348" s="1301"/>
      <c r="P348" s="1301"/>
      <c r="Q348" s="1301"/>
      <c r="R348" s="1301"/>
      <c r="S348" s="1301"/>
      <c r="T348" s="1301"/>
      <c r="U348" s="1301"/>
      <c r="V348" s="1301"/>
      <c r="W348" s="1301"/>
      <c r="X348" s="1301"/>
      <c r="Y348" s="1301"/>
      <c r="Z348" s="1301"/>
      <c r="AA348" s="1302"/>
      <c r="AB348" s="695"/>
    </row>
    <row r="349" spans="1:28" s="466" customFormat="1" x14ac:dyDescent="0.45">
      <c r="A349" s="695"/>
      <c r="B349" s="461"/>
      <c r="C349" s="461"/>
      <c r="D349" s="461"/>
      <c r="E349" s="461"/>
      <c r="F349" s="461"/>
      <c r="G349" s="1352"/>
      <c r="H349" s="1352"/>
      <c r="I349" s="1352"/>
      <c r="J349" s="1352"/>
      <c r="K349" s="1352"/>
      <c r="L349" s="1352"/>
      <c r="M349" s="1352"/>
      <c r="N349" s="1352"/>
      <c r="O349" s="1352"/>
      <c r="P349" s="1352"/>
      <c r="Q349" s="1352"/>
      <c r="R349" s="1352"/>
      <c r="S349" s="1352"/>
      <c r="T349" s="1352"/>
      <c r="U349" s="1352"/>
      <c r="V349" s="1352"/>
      <c r="W349" s="1352"/>
      <c r="X349" s="1352"/>
      <c r="Y349" s="1352"/>
      <c r="Z349" s="1352"/>
      <c r="AA349" s="1352"/>
      <c r="AB349" s="695"/>
    </row>
    <row r="350" spans="1:28" s="466" customFormat="1" x14ac:dyDescent="0.45">
      <c r="A350" s="695"/>
      <c r="B350" s="461"/>
      <c r="C350" s="461"/>
      <c r="D350" s="461"/>
      <c r="E350" s="461"/>
      <c r="F350" s="461"/>
      <c r="G350" s="1352"/>
      <c r="H350" s="1352"/>
      <c r="I350" s="1352"/>
      <c r="J350" s="1352"/>
      <c r="K350" s="1352"/>
      <c r="L350" s="1352"/>
      <c r="M350" s="1352"/>
      <c r="N350" s="1352"/>
      <c r="O350" s="1352"/>
      <c r="P350" s="1352"/>
      <c r="Q350" s="1352"/>
      <c r="R350" s="1352"/>
      <c r="S350" s="1352"/>
      <c r="T350" s="1352"/>
      <c r="U350" s="1352"/>
      <c r="V350" s="1352"/>
      <c r="W350" s="1352"/>
      <c r="X350" s="1352"/>
      <c r="Y350" s="1352"/>
      <c r="Z350" s="1352"/>
      <c r="AA350" s="1352"/>
      <c r="AB350" s="695"/>
    </row>
    <row r="351" spans="1:28" s="457" customFormat="1" ht="12.75" customHeight="1" x14ac:dyDescent="0.45">
      <c r="A351" s="462" t="s">
        <v>226</v>
      </c>
      <c r="B351" s="462"/>
      <c r="C351" s="462"/>
      <c r="D351" s="462"/>
      <c r="E351" s="462"/>
      <c r="F351" s="462"/>
      <c r="G351" s="1303"/>
      <c r="H351" s="1303"/>
      <c r="I351" s="1303"/>
      <c r="J351" s="1304"/>
      <c r="K351" s="1305"/>
      <c r="L351" s="1305"/>
      <c r="M351" s="1305"/>
      <c r="N351" s="1305"/>
      <c r="O351" s="1305"/>
      <c r="P351" s="1305"/>
      <c r="Q351" s="1305"/>
      <c r="R351" s="1305"/>
      <c r="S351" s="1305"/>
      <c r="T351" s="1305"/>
      <c r="U351" s="1305"/>
      <c r="V351" s="1305"/>
      <c r="W351" s="1305"/>
      <c r="X351" s="1305"/>
      <c r="Y351" s="1305"/>
      <c r="Z351" s="1305"/>
      <c r="AA351" s="1305"/>
      <c r="AB351" s="461"/>
    </row>
    <row r="352" spans="1:28" x14ac:dyDescent="0.45">
      <c r="A352" s="695"/>
      <c r="B352" s="695"/>
      <c r="C352" s="695"/>
      <c r="D352" s="695"/>
      <c r="E352" s="695"/>
      <c r="F352" s="695"/>
      <c r="G352" s="1348"/>
      <c r="H352" s="1348"/>
      <c r="I352" s="1348"/>
      <c r="J352" s="1348"/>
      <c r="K352" s="1348"/>
      <c r="L352" s="1348"/>
      <c r="M352" s="1348"/>
      <c r="N352" s="1348"/>
      <c r="O352" s="1348"/>
      <c r="P352" s="1348"/>
      <c r="Q352" s="1348"/>
      <c r="R352" s="1348"/>
      <c r="S352" s="1348"/>
      <c r="T352" s="1348"/>
      <c r="U352" s="1348"/>
      <c r="V352" s="1348"/>
      <c r="W352" s="1348"/>
      <c r="X352" s="1348"/>
      <c r="Y352" s="1348"/>
      <c r="Z352" s="1348"/>
      <c r="AA352" s="1348"/>
      <c r="AB352" s="695"/>
    </row>
    <row r="353" spans="1:28" s="479" customFormat="1" ht="13.15" x14ac:dyDescent="0.45">
      <c r="A353" s="704"/>
      <c r="B353" s="1171" t="s">
        <v>51</v>
      </c>
      <c r="C353" s="1171"/>
      <c r="D353" s="1172"/>
      <c r="E353" s="1172"/>
      <c r="F353" s="1173"/>
      <c r="G353" s="1349">
        <v>0</v>
      </c>
      <c r="H353" s="1349">
        <v>1</v>
      </c>
      <c r="I353" s="1349">
        <v>2</v>
      </c>
      <c r="J353" s="1349">
        <v>3</v>
      </c>
      <c r="K353" s="1349">
        <v>4</v>
      </c>
      <c r="L353" s="1349">
        <v>5</v>
      </c>
      <c r="M353" s="1349">
        <v>6</v>
      </c>
      <c r="N353" s="1349">
        <v>7</v>
      </c>
      <c r="O353" s="1349">
        <v>8</v>
      </c>
      <c r="P353" s="1349">
        <v>9</v>
      </c>
      <c r="Q353" s="1349">
        <v>10</v>
      </c>
      <c r="R353" s="1349">
        <v>11</v>
      </c>
      <c r="S353" s="1349">
        <v>12</v>
      </c>
      <c r="T353" s="1349">
        <v>13</v>
      </c>
      <c r="U353" s="1349">
        <v>14</v>
      </c>
      <c r="V353" s="1349">
        <v>15</v>
      </c>
      <c r="W353" s="1349">
        <v>16</v>
      </c>
      <c r="X353" s="1349">
        <v>17</v>
      </c>
      <c r="Y353" s="1349">
        <v>18</v>
      </c>
      <c r="Z353" s="1349">
        <v>19</v>
      </c>
      <c r="AA353" s="1349">
        <v>20</v>
      </c>
      <c r="AB353" s="704"/>
    </row>
    <row r="354" spans="1:28" ht="13.15" thickBot="1" x14ac:dyDescent="0.5">
      <c r="A354" s="695"/>
      <c r="B354" s="695"/>
      <c r="C354" s="695"/>
      <c r="D354" s="695"/>
      <c r="E354" s="695"/>
      <c r="F354" s="715"/>
      <c r="G354" s="1348"/>
      <c r="H354" s="1348"/>
      <c r="I354" s="1348"/>
      <c r="J354" s="1348"/>
      <c r="K354" s="1348"/>
      <c r="L354" s="1348"/>
      <c r="M354" s="1348"/>
      <c r="N354" s="1348"/>
      <c r="O354" s="1348"/>
      <c r="P354" s="1348"/>
      <c r="Q354" s="1348"/>
      <c r="R354" s="1348"/>
      <c r="S354" s="1348"/>
      <c r="T354" s="1348"/>
      <c r="U354" s="1348"/>
      <c r="V354" s="1348"/>
      <c r="W354" s="1348"/>
      <c r="X354" s="1348"/>
      <c r="Y354" s="1348"/>
      <c r="Z354" s="1348"/>
      <c r="AA354" s="1348"/>
      <c r="AB354" s="695"/>
    </row>
    <row r="355" spans="1:28" ht="13.15" x14ac:dyDescent="0.45">
      <c r="A355" s="695"/>
      <c r="B355" s="1306" t="s">
        <v>392</v>
      </c>
      <c r="C355" s="1307"/>
      <c r="D355" s="1307"/>
      <c r="E355" s="1307"/>
      <c r="F355" s="1307"/>
      <c r="G355" s="1308"/>
      <c r="H355" s="1308"/>
      <c r="I355" s="1308"/>
      <c r="J355" s="1308"/>
      <c r="K355" s="1308"/>
      <c r="L355" s="1308"/>
      <c r="M355" s="1308"/>
      <c r="N355" s="1308"/>
      <c r="O355" s="1308"/>
      <c r="P355" s="1308"/>
      <c r="Q355" s="1308"/>
      <c r="R355" s="1308"/>
      <c r="S355" s="1308"/>
      <c r="T355" s="1308"/>
      <c r="U355" s="1308"/>
      <c r="V355" s="1308"/>
      <c r="W355" s="1308"/>
      <c r="X355" s="1308"/>
      <c r="Y355" s="1308"/>
      <c r="Z355" s="1308"/>
      <c r="AA355" s="1309"/>
      <c r="AB355" s="695"/>
    </row>
    <row r="356" spans="1:28" x14ac:dyDescent="0.45">
      <c r="A356" s="695"/>
      <c r="B356" s="1310"/>
      <c r="C356" s="1311"/>
      <c r="D356" s="1311"/>
      <c r="E356" s="1311"/>
      <c r="F356" s="1311"/>
      <c r="G356" s="1312"/>
      <c r="H356" s="1312"/>
      <c r="I356" s="1312"/>
      <c r="J356" s="1312"/>
      <c r="K356" s="1312"/>
      <c r="L356" s="1312"/>
      <c r="M356" s="1312"/>
      <c r="N356" s="1312"/>
      <c r="O356" s="1312"/>
      <c r="P356" s="1312"/>
      <c r="Q356" s="1312"/>
      <c r="R356" s="1312"/>
      <c r="S356" s="1312"/>
      <c r="T356" s="1312"/>
      <c r="U356" s="1312"/>
      <c r="V356" s="1312"/>
      <c r="W356" s="1312"/>
      <c r="X356" s="1312"/>
      <c r="Y356" s="1312"/>
      <c r="Z356" s="1312"/>
      <c r="AA356" s="1313"/>
      <c r="AB356" s="695"/>
    </row>
    <row r="357" spans="1:28" x14ac:dyDescent="0.45">
      <c r="A357" s="695"/>
      <c r="B357" s="1310"/>
      <c r="C357" s="1314" t="s">
        <v>57</v>
      </c>
      <c r="D357" s="1315">
        <f>'III. Inputs, Renewable Energy'!$U$16</f>
        <v>20</v>
      </c>
      <c r="E357" s="1316" t="s">
        <v>18</v>
      </c>
      <c r="F357" s="1311"/>
      <c r="G357" s="1312"/>
      <c r="H357" s="1312"/>
      <c r="I357" s="1312"/>
      <c r="J357" s="1312"/>
      <c r="K357" s="1312"/>
      <c r="L357" s="1312"/>
      <c r="M357" s="1312"/>
      <c r="N357" s="1312"/>
      <c r="O357" s="1312"/>
      <c r="P357" s="1312"/>
      <c r="Q357" s="1312"/>
      <c r="R357" s="1312"/>
      <c r="S357" s="1312"/>
      <c r="T357" s="1312"/>
      <c r="U357" s="1312"/>
      <c r="V357" s="1312"/>
      <c r="W357" s="1312"/>
      <c r="X357" s="1312"/>
      <c r="Y357" s="1312"/>
      <c r="Z357" s="1312"/>
      <c r="AA357" s="1313"/>
      <c r="AB357" s="695"/>
    </row>
    <row r="358" spans="1:28" x14ac:dyDescent="0.45">
      <c r="A358" s="695"/>
      <c r="B358" s="1310"/>
      <c r="C358" s="1311"/>
      <c r="D358" s="1311"/>
      <c r="E358" s="1311"/>
      <c r="F358" s="1311"/>
      <c r="G358" s="1312"/>
      <c r="H358" s="1312"/>
      <c r="I358" s="1312"/>
      <c r="J358" s="1312"/>
      <c r="K358" s="1312"/>
      <c r="L358" s="1312"/>
      <c r="M358" s="1312"/>
      <c r="N358" s="1312"/>
      <c r="O358" s="1312"/>
      <c r="P358" s="1312"/>
      <c r="Q358" s="1312"/>
      <c r="R358" s="1312"/>
      <c r="S358" s="1312"/>
      <c r="T358" s="1312"/>
      <c r="U358" s="1312"/>
      <c r="V358" s="1312"/>
      <c r="W358" s="1312"/>
      <c r="X358" s="1312"/>
      <c r="Y358" s="1312"/>
      <c r="Z358" s="1312"/>
      <c r="AA358" s="1313"/>
      <c r="AB358" s="695"/>
    </row>
    <row r="359" spans="1:28" x14ac:dyDescent="0.45">
      <c r="A359" s="695"/>
      <c r="B359" s="1310"/>
      <c r="C359" s="1311" t="s">
        <v>52</v>
      </c>
      <c r="D359" s="1311"/>
      <c r="E359" s="1311"/>
      <c r="F359" s="1311"/>
      <c r="G359" s="1317"/>
      <c r="H359" s="1318">
        <f>IF(H353&gt;$D$357,0,1/$D$357)</f>
        <v>0.05</v>
      </c>
      <c r="I359" s="1318">
        <f t="shared" ref="I359:AA359" si="111">IF(I353&gt;$D$357,0,1/$D$357)</f>
        <v>0.05</v>
      </c>
      <c r="J359" s="1318">
        <f t="shared" si="111"/>
        <v>0.05</v>
      </c>
      <c r="K359" s="1318">
        <f t="shared" si="111"/>
        <v>0.05</v>
      </c>
      <c r="L359" s="1318">
        <f t="shared" si="111"/>
        <v>0.05</v>
      </c>
      <c r="M359" s="1318">
        <f t="shared" si="111"/>
        <v>0.05</v>
      </c>
      <c r="N359" s="1318">
        <f t="shared" si="111"/>
        <v>0.05</v>
      </c>
      <c r="O359" s="1318">
        <f t="shared" si="111"/>
        <v>0.05</v>
      </c>
      <c r="P359" s="1318">
        <f t="shared" si="111"/>
        <v>0.05</v>
      </c>
      <c r="Q359" s="1318">
        <f t="shared" si="111"/>
        <v>0.05</v>
      </c>
      <c r="R359" s="1318">
        <f t="shared" si="111"/>
        <v>0.05</v>
      </c>
      <c r="S359" s="1318">
        <f t="shared" si="111"/>
        <v>0.05</v>
      </c>
      <c r="T359" s="1318">
        <f t="shared" si="111"/>
        <v>0.05</v>
      </c>
      <c r="U359" s="1318">
        <f t="shared" si="111"/>
        <v>0.05</v>
      </c>
      <c r="V359" s="1318">
        <f t="shared" si="111"/>
        <v>0.05</v>
      </c>
      <c r="W359" s="1318">
        <f t="shared" si="111"/>
        <v>0.05</v>
      </c>
      <c r="X359" s="1318">
        <f t="shared" si="111"/>
        <v>0.05</v>
      </c>
      <c r="Y359" s="1318">
        <f t="shared" si="111"/>
        <v>0.05</v>
      </c>
      <c r="Z359" s="1318">
        <f t="shared" si="111"/>
        <v>0.05</v>
      </c>
      <c r="AA359" s="1319">
        <f t="shared" si="111"/>
        <v>0.05</v>
      </c>
      <c r="AB359" s="695"/>
    </row>
    <row r="360" spans="1:28" x14ac:dyDescent="0.45">
      <c r="A360" s="695"/>
      <c r="B360" s="1310"/>
      <c r="C360" s="1311" t="s">
        <v>53</v>
      </c>
      <c r="D360" s="1311"/>
      <c r="E360" s="1311"/>
      <c r="F360" s="1311"/>
      <c r="G360" s="1320"/>
      <c r="H360" s="1318">
        <v>0</v>
      </c>
      <c r="I360" s="1318">
        <v>0</v>
      </c>
      <c r="J360" s="1318">
        <v>0</v>
      </c>
      <c r="K360" s="1318">
        <v>0</v>
      </c>
      <c r="L360" s="1318">
        <v>0</v>
      </c>
      <c r="M360" s="1318">
        <v>0</v>
      </c>
      <c r="N360" s="1318">
        <v>0</v>
      </c>
      <c r="O360" s="1318">
        <v>0</v>
      </c>
      <c r="P360" s="1318">
        <v>0</v>
      </c>
      <c r="Q360" s="1318">
        <v>0</v>
      </c>
      <c r="R360" s="1318">
        <v>0</v>
      </c>
      <c r="S360" s="1318">
        <v>0</v>
      </c>
      <c r="T360" s="1318">
        <v>0</v>
      </c>
      <c r="U360" s="1318">
        <v>0</v>
      </c>
      <c r="V360" s="1318">
        <v>0</v>
      </c>
      <c r="W360" s="1318">
        <v>0</v>
      </c>
      <c r="X360" s="1318">
        <v>0</v>
      </c>
      <c r="Y360" s="1318">
        <v>0</v>
      </c>
      <c r="Z360" s="1318">
        <v>0</v>
      </c>
      <c r="AA360" s="1319">
        <v>0</v>
      </c>
      <c r="AB360" s="695"/>
    </row>
    <row r="361" spans="1:28" x14ac:dyDescent="0.45">
      <c r="A361" s="695"/>
      <c r="B361" s="1310"/>
      <c r="C361" s="1311"/>
      <c r="D361" s="1311"/>
      <c r="E361" s="1311"/>
      <c r="F361" s="1311"/>
      <c r="G361" s="1312"/>
      <c r="H361" s="1312"/>
      <c r="I361" s="1312"/>
      <c r="J361" s="1312"/>
      <c r="K361" s="1312"/>
      <c r="L361" s="1312"/>
      <c r="M361" s="1312"/>
      <c r="N361" s="1312"/>
      <c r="O361" s="1312"/>
      <c r="P361" s="1312"/>
      <c r="Q361" s="1312"/>
      <c r="R361" s="1312"/>
      <c r="S361" s="1312"/>
      <c r="T361" s="1312"/>
      <c r="U361" s="1312"/>
      <c r="V361" s="1312"/>
      <c r="W361" s="1312"/>
      <c r="X361" s="1312"/>
      <c r="Y361" s="1312"/>
      <c r="Z361" s="1312"/>
      <c r="AA361" s="1313"/>
      <c r="AB361" s="695"/>
    </row>
    <row r="362" spans="1:28" ht="13.15" x14ac:dyDescent="0.45">
      <c r="A362" s="695"/>
      <c r="B362" s="1310"/>
      <c r="C362" s="1311"/>
      <c r="D362" s="1311"/>
      <c r="E362" s="1311"/>
      <c r="F362" s="1321" t="s">
        <v>54</v>
      </c>
      <c r="G362" s="1322" t="s">
        <v>55</v>
      </c>
      <c r="H362" s="1312"/>
      <c r="I362" s="1312"/>
      <c r="J362" s="1312"/>
      <c r="K362" s="1312"/>
      <c r="L362" s="1312"/>
      <c r="M362" s="1312"/>
      <c r="N362" s="1312"/>
      <c r="O362" s="1312"/>
      <c r="P362" s="1312"/>
      <c r="Q362" s="1312"/>
      <c r="R362" s="1312"/>
      <c r="S362" s="1312"/>
      <c r="T362" s="1312"/>
      <c r="U362" s="1312"/>
      <c r="V362" s="1312"/>
      <c r="W362" s="1312"/>
      <c r="X362" s="1312"/>
      <c r="Y362" s="1312"/>
      <c r="Z362" s="1312"/>
      <c r="AA362" s="1313"/>
      <c r="AB362" s="695"/>
    </row>
    <row r="363" spans="1:28" x14ac:dyDescent="0.45">
      <c r="A363" s="695"/>
      <c r="B363" s="1310"/>
      <c r="C363" s="1311" t="s">
        <v>50</v>
      </c>
      <c r="D363" s="1311"/>
      <c r="E363" s="1311"/>
      <c r="F363" s="1323">
        <f>'III. Inputs, Renewable Energy'!S273</f>
        <v>0.95</v>
      </c>
      <c r="G363" s="1650">
        <f>'III. Inputs, Renewable Energy'!$U$14*'III. Inputs, Renewable Energy'!$U$15*F363</f>
        <v>505004530.07972938</v>
      </c>
      <c r="H363" s="1650">
        <f xml:space="preserve"> $G$363*H359</f>
        <v>25250226.50398647</v>
      </c>
      <c r="I363" s="1650">
        <f t="shared" ref="I363:AA363" si="112" xml:space="preserve"> $G$363*I359</f>
        <v>25250226.50398647</v>
      </c>
      <c r="J363" s="1650">
        <f t="shared" si="112"/>
        <v>25250226.50398647</v>
      </c>
      <c r="K363" s="1650">
        <f t="shared" si="112"/>
        <v>25250226.50398647</v>
      </c>
      <c r="L363" s="1650">
        <f t="shared" si="112"/>
        <v>25250226.50398647</v>
      </c>
      <c r="M363" s="1650">
        <f t="shared" si="112"/>
        <v>25250226.50398647</v>
      </c>
      <c r="N363" s="1650">
        <f t="shared" si="112"/>
        <v>25250226.50398647</v>
      </c>
      <c r="O363" s="1650">
        <f t="shared" si="112"/>
        <v>25250226.50398647</v>
      </c>
      <c r="P363" s="1650">
        <f t="shared" si="112"/>
        <v>25250226.50398647</v>
      </c>
      <c r="Q363" s="1650">
        <f t="shared" si="112"/>
        <v>25250226.50398647</v>
      </c>
      <c r="R363" s="1650">
        <f t="shared" si="112"/>
        <v>25250226.50398647</v>
      </c>
      <c r="S363" s="1650">
        <f t="shared" si="112"/>
        <v>25250226.50398647</v>
      </c>
      <c r="T363" s="1650">
        <f t="shared" si="112"/>
        <v>25250226.50398647</v>
      </c>
      <c r="U363" s="1650">
        <f t="shared" si="112"/>
        <v>25250226.50398647</v>
      </c>
      <c r="V363" s="1650">
        <f t="shared" si="112"/>
        <v>25250226.50398647</v>
      </c>
      <c r="W363" s="1650">
        <f t="shared" si="112"/>
        <v>25250226.50398647</v>
      </c>
      <c r="X363" s="1650">
        <f t="shared" si="112"/>
        <v>25250226.50398647</v>
      </c>
      <c r="Y363" s="1650">
        <f t="shared" si="112"/>
        <v>25250226.50398647</v>
      </c>
      <c r="Z363" s="1650">
        <f t="shared" si="112"/>
        <v>25250226.50398647</v>
      </c>
      <c r="AA363" s="1651">
        <f t="shared" si="112"/>
        <v>25250226.50398647</v>
      </c>
      <c r="AB363" s="695"/>
    </row>
    <row r="364" spans="1:28" x14ac:dyDescent="0.45">
      <c r="A364" s="695"/>
      <c r="B364" s="1310"/>
      <c r="C364" s="1324" t="s">
        <v>16</v>
      </c>
      <c r="D364" s="1324"/>
      <c r="E364" s="1324"/>
      <c r="F364" s="1325">
        <f>'III. Inputs, Renewable Energy'!S274</f>
        <v>5.0000000000000044E-2</v>
      </c>
      <c r="G364" s="1652">
        <f>'III. Inputs, Renewable Energy'!$U$14*'III. Inputs, Renewable Energy'!$U$15*F364</f>
        <v>26579185.793669991</v>
      </c>
      <c r="H364" s="1652">
        <f>$G$364*H360</f>
        <v>0</v>
      </c>
      <c r="I364" s="1652">
        <f t="shared" ref="I364:AA364" si="113">$G$364*I360</f>
        <v>0</v>
      </c>
      <c r="J364" s="1652">
        <f t="shared" si="113"/>
        <v>0</v>
      </c>
      <c r="K364" s="1652">
        <f t="shared" si="113"/>
        <v>0</v>
      </c>
      <c r="L364" s="1652">
        <f t="shared" si="113"/>
        <v>0</v>
      </c>
      <c r="M364" s="1652">
        <f t="shared" si="113"/>
        <v>0</v>
      </c>
      <c r="N364" s="1652">
        <f t="shared" si="113"/>
        <v>0</v>
      </c>
      <c r="O364" s="1652">
        <f t="shared" si="113"/>
        <v>0</v>
      </c>
      <c r="P364" s="1652">
        <f t="shared" si="113"/>
        <v>0</v>
      </c>
      <c r="Q364" s="1652">
        <f t="shared" si="113"/>
        <v>0</v>
      </c>
      <c r="R364" s="1652">
        <f t="shared" si="113"/>
        <v>0</v>
      </c>
      <c r="S364" s="1652">
        <f t="shared" si="113"/>
        <v>0</v>
      </c>
      <c r="T364" s="1652">
        <f t="shared" si="113"/>
        <v>0</v>
      </c>
      <c r="U364" s="1652">
        <f t="shared" si="113"/>
        <v>0</v>
      </c>
      <c r="V364" s="1652">
        <f t="shared" si="113"/>
        <v>0</v>
      </c>
      <c r="W364" s="1652">
        <f t="shared" si="113"/>
        <v>0</v>
      </c>
      <c r="X364" s="1652">
        <f t="shared" si="113"/>
        <v>0</v>
      </c>
      <c r="Y364" s="1652">
        <f t="shared" si="113"/>
        <v>0</v>
      </c>
      <c r="Z364" s="1652">
        <f t="shared" si="113"/>
        <v>0</v>
      </c>
      <c r="AA364" s="1653">
        <f t="shared" si="113"/>
        <v>0</v>
      </c>
      <c r="AB364" s="695"/>
    </row>
    <row r="365" spans="1:28" x14ac:dyDescent="0.45">
      <c r="A365" s="695"/>
      <c r="B365" s="1310"/>
      <c r="C365" s="1311" t="s">
        <v>56</v>
      </c>
      <c r="D365" s="1311"/>
      <c r="E365" s="1311"/>
      <c r="F365" s="1311"/>
      <c r="G365" s="1650">
        <f>G363+G364</f>
        <v>531583715.87339938</v>
      </c>
      <c r="H365" s="1650">
        <f>H363+H364</f>
        <v>25250226.50398647</v>
      </c>
      <c r="I365" s="1650">
        <f t="shared" ref="I365:AA365" si="114">I363+I364</f>
        <v>25250226.50398647</v>
      </c>
      <c r="J365" s="1650">
        <f t="shared" si="114"/>
        <v>25250226.50398647</v>
      </c>
      <c r="K365" s="1650">
        <f t="shared" si="114"/>
        <v>25250226.50398647</v>
      </c>
      <c r="L365" s="1650">
        <f t="shared" si="114"/>
        <v>25250226.50398647</v>
      </c>
      <c r="M365" s="1650">
        <f t="shared" si="114"/>
        <v>25250226.50398647</v>
      </c>
      <c r="N365" s="1650">
        <f t="shared" si="114"/>
        <v>25250226.50398647</v>
      </c>
      <c r="O365" s="1650">
        <f t="shared" si="114"/>
        <v>25250226.50398647</v>
      </c>
      <c r="P365" s="1650">
        <f t="shared" si="114"/>
        <v>25250226.50398647</v>
      </c>
      <c r="Q365" s="1650">
        <f t="shared" si="114"/>
        <v>25250226.50398647</v>
      </c>
      <c r="R365" s="1650">
        <f t="shared" si="114"/>
        <v>25250226.50398647</v>
      </c>
      <c r="S365" s="1650">
        <f t="shared" si="114"/>
        <v>25250226.50398647</v>
      </c>
      <c r="T365" s="1650">
        <f t="shared" si="114"/>
        <v>25250226.50398647</v>
      </c>
      <c r="U365" s="1650">
        <f t="shared" si="114"/>
        <v>25250226.50398647</v>
      </c>
      <c r="V365" s="1650">
        <f t="shared" si="114"/>
        <v>25250226.50398647</v>
      </c>
      <c r="W365" s="1650">
        <f t="shared" si="114"/>
        <v>25250226.50398647</v>
      </c>
      <c r="X365" s="1650">
        <f t="shared" si="114"/>
        <v>25250226.50398647</v>
      </c>
      <c r="Y365" s="1650">
        <f t="shared" si="114"/>
        <v>25250226.50398647</v>
      </c>
      <c r="Z365" s="1650">
        <f t="shared" si="114"/>
        <v>25250226.50398647</v>
      </c>
      <c r="AA365" s="1651">
        <f t="shared" si="114"/>
        <v>25250226.50398647</v>
      </c>
      <c r="AB365" s="695"/>
    </row>
    <row r="366" spans="1:28" x14ac:dyDescent="0.45">
      <c r="A366" s="695"/>
      <c r="B366" s="1310"/>
      <c r="C366" s="1311"/>
      <c r="D366" s="1311"/>
      <c r="E366" s="1311"/>
      <c r="F366" s="1311"/>
      <c r="G366" s="1312"/>
      <c r="H366" s="1312"/>
      <c r="I366" s="1312"/>
      <c r="J366" s="1312"/>
      <c r="K366" s="1312"/>
      <c r="L366" s="1312"/>
      <c r="M366" s="1312"/>
      <c r="N366" s="1312"/>
      <c r="O366" s="1312"/>
      <c r="P366" s="1312"/>
      <c r="Q366" s="1312"/>
      <c r="R366" s="1312"/>
      <c r="S366" s="1312"/>
      <c r="T366" s="1312"/>
      <c r="U366" s="1312"/>
      <c r="V366" s="1312"/>
      <c r="W366" s="1312"/>
      <c r="X366" s="1312"/>
      <c r="Y366" s="1312"/>
      <c r="Z366" s="1312"/>
      <c r="AA366" s="1313"/>
      <c r="AB366" s="695"/>
    </row>
    <row r="367" spans="1:28" ht="13.15" thickBot="1" x14ac:dyDescent="0.5">
      <c r="A367" s="695"/>
      <c r="B367" s="1326"/>
      <c r="C367" s="1327"/>
      <c r="D367" s="1327"/>
      <c r="E367" s="1327"/>
      <c r="F367" s="1327"/>
      <c r="G367" s="1328"/>
      <c r="H367" s="1328"/>
      <c r="I367" s="1328"/>
      <c r="J367" s="1328"/>
      <c r="K367" s="1328"/>
      <c r="L367" s="1328"/>
      <c r="M367" s="1328"/>
      <c r="N367" s="1328"/>
      <c r="O367" s="1328"/>
      <c r="P367" s="1328"/>
      <c r="Q367" s="1328"/>
      <c r="R367" s="1328"/>
      <c r="S367" s="1328"/>
      <c r="T367" s="1328"/>
      <c r="U367" s="1328"/>
      <c r="V367" s="1328"/>
      <c r="W367" s="1328"/>
      <c r="X367" s="1328"/>
      <c r="Y367" s="1328"/>
      <c r="Z367" s="1328"/>
      <c r="AA367" s="1329"/>
      <c r="AB367" s="695"/>
    </row>
    <row r="368" spans="1:28" ht="13.15" thickBot="1" x14ac:dyDescent="0.5">
      <c r="A368" s="695"/>
      <c r="B368" s="695"/>
      <c r="C368" s="695"/>
      <c r="D368" s="695"/>
      <c r="E368" s="695"/>
      <c r="F368" s="695"/>
      <c r="G368" s="1348"/>
      <c r="H368" s="1348"/>
      <c r="I368" s="1348"/>
      <c r="J368" s="1348"/>
      <c r="K368" s="1348"/>
      <c r="L368" s="1348"/>
      <c r="M368" s="1348"/>
      <c r="N368" s="1348"/>
      <c r="O368" s="1348"/>
      <c r="P368" s="1348"/>
      <c r="Q368" s="1348"/>
      <c r="R368" s="1348"/>
      <c r="S368" s="1348"/>
      <c r="T368" s="1348"/>
      <c r="U368" s="1348"/>
      <c r="V368" s="1348"/>
      <c r="W368" s="1348"/>
      <c r="X368" s="1348"/>
      <c r="Y368" s="1348"/>
      <c r="Z368" s="1348"/>
      <c r="AA368" s="1348"/>
      <c r="AB368" s="695"/>
    </row>
    <row r="369" spans="1:28" ht="13.15" x14ac:dyDescent="0.45">
      <c r="A369" s="695"/>
      <c r="B369" s="1220" t="s">
        <v>384</v>
      </c>
      <c r="C369" s="1330"/>
      <c r="D369" s="1221"/>
      <c r="E369" s="1221"/>
      <c r="F369" s="1221"/>
      <c r="G369" s="1331"/>
      <c r="H369" s="1331"/>
      <c r="I369" s="1331"/>
      <c r="J369" s="1331"/>
      <c r="K369" s="1331"/>
      <c r="L369" s="1331"/>
      <c r="M369" s="1331"/>
      <c r="N369" s="1331"/>
      <c r="O369" s="1331"/>
      <c r="P369" s="1331"/>
      <c r="Q369" s="1331"/>
      <c r="R369" s="1331"/>
      <c r="S369" s="1331"/>
      <c r="T369" s="1331"/>
      <c r="U369" s="1331"/>
      <c r="V369" s="1331"/>
      <c r="W369" s="1331"/>
      <c r="X369" s="1331"/>
      <c r="Y369" s="1331"/>
      <c r="Z369" s="1331"/>
      <c r="AA369" s="1332"/>
      <c r="AB369" s="695"/>
    </row>
    <row r="370" spans="1:28" x14ac:dyDescent="0.45">
      <c r="A370" s="695"/>
      <c r="B370" s="1223"/>
      <c r="C370" s="1224"/>
      <c r="D370" s="1224"/>
      <c r="E370" s="1224"/>
      <c r="F370" s="1224"/>
      <c r="G370" s="1333"/>
      <c r="H370" s="1333"/>
      <c r="I370" s="1333"/>
      <c r="J370" s="1333"/>
      <c r="K370" s="1333"/>
      <c r="L370" s="1333"/>
      <c r="M370" s="1333"/>
      <c r="N370" s="1333"/>
      <c r="O370" s="1333"/>
      <c r="P370" s="1333"/>
      <c r="Q370" s="1333"/>
      <c r="R370" s="1333"/>
      <c r="S370" s="1333"/>
      <c r="T370" s="1333"/>
      <c r="U370" s="1333"/>
      <c r="V370" s="1333"/>
      <c r="W370" s="1333"/>
      <c r="X370" s="1333"/>
      <c r="Y370" s="1333"/>
      <c r="Z370" s="1333"/>
      <c r="AA370" s="1334"/>
      <c r="AB370" s="695"/>
    </row>
    <row r="371" spans="1:28" x14ac:dyDescent="0.45">
      <c r="A371" s="695"/>
      <c r="B371" s="1223"/>
      <c r="C371" s="1335" t="s">
        <v>57</v>
      </c>
      <c r="D371" s="1336">
        <f>'III. Inputs, Renewable Energy'!$U$16</f>
        <v>20</v>
      </c>
      <c r="E371" s="1337" t="s">
        <v>18</v>
      </c>
      <c r="F371" s="1224"/>
      <c r="G371" s="1333"/>
      <c r="H371" s="1333"/>
      <c r="I371" s="1333"/>
      <c r="J371" s="1333"/>
      <c r="K371" s="1333"/>
      <c r="L371" s="1333"/>
      <c r="M371" s="1333"/>
      <c r="N371" s="1333"/>
      <c r="O371" s="1333"/>
      <c r="P371" s="1333"/>
      <c r="Q371" s="1333"/>
      <c r="R371" s="1333"/>
      <c r="S371" s="1333"/>
      <c r="T371" s="1333"/>
      <c r="U371" s="1333"/>
      <c r="V371" s="1333"/>
      <c r="W371" s="1333"/>
      <c r="X371" s="1333"/>
      <c r="Y371" s="1333"/>
      <c r="Z371" s="1333"/>
      <c r="AA371" s="1334"/>
      <c r="AB371" s="695"/>
    </row>
    <row r="372" spans="1:28" x14ac:dyDescent="0.45">
      <c r="A372" s="695"/>
      <c r="B372" s="1223"/>
      <c r="C372" s="1224"/>
      <c r="D372" s="1224"/>
      <c r="E372" s="1224"/>
      <c r="F372" s="1224"/>
      <c r="G372" s="1333"/>
      <c r="H372" s="1333"/>
      <c r="I372" s="1333"/>
      <c r="J372" s="1333"/>
      <c r="K372" s="1333"/>
      <c r="L372" s="1333"/>
      <c r="M372" s="1333"/>
      <c r="N372" s="1333"/>
      <c r="O372" s="1333"/>
      <c r="P372" s="1333"/>
      <c r="Q372" s="1333"/>
      <c r="R372" s="1333"/>
      <c r="S372" s="1333"/>
      <c r="T372" s="1333"/>
      <c r="U372" s="1333"/>
      <c r="V372" s="1333"/>
      <c r="W372" s="1333"/>
      <c r="X372" s="1333"/>
      <c r="Y372" s="1333"/>
      <c r="Z372" s="1333"/>
      <c r="AA372" s="1334"/>
      <c r="AB372" s="695"/>
    </row>
    <row r="373" spans="1:28" x14ac:dyDescent="0.45">
      <c r="A373" s="695"/>
      <c r="B373" s="1223"/>
      <c r="C373" s="1224" t="s">
        <v>52</v>
      </c>
      <c r="D373" s="1224"/>
      <c r="E373" s="1224"/>
      <c r="F373" s="1224"/>
      <c r="G373" s="1338"/>
      <c r="H373" s="1339">
        <f>IF(H353&gt;$D$371,0,1/$D$371)</f>
        <v>0.05</v>
      </c>
      <c r="I373" s="1339">
        <f t="shared" ref="I373:AA373" si="115">IF(I353&gt;$D$371,0,1/$D$371)</f>
        <v>0.05</v>
      </c>
      <c r="J373" s="1339">
        <f t="shared" si="115"/>
        <v>0.05</v>
      </c>
      <c r="K373" s="1339">
        <f t="shared" si="115"/>
        <v>0.05</v>
      </c>
      <c r="L373" s="1339">
        <f t="shared" si="115"/>
        <v>0.05</v>
      </c>
      <c r="M373" s="1339">
        <f t="shared" si="115"/>
        <v>0.05</v>
      </c>
      <c r="N373" s="1339">
        <f t="shared" si="115"/>
        <v>0.05</v>
      </c>
      <c r="O373" s="1339">
        <f t="shared" si="115"/>
        <v>0.05</v>
      </c>
      <c r="P373" s="1339">
        <f t="shared" si="115"/>
        <v>0.05</v>
      </c>
      <c r="Q373" s="1339">
        <f t="shared" si="115"/>
        <v>0.05</v>
      </c>
      <c r="R373" s="1339">
        <f t="shared" si="115"/>
        <v>0.05</v>
      </c>
      <c r="S373" s="1339">
        <f t="shared" si="115"/>
        <v>0.05</v>
      </c>
      <c r="T373" s="1339">
        <f t="shared" si="115"/>
        <v>0.05</v>
      </c>
      <c r="U373" s="1339">
        <f t="shared" si="115"/>
        <v>0.05</v>
      </c>
      <c r="V373" s="1339">
        <f t="shared" si="115"/>
        <v>0.05</v>
      </c>
      <c r="W373" s="1339">
        <f t="shared" si="115"/>
        <v>0.05</v>
      </c>
      <c r="X373" s="1339">
        <f t="shared" si="115"/>
        <v>0.05</v>
      </c>
      <c r="Y373" s="1339">
        <f t="shared" si="115"/>
        <v>0.05</v>
      </c>
      <c r="Z373" s="1339">
        <f t="shared" si="115"/>
        <v>0.05</v>
      </c>
      <c r="AA373" s="1340">
        <f t="shared" si="115"/>
        <v>0.05</v>
      </c>
      <c r="AB373" s="695"/>
    </row>
    <row r="374" spans="1:28" x14ac:dyDescent="0.45">
      <c r="A374" s="695"/>
      <c r="B374" s="1223"/>
      <c r="C374" s="1224" t="s">
        <v>53</v>
      </c>
      <c r="D374" s="1224"/>
      <c r="E374" s="1224"/>
      <c r="F374" s="1224"/>
      <c r="G374" s="1341"/>
      <c r="H374" s="1339">
        <v>0</v>
      </c>
      <c r="I374" s="1339">
        <v>0</v>
      </c>
      <c r="J374" s="1339">
        <v>0</v>
      </c>
      <c r="K374" s="1339">
        <v>0</v>
      </c>
      <c r="L374" s="1339">
        <v>0</v>
      </c>
      <c r="M374" s="1339">
        <v>0</v>
      </c>
      <c r="N374" s="1339">
        <v>0</v>
      </c>
      <c r="O374" s="1339">
        <v>0</v>
      </c>
      <c r="P374" s="1339">
        <v>0</v>
      </c>
      <c r="Q374" s="1339">
        <v>0</v>
      </c>
      <c r="R374" s="1339">
        <v>0</v>
      </c>
      <c r="S374" s="1339">
        <v>0</v>
      </c>
      <c r="T374" s="1339">
        <v>0</v>
      </c>
      <c r="U374" s="1339">
        <v>0</v>
      </c>
      <c r="V374" s="1339">
        <v>0</v>
      </c>
      <c r="W374" s="1339">
        <v>0</v>
      </c>
      <c r="X374" s="1339">
        <v>0</v>
      </c>
      <c r="Y374" s="1339">
        <v>0</v>
      </c>
      <c r="Z374" s="1339">
        <v>0</v>
      </c>
      <c r="AA374" s="1340">
        <v>0</v>
      </c>
      <c r="AB374" s="695"/>
    </row>
    <row r="375" spans="1:28" x14ac:dyDescent="0.45">
      <c r="A375" s="695"/>
      <c r="B375" s="1223"/>
      <c r="C375" s="1224"/>
      <c r="D375" s="1224"/>
      <c r="E375" s="1224"/>
      <c r="F375" s="1224"/>
      <c r="G375" s="1333"/>
      <c r="H375" s="1333"/>
      <c r="I375" s="1333"/>
      <c r="J375" s="1333"/>
      <c r="K375" s="1333"/>
      <c r="L375" s="1333"/>
      <c r="M375" s="1333"/>
      <c r="N375" s="1333"/>
      <c r="O375" s="1333"/>
      <c r="P375" s="1333"/>
      <c r="Q375" s="1333"/>
      <c r="R375" s="1333"/>
      <c r="S375" s="1333"/>
      <c r="T375" s="1333"/>
      <c r="U375" s="1333"/>
      <c r="V375" s="1333"/>
      <c r="W375" s="1333"/>
      <c r="X375" s="1333"/>
      <c r="Y375" s="1333"/>
      <c r="Z375" s="1333"/>
      <c r="AA375" s="1334"/>
      <c r="AB375" s="695"/>
    </row>
    <row r="376" spans="1:28" ht="13.15" x14ac:dyDescent="0.45">
      <c r="A376" s="695"/>
      <c r="B376" s="1223"/>
      <c r="C376" s="1224"/>
      <c r="D376" s="1224"/>
      <c r="E376" s="1224"/>
      <c r="F376" s="1254" t="s">
        <v>54</v>
      </c>
      <c r="G376" s="1342" t="s">
        <v>55</v>
      </c>
      <c r="H376" s="1333"/>
      <c r="I376" s="1333"/>
      <c r="J376" s="1333"/>
      <c r="K376" s="1333"/>
      <c r="L376" s="1333"/>
      <c r="M376" s="1333"/>
      <c r="N376" s="1333"/>
      <c r="O376" s="1333"/>
      <c r="P376" s="1333"/>
      <c r="Q376" s="1333"/>
      <c r="R376" s="1333"/>
      <c r="S376" s="1333"/>
      <c r="T376" s="1333"/>
      <c r="U376" s="1333"/>
      <c r="V376" s="1333"/>
      <c r="W376" s="1333"/>
      <c r="X376" s="1333"/>
      <c r="Y376" s="1333"/>
      <c r="Z376" s="1333"/>
      <c r="AA376" s="1334"/>
      <c r="AB376" s="695"/>
    </row>
    <row r="377" spans="1:28" x14ac:dyDescent="0.45">
      <c r="A377" s="695"/>
      <c r="B377" s="1223"/>
      <c r="C377" s="1224" t="s">
        <v>50</v>
      </c>
      <c r="D377" s="1224"/>
      <c r="E377" s="1224"/>
      <c r="F377" s="1343">
        <f>'III. Inputs, Renewable Energy'!V273</f>
        <v>0.95</v>
      </c>
      <c r="G377" s="1654">
        <f>'III. Inputs, Renewable Energy'!$U$14*'III. Inputs, Renewable Energy'!$U$15*F377</f>
        <v>505004530.07972938</v>
      </c>
      <c r="H377" s="1654">
        <f>$G$377*H373</f>
        <v>25250226.50398647</v>
      </c>
      <c r="I377" s="1654">
        <f t="shared" ref="I377:AA377" si="116">$G$377*I373</f>
        <v>25250226.50398647</v>
      </c>
      <c r="J377" s="1654">
        <f t="shared" si="116"/>
        <v>25250226.50398647</v>
      </c>
      <c r="K377" s="1654">
        <f t="shared" si="116"/>
        <v>25250226.50398647</v>
      </c>
      <c r="L377" s="1654">
        <f t="shared" si="116"/>
        <v>25250226.50398647</v>
      </c>
      <c r="M377" s="1654">
        <f t="shared" si="116"/>
        <v>25250226.50398647</v>
      </c>
      <c r="N377" s="1654">
        <f t="shared" si="116"/>
        <v>25250226.50398647</v>
      </c>
      <c r="O377" s="1654">
        <f t="shared" si="116"/>
        <v>25250226.50398647</v>
      </c>
      <c r="P377" s="1654">
        <f t="shared" si="116"/>
        <v>25250226.50398647</v>
      </c>
      <c r="Q377" s="1654">
        <f t="shared" si="116"/>
        <v>25250226.50398647</v>
      </c>
      <c r="R377" s="1654">
        <f t="shared" si="116"/>
        <v>25250226.50398647</v>
      </c>
      <c r="S377" s="1654">
        <f t="shared" si="116"/>
        <v>25250226.50398647</v>
      </c>
      <c r="T377" s="1654">
        <f t="shared" si="116"/>
        <v>25250226.50398647</v>
      </c>
      <c r="U377" s="1654">
        <f t="shared" si="116"/>
        <v>25250226.50398647</v>
      </c>
      <c r="V377" s="1654">
        <f t="shared" si="116"/>
        <v>25250226.50398647</v>
      </c>
      <c r="W377" s="1654">
        <f t="shared" si="116"/>
        <v>25250226.50398647</v>
      </c>
      <c r="X377" s="1654">
        <f t="shared" si="116"/>
        <v>25250226.50398647</v>
      </c>
      <c r="Y377" s="1654">
        <f t="shared" si="116"/>
        <v>25250226.50398647</v>
      </c>
      <c r="Z377" s="1654">
        <f t="shared" si="116"/>
        <v>25250226.50398647</v>
      </c>
      <c r="AA377" s="1655">
        <f t="shared" si="116"/>
        <v>25250226.50398647</v>
      </c>
      <c r="AB377" s="695"/>
    </row>
    <row r="378" spans="1:28" x14ac:dyDescent="0.45">
      <c r="A378" s="695"/>
      <c r="B378" s="1223"/>
      <c r="C378" s="1235" t="s">
        <v>16</v>
      </c>
      <c r="D378" s="1235"/>
      <c r="E378" s="1235"/>
      <c r="F378" s="1344">
        <f>'III. Inputs, Renewable Energy'!V274</f>
        <v>5.0000000000000044E-2</v>
      </c>
      <c r="G378" s="1656">
        <f>'III. Inputs, Renewable Energy'!$U$14*'III. Inputs, Renewable Energy'!$U$15*F378</f>
        <v>26579185.793669991</v>
      </c>
      <c r="H378" s="1656">
        <f>$G$378*H374</f>
        <v>0</v>
      </c>
      <c r="I378" s="1656">
        <f t="shared" ref="I378:AA378" si="117">$G$378*I374</f>
        <v>0</v>
      </c>
      <c r="J378" s="1656">
        <f t="shared" si="117"/>
        <v>0</v>
      </c>
      <c r="K378" s="1656">
        <f t="shared" si="117"/>
        <v>0</v>
      </c>
      <c r="L378" s="1656">
        <f t="shared" si="117"/>
        <v>0</v>
      </c>
      <c r="M378" s="1656">
        <f t="shared" si="117"/>
        <v>0</v>
      </c>
      <c r="N378" s="1656">
        <f t="shared" si="117"/>
        <v>0</v>
      </c>
      <c r="O378" s="1656">
        <f t="shared" si="117"/>
        <v>0</v>
      </c>
      <c r="P378" s="1656">
        <f t="shared" si="117"/>
        <v>0</v>
      </c>
      <c r="Q378" s="1656">
        <f t="shared" si="117"/>
        <v>0</v>
      </c>
      <c r="R378" s="1656">
        <f t="shared" si="117"/>
        <v>0</v>
      </c>
      <c r="S378" s="1656">
        <f t="shared" si="117"/>
        <v>0</v>
      </c>
      <c r="T378" s="1656">
        <f t="shared" si="117"/>
        <v>0</v>
      </c>
      <c r="U378" s="1656">
        <f t="shared" si="117"/>
        <v>0</v>
      </c>
      <c r="V378" s="1656">
        <f t="shared" si="117"/>
        <v>0</v>
      </c>
      <c r="W378" s="1656">
        <f t="shared" si="117"/>
        <v>0</v>
      </c>
      <c r="X378" s="1656">
        <f t="shared" si="117"/>
        <v>0</v>
      </c>
      <c r="Y378" s="1656">
        <f t="shared" si="117"/>
        <v>0</v>
      </c>
      <c r="Z378" s="1656">
        <f t="shared" si="117"/>
        <v>0</v>
      </c>
      <c r="AA378" s="1657">
        <f t="shared" si="117"/>
        <v>0</v>
      </c>
      <c r="AB378" s="695"/>
    </row>
    <row r="379" spans="1:28" x14ac:dyDescent="0.45">
      <c r="A379" s="695"/>
      <c r="B379" s="1223"/>
      <c r="C379" s="1224" t="s">
        <v>56</v>
      </c>
      <c r="D379" s="1224"/>
      <c r="E379" s="1224"/>
      <c r="F379" s="1224"/>
      <c r="G379" s="1654">
        <f>G377+G378</f>
        <v>531583715.87339938</v>
      </c>
      <c r="H379" s="1654">
        <f>H377+H378</f>
        <v>25250226.50398647</v>
      </c>
      <c r="I379" s="1654">
        <f t="shared" ref="I379:AA379" si="118">I377+I378</f>
        <v>25250226.50398647</v>
      </c>
      <c r="J379" s="1654">
        <f t="shared" si="118"/>
        <v>25250226.50398647</v>
      </c>
      <c r="K379" s="1654">
        <f t="shared" si="118"/>
        <v>25250226.50398647</v>
      </c>
      <c r="L379" s="1654">
        <f t="shared" si="118"/>
        <v>25250226.50398647</v>
      </c>
      <c r="M379" s="1654">
        <f t="shared" si="118"/>
        <v>25250226.50398647</v>
      </c>
      <c r="N379" s="1654">
        <f t="shared" si="118"/>
        <v>25250226.50398647</v>
      </c>
      <c r="O379" s="1654">
        <f t="shared" si="118"/>
        <v>25250226.50398647</v>
      </c>
      <c r="P379" s="1654">
        <f t="shared" si="118"/>
        <v>25250226.50398647</v>
      </c>
      <c r="Q379" s="1654">
        <f t="shared" si="118"/>
        <v>25250226.50398647</v>
      </c>
      <c r="R379" s="1654">
        <f t="shared" si="118"/>
        <v>25250226.50398647</v>
      </c>
      <c r="S379" s="1654">
        <f t="shared" si="118"/>
        <v>25250226.50398647</v>
      </c>
      <c r="T379" s="1654">
        <f t="shared" si="118"/>
        <v>25250226.50398647</v>
      </c>
      <c r="U379" s="1654">
        <f t="shared" si="118"/>
        <v>25250226.50398647</v>
      </c>
      <c r="V379" s="1654">
        <f t="shared" si="118"/>
        <v>25250226.50398647</v>
      </c>
      <c r="W379" s="1654">
        <f t="shared" si="118"/>
        <v>25250226.50398647</v>
      </c>
      <c r="X379" s="1654">
        <f t="shared" si="118"/>
        <v>25250226.50398647</v>
      </c>
      <c r="Y379" s="1654">
        <f t="shared" si="118"/>
        <v>25250226.50398647</v>
      </c>
      <c r="Z379" s="1654">
        <f t="shared" si="118"/>
        <v>25250226.50398647</v>
      </c>
      <c r="AA379" s="1655">
        <f t="shared" si="118"/>
        <v>25250226.50398647</v>
      </c>
      <c r="AB379" s="695"/>
    </row>
    <row r="380" spans="1:28" x14ac:dyDescent="0.45">
      <c r="A380" s="695"/>
      <c r="B380" s="1223"/>
      <c r="C380" s="1224"/>
      <c r="D380" s="1224"/>
      <c r="E380" s="1224"/>
      <c r="F380" s="1224"/>
      <c r="G380" s="1333"/>
      <c r="H380" s="1333"/>
      <c r="I380" s="1333"/>
      <c r="J380" s="1333"/>
      <c r="K380" s="1333"/>
      <c r="L380" s="1333"/>
      <c r="M380" s="1333"/>
      <c r="N380" s="1333"/>
      <c r="O380" s="1333"/>
      <c r="P380" s="1333"/>
      <c r="Q380" s="1333"/>
      <c r="R380" s="1333"/>
      <c r="S380" s="1333"/>
      <c r="T380" s="1333"/>
      <c r="U380" s="1333"/>
      <c r="V380" s="1333"/>
      <c r="W380" s="1333"/>
      <c r="X380" s="1333"/>
      <c r="Y380" s="1333"/>
      <c r="Z380" s="1333"/>
      <c r="AA380" s="1334"/>
      <c r="AB380" s="695"/>
    </row>
    <row r="381" spans="1:28" ht="13.15" thickBot="1" x14ac:dyDescent="0.5">
      <c r="A381" s="695"/>
      <c r="B381" s="1260"/>
      <c r="C381" s="1246"/>
      <c r="D381" s="1246"/>
      <c r="E381" s="1246"/>
      <c r="F381" s="1246"/>
      <c r="G381" s="1345"/>
      <c r="H381" s="1345"/>
      <c r="I381" s="1345"/>
      <c r="J381" s="1345"/>
      <c r="K381" s="1345"/>
      <c r="L381" s="1345"/>
      <c r="M381" s="1345"/>
      <c r="N381" s="1345"/>
      <c r="O381" s="1345"/>
      <c r="P381" s="1345"/>
      <c r="Q381" s="1345"/>
      <c r="R381" s="1345"/>
      <c r="S381" s="1345"/>
      <c r="T381" s="1345"/>
      <c r="U381" s="1345"/>
      <c r="V381" s="1345"/>
      <c r="W381" s="1345"/>
      <c r="X381" s="1345"/>
      <c r="Y381" s="1345"/>
      <c r="Z381" s="1345"/>
      <c r="AA381" s="1346"/>
      <c r="AB381" s="695"/>
    </row>
    <row r="382" spans="1:28" x14ac:dyDescent="0.45">
      <c r="A382" s="695"/>
      <c r="B382" s="695"/>
      <c r="C382" s="695"/>
      <c r="D382" s="695"/>
      <c r="E382" s="695"/>
      <c r="F382" s="1347"/>
      <c r="G382" s="695"/>
      <c r="H382" s="695"/>
      <c r="I382" s="695"/>
      <c r="J382" s="695"/>
      <c r="K382" s="695"/>
      <c r="L382" s="695"/>
      <c r="M382" s="695"/>
      <c r="N382" s="695"/>
      <c r="O382" s="695"/>
      <c r="P382" s="695"/>
      <c r="Q382" s="695"/>
      <c r="R382" s="695"/>
      <c r="S382" s="695"/>
      <c r="T382" s="695"/>
      <c r="U382" s="695"/>
      <c r="V382" s="695"/>
      <c r="W382" s="695"/>
      <c r="X382" s="695"/>
      <c r="Y382" s="695"/>
      <c r="Z382" s="695"/>
      <c r="AA382" s="695"/>
      <c r="AB382" s="695"/>
    </row>
    <row r="383" spans="1:28" hidden="1" x14ac:dyDescent="0.45"/>
    <row r="384" spans="1:28" hidden="1" x14ac:dyDescent="0.45"/>
    <row r="385" hidden="1" x14ac:dyDescent="0.45"/>
    <row r="386" hidden="1" x14ac:dyDescent="0.45"/>
    <row r="387" hidden="1" x14ac:dyDescent="0.45"/>
    <row r="388" hidden="1" x14ac:dyDescent="0.45"/>
    <row r="389" hidden="1" x14ac:dyDescent="0.45"/>
    <row r="390" hidden="1" x14ac:dyDescent="0.45"/>
  </sheetData>
  <sheetProtection formatCells="0" formatColumns="0" formatRows="0" insertColumns="0" insertRows="0"/>
  <pageMargins left="0.7" right="0.7" top="0.75" bottom="0.75" header="0.3" footer="0.3"/>
  <pageSetup scale="30" fitToHeight="0" orientation="landscape" horizontalDpi="4294967293" r:id="rId1"/>
  <headerFooter>
    <oddFooter>&amp;L&amp;A&amp;R&amp;P of &amp;N</oddFooter>
  </headerFooter>
  <rowBreaks count="2" manualBreakCount="2">
    <brk id="192" max="16383" man="1"/>
    <brk id="272" max="1638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390"/>
  <sheetViews>
    <sheetView zoomScale="75" zoomScaleNormal="75" workbookViewId="0">
      <pane ySplit="16" topLeftCell="A17" activePane="bottomLeft" state="frozen"/>
      <selection pane="bottomLeft"/>
    </sheetView>
  </sheetViews>
  <sheetFormatPr defaultColWidth="0" defaultRowHeight="12.75" zeroHeight="1" outlineLevelRow="1" x14ac:dyDescent="0.35"/>
  <cols>
    <col min="1" max="2" width="1.86328125" style="180" customWidth="1"/>
    <col min="3" max="3" width="41.86328125" style="180" bestFit="1" customWidth="1"/>
    <col min="4" max="4" width="9.1328125" style="180" customWidth="1"/>
    <col min="5" max="5" width="16.265625" style="180" customWidth="1"/>
    <col min="6" max="6" width="16" style="180" bestFit="1" customWidth="1"/>
    <col min="7" max="7" width="18.3984375" style="180" bestFit="1" customWidth="1"/>
    <col min="8" max="27" width="15.1328125" style="180" customWidth="1"/>
    <col min="28" max="28" width="2.73046875" style="1368" customWidth="1"/>
    <col min="29" max="16384" width="0" style="180" hidden="1"/>
  </cols>
  <sheetData>
    <row r="1" spans="1:28" s="200" customFormat="1" x14ac:dyDescent="0.35">
      <c r="A1" s="1354" t="s">
        <v>584</v>
      </c>
      <c r="B1" s="1368"/>
      <c r="C1" s="1368"/>
      <c r="D1" s="1368"/>
      <c r="E1" s="1368"/>
      <c r="F1" s="1368"/>
      <c r="G1" s="1368"/>
      <c r="H1" s="1368"/>
      <c r="I1" s="1368"/>
      <c r="J1" s="1368"/>
      <c r="K1" s="1368"/>
      <c r="L1" s="1368"/>
      <c r="M1" s="1368"/>
      <c r="N1" s="1368"/>
      <c r="O1" s="1368"/>
      <c r="P1" s="1368"/>
      <c r="Q1" s="1368"/>
      <c r="R1" s="1368"/>
      <c r="S1" s="1368"/>
      <c r="T1" s="1368"/>
      <c r="U1" s="1368"/>
      <c r="V1" s="1368"/>
      <c r="W1" s="1368"/>
      <c r="X1" s="1368"/>
      <c r="Y1" s="1368"/>
      <c r="Z1" s="1368"/>
      <c r="AA1" s="1368"/>
      <c r="AB1" s="1368"/>
    </row>
    <row r="2" spans="1:28" s="200" customFormat="1" x14ac:dyDescent="0.35">
      <c r="A2" s="1368"/>
      <c r="B2" s="1368"/>
      <c r="C2" s="1368"/>
      <c r="D2" s="1368"/>
      <c r="E2" s="1368"/>
      <c r="F2" s="1368"/>
      <c r="G2" s="1368"/>
      <c r="H2" s="1368"/>
      <c r="I2" s="1368"/>
      <c r="J2" s="1368"/>
      <c r="K2" s="1368"/>
      <c r="L2" s="1368"/>
      <c r="M2" s="1368"/>
      <c r="N2" s="1368"/>
      <c r="O2" s="1368"/>
      <c r="P2" s="1368"/>
      <c r="Q2" s="1368"/>
      <c r="R2" s="1368"/>
      <c r="S2" s="1368"/>
      <c r="T2" s="1368"/>
      <c r="U2" s="1368"/>
      <c r="V2" s="1368"/>
      <c r="W2" s="1368"/>
      <c r="X2" s="1368"/>
      <c r="Y2" s="1368"/>
      <c r="Z2" s="1368"/>
      <c r="AA2" s="1368"/>
      <c r="AB2" s="1368"/>
    </row>
    <row r="3" spans="1:28" s="19" customFormat="1" ht="13.15" x14ac:dyDescent="0.4">
      <c r="A3" s="5" t="s">
        <v>393</v>
      </c>
      <c r="B3" s="5"/>
      <c r="C3" s="5"/>
      <c r="D3" s="5"/>
      <c r="E3" s="5"/>
      <c r="F3" s="5"/>
      <c r="G3" s="5"/>
      <c r="H3" s="5"/>
      <c r="I3" s="5"/>
      <c r="J3" s="5"/>
      <c r="K3" s="6"/>
      <c r="L3" s="6"/>
      <c r="M3" s="7"/>
      <c r="N3" s="7"/>
      <c r="O3" s="6"/>
      <c r="P3" s="6"/>
      <c r="Q3" s="6"/>
      <c r="R3" s="6"/>
      <c r="S3" s="6"/>
      <c r="T3" s="6"/>
      <c r="U3" s="6"/>
      <c r="V3" s="6"/>
      <c r="W3" s="6"/>
      <c r="X3" s="6"/>
      <c r="Y3" s="6"/>
      <c r="Z3" s="6"/>
      <c r="AA3" s="6"/>
      <c r="AB3" s="1475"/>
    </row>
    <row r="4" spans="1:28" s="199" customFormat="1" ht="12.75" customHeight="1" x14ac:dyDescent="0.35">
      <c r="A4" s="1363"/>
      <c r="B4" s="1363"/>
      <c r="C4" s="1363"/>
      <c r="D4" s="1363"/>
      <c r="E4" s="1363"/>
      <c r="F4" s="1363"/>
      <c r="G4" s="1509"/>
      <c r="H4" s="1509"/>
      <c r="I4" s="1363"/>
      <c r="J4" s="1363"/>
      <c r="K4" s="1363"/>
      <c r="L4" s="1363"/>
      <c r="M4" s="1363"/>
      <c r="N4" s="1363"/>
      <c r="O4" s="1363"/>
      <c r="P4" s="1363"/>
      <c r="Q4" s="709"/>
      <c r="R4" s="709"/>
      <c r="S4" s="709"/>
      <c r="T4" s="1363"/>
      <c r="U4" s="1363"/>
      <c r="V4" s="1495"/>
      <c r="W4" s="1495"/>
      <c r="X4" s="1495"/>
      <c r="Y4" s="1495"/>
      <c r="Z4" s="1495"/>
      <c r="AA4" s="1495"/>
      <c r="AB4" s="1363"/>
    </row>
    <row r="5" spans="1:28" s="199" customFormat="1" ht="12.75" customHeight="1" x14ac:dyDescent="0.35">
      <c r="A5" s="1363"/>
      <c r="B5" s="1363" t="s">
        <v>182</v>
      </c>
      <c r="C5" s="1363"/>
      <c r="D5" s="1363"/>
      <c r="E5" s="1363"/>
      <c r="F5" s="1363"/>
      <c r="G5" s="1363"/>
      <c r="H5" s="1363"/>
      <c r="I5" s="1363"/>
      <c r="J5" s="1363"/>
      <c r="K5" s="1363"/>
      <c r="L5" s="1363"/>
      <c r="M5" s="1363"/>
      <c r="N5" s="1363"/>
      <c r="O5" s="1363"/>
      <c r="P5" s="1363"/>
      <c r="Q5" s="1363"/>
      <c r="R5" s="1363"/>
      <c r="S5" s="1363"/>
      <c r="T5" s="1363"/>
      <c r="U5" s="1363"/>
      <c r="V5" s="1363"/>
      <c r="W5" s="1363"/>
      <c r="X5" s="1363"/>
      <c r="Y5" s="1363"/>
      <c r="Z5" s="1363"/>
      <c r="AA5" s="1363"/>
      <c r="AB5" s="1363"/>
    </row>
    <row r="6" spans="1:28" s="199" customFormat="1" ht="12.75" customHeight="1" x14ac:dyDescent="0.35">
      <c r="A6" s="1363"/>
      <c r="B6" s="1363"/>
      <c r="C6" s="1363" t="s">
        <v>401</v>
      </c>
      <c r="D6" s="1363"/>
      <c r="E6" s="1363"/>
      <c r="F6" s="1363"/>
      <c r="G6" s="1363"/>
      <c r="H6" s="1363"/>
      <c r="I6" s="1363"/>
      <c r="J6" s="1363"/>
      <c r="K6" s="1363"/>
      <c r="L6" s="1363"/>
      <c r="M6" s="1363"/>
      <c r="N6" s="1363"/>
      <c r="O6" s="1363"/>
      <c r="P6" s="1363"/>
      <c r="Q6" s="1363"/>
      <c r="R6" s="1363"/>
      <c r="S6" s="1363"/>
      <c r="T6" s="1497"/>
      <c r="U6" s="1363"/>
      <c r="V6" s="1363"/>
      <c r="W6" s="1497"/>
      <c r="X6" s="1497"/>
      <c r="Y6" s="1497"/>
      <c r="Z6" s="1497"/>
      <c r="AA6" s="1497"/>
      <c r="AB6" s="1363"/>
    </row>
    <row r="7" spans="1:28" s="199" customFormat="1" ht="12.75" customHeight="1" x14ac:dyDescent="0.35">
      <c r="A7" s="1363"/>
      <c r="B7" s="1363"/>
      <c r="C7" s="1363" t="s">
        <v>402</v>
      </c>
      <c r="D7" s="1363"/>
      <c r="E7" s="1363"/>
      <c r="F7" s="1363"/>
      <c r="G7" s="1363"/>
      <c r="H7" s="1510"/>
      <c r="I7" s="1363"/>
      <c r="J7" s="1363"/>
      <c r="K7" s="1363"/>
      <c r="L7" s="1363"/>
      <c r="M7" s="1363"/>
      <c r="N7" s="1363"/>
      <c r="O7" s="1363"/>
      <c r="P7" s="1363"/>
      <c r="Q7" s="1363"/>
      <c r="R7" s="1363"/>
      <c r="S7" s="1363"/>
      <c r="T7" s="1497"/>
      <c r="U7" s="1363"/>
      <c r="V7" s="1363"/>
      <c r="W7" s="1497"/>
      <c r="X7" s="1497"/>
      <c r="Y7" s="1497"/>
      <c r="Z7" s="1497"/>
      <c r="AA7" s="1497"/>
      <c r="AB7" s="1363"/>
    </row>
    <row r="8" spans="1:28" s="199" customFormat="1" ht="12.75" customHeight="1" x14ac:dyDescent="0.35">
      <c r="A8" s="1363"/>
      <c r="B8" s="1363"/>
      <c r="C8" s="1363" t="s">
        <v>283</v>
      </c>
      <c r="D8" s="1363"/>
      <c r="E8" s="1363"/>
      <c r="F8" s="1363"/>
      <c r="G8" s="1363"/>
      <c r="H8" s="1510"/>
      <c r="I8" s="1363"/>
      <c r="J8" s="1363"/>
      <c r="K8" s="1363"/>
      <c r="L8" s="1363"/>
      <c r="M8" s="1363"/>
      <c r="N8" s="1363"/>
      <c r="O8" s="1363"/>
      <c r="P8" s="1363"/>
      <c r="Q8" s="1363"/>
      <c r="R8" s="1363"/>
      <c r="S8" s="1363"/>
      <c r="T8" s="1496"/>
      <c r="U8" s="1363"/>
      <c r="V8" s="1363"/>
      <c r="W8" s="1496"/>
      <c r="X8" s="1496"/>
      <c r="Y8" s="1496"/>
      <c r="Z8" s="1496"/>
      <c r="AA8" s="1496"/>
      <c r="AB8" s="1363"/>
    </row>
    <row r="9" spans="1:28" s="199" customFormat="1" x14ac:dyDescent="0.35">
      <c r="A9" s="1363"/>
      <c r="B9" s="1363"/>
      <c r="C9" s="1363" t="s">
        <v>227</v>
      </c>
      <c r="D9" s="1363"/>
      <c r="E9" s="1363"/>
      <c r="F9" s="1363"/>
      <c r="G9" s="1363"/>
      <c r="H9" s="1363"/>
      <c r="I9" s="1363"/>
      <c r="J9" s="1363"/>
      <c r="K9" s="1363"/>
      <c r="L9" s="1363"/>
      <c r="M9" s="1363"/>
      <c r="N9" s="1363"/>
      <c r="O9" s="1363"/>
      <c r="P9" s="1363"/>
      <c r="Q9" s="709"/>
      <c r="R9" s="709"/>
      <c r="S9" s="709"/>
      <c r="T9" s="1363"/>
      <c r="U9" s="1363"/>
      <c r="V9" s="1363"/>
      <c r="W9" s="1363"/>
      <c r="X9" s="1363"/>
      <c r="Y9" s="1363"/>
      <c r="Z9" s="1363"/>
      <c r="AA9" s="1363"/>
      <c r="AB9" s="1363"/>
    </row>
    <row r="10" spans="1:28" s="199" customFormat="1" ht="12.75" customHeight="1" x14ac:dyDescent="0.35">
      <c r="A10" s="1363"/>
      <c r="B10" s="1363"/>
      <c r="C10" s="1363"/>
      <c r="D10" s="1363"/>
      <c r="E10" s="1363"/>
      <c r="F10" s="1363"/>
      <c r="G10" s="1363"/>
      <c r="H10" s="1363"/>
      <c r="I10" s="1363"/>
      <c r="J10" s="1363"/>
      <c r="K10" s="1363"/>
      <c r="L10" s="1363"/>
      <c r="M10" s="1363"/>
      <c r="N10" s="1363"/>
      <c r="O10" s="1363"/>
      <c r="P10" s="1363"/>
      <c r="Q10" s="709"/>
      <c r="R10" s="709"/>
      <c r="S10" s="709"/>
      <c r="T10" s="1363"/>
      <c r="U10" s="1363"/>
      <c r="V10" s="1363"/>
      <c r="W10" s="1363"/>
      <c r="X10" s="1363"/>
      <c r="Y10" s="1363"/>
      <c r="Z10" s="1363"/>
      <c r="AA10" s="1363"/>
      <c r="AB10" s="1363"/>
    </row>
    <row r="11" spans="1:28" s="199" customFormat="1" ht="12.75" customHeight="1" x14ac:dyDescent="0.4">
      <c r="A11" s="13" t="s">
        <v>394</v>
      </c>
      <c r="B11" s="13"/>
      <c r="C11" s="13"/>
      <c r="D11" s="13"/>
      <c r="E11" s="13"/>
      <c r="F11" s="13"/>
      <c r="G11" s="13"/>
      <c r="H11" s="13"/>
      <c r="I11" s="13"/>
      <c r="J11" s="14"/>
      <c r="K11" s="15"/>
      <c r="L11" s="15"/>
      <c r="M11" s="15"/>
      <c r="N11" s="15"/>
      <c r="O11" s="15"/>
      <c r="P11" s="15"/>
      <c r="Q11" s="15"/>
      <c r="R11" s="15"/>
      <c r="S11" s="15"/>
      <c r="T11" s="15"/>
      <c r="U11" s="15"/>
      <c r="V11" s="15"/>
      <c r="W11" s="15"/>
      <c r="X11" s="15"/>
      <c r="Y11" s="15"/>
      <c r="Z11" s="15"/>
      <c r="AA11" s="15"/>
      <c r="AB11" s="1363"/>
    </row>
    <row r="12" spans="1:28" s="200" customFormat="1" x14ac:dyDescent="0.35">
      <c r="A12" s="1368"/>
      <c r="B12" s="1368"/>
      <c r="C12" s="1492"/>
      <c r="D12" s="1368"/>
      <c r="E12" s="1368"/>
      <c r="F12" s="1368"/>
      <c r="G12" s="1368"/>
      <c r="H12" s="1368"/>
      <c r="I12" s="1368"/>
      <c r="J12" s="1368"/>
      <c r="K12" s="1368"/>
      <c r="L12" s="1368"/>
      <c r="M12" s="1368"/>
      <c r="N12" s="1368"/>
      <c r="O12" s="1368"/>
      <c r="P12" s="1368"/>
      <c r="Q12" s="1368"/>
      <c r="R12" s="1368"/>
      <c r="S12" s="1368"/>
      <c r="T12" s="1368"/>
      <c r="U12" s="1368"/>
      <c r="V12" s="1368"/>
      <c r="W12" s="1368"/>
      <c r="X12" s="1368"/>
      <c r="Y12" s="1368"/>
      <c r="Z12" s="1368"/>
      <c r="AA12" s="1368"/>
      <c r="AB12" s="1368"/>
    </row>
    <row r="13" spans="1:28" s="200" customFormat="1" ht="13.5" thickBot="1" x14ac:dyDescent="0.45">
      <c r="A13" s="1368"/>
      <c r="B13" s="1364"/>
      <c r="C13" s="1368"/>
      <c r="D13" s="1368"/>
      <c r="E13" s="1368"/>
      <c r="F13" s="1368"/>
      <c r="G13" s="1368"/>
      <c r="H13" s="1368"/>
      <c r="I13" s="1368"/>
      <c r="J13" s="1368"/>
      <c r="K13" s="1368"/>
      <c r="L13" s="1368"/>
      <c r="M13" s="1368"/>
      <c r="N13" s="1368"/>
      <c r="O13" s="1368"/>
      <c r="P13" s="1368"/>
      <c r="Q13" s="1368"/>
      <c r="R13" s="1368"/>
      <c r="S13" s="1368"/>
      <c r="T13" s="1368"/>
      <c r="U13" s="1368"/>
      <c r="V13" s="1368"/>
      <c r="W13" s="1368"/>
      <c r="X13" s="1368"/>
      <c r="Y13" s="1368"/>
      <c r="Z13" s="1368"/>
      <c r="AA13" s="1368"/>
      <c r="AB13" s="1368"/>
    </row>
    <row r="14" spans="1:28" s="200" customFormat="1" ht="13.15" x14ac:dyDescent="0.4">
      <c r="A14" s="1368"/>
      <c r="B14" s="40" t="s">
        <v>395</v>
      </c>
      <c r="C14" s="41"/>
      <c r="D14" s="41"/>
      <c r="E14" s="41"/>
      <c r="F14" s="41"/>
      <c r="G14" s="41"/>
      <c r="H14" s="41"/>
      <c r="I14" s="41"/>
      <c r="J14" s="41"/>
      <c r="K14" s="41"/>
      <c r="L14" s="41"/>
      <c r="M14" s="41"/>
      <c r="N14" s="41"/>
      <c r="O14" s="41"/>
      <c r="P14" s="41"/>
      <c r="Q14" s="41"/>
      <c r="R14" s="41"/>
      <c r="S14" s="41"/>
      <c r="T14" s="41"/>
      <c r="U14" s="41"/>
      <c r="V14" s="41"/>
      <c r="W14" s="41"/>
      <c r="X14" s="41"/>
      <c r="Y14" s="41"/>
      <c r="Z14" s="41"/>
      <c r="AA14" s="42"/>
      <c r="AB14" s="1368"/>
    </row>
    <row r="15" spans="1:28" s="200" customFormat="1" x14ac:dyDescent="0.35">
      <c r="A15" s="1368"/>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5"/>
      <c r="AB15" s="1368"/>
    </row>
    <row r="16" spans="1:28" s="200" customFormat="1" ht="13.15" x14ac:dyDescent="0.4">
      <c r="A16" s="1368"/>
      <c r="B16" s="46" t="s">
        <v>51</v>
      </c>
      <c r="C16" s="47"/>
      <c r="D16" s="47"/>
      <c r="E16" s="48"/>
      <c r="F16" s="47"/>
      <c r="G16" s="48">
        <v>0</v>
      </c>
      <c r="H16" s="48">
        <v>1</v>
      </c>
      <c r="I16" s="48">
        <v>2</v>
      </c>
      <c r="J16" s="48">
        <v>3</v>
      </c>
      <c r="K16" s="48">
        <v>4</v>
      </c>
      <c r="L16" s="48">
        <v>5</v>
      </c>
      <c r="M16" s="48">
        <v>6</v>
      </c>
      <c r="N16" s="48">
        <v>7</v>
      </c>
      <c r="O16" s="48">
        <v>8</v>
      </c>
      <c r="P16" s="48">
        <v>9</v>
      </c>
      <c r="Q16" s="48">
        <v>10</v>
      </c>
      <c r="R16" s="48">
        <v>11</v>
      </c>
      <c r="S16" s="48">
        <v>12</v>
      </c>
      <c r="T16" s="48">
        <v>13</v>
      </c>
      <c r="U16" s="48">
        <v>14</v>
      </c>
      <c r="V16" s="48">
        <v>15</v>
      </c>
      <c r="W16" s="48">
        <v>16</v>
      </c>
      <c r="X16" s="48">
        <v>17</v>
      </c>
      <c r="Y16" s="48">
        <v>18</v>
      </c>
      <c r="Z16" s="48">
        <v>19</v>
      </c>
      <c r="AA16" s="49">
        <v>20</v>
      </c>
      <c r="AB16" s="1368"/>
    </row>
    <row r="17" spans="1:28" s="200" customFormat="1" x14ac:dyDescent="0.35">
      <c r="A17" s="1368"/>
      <c r="B17" s="43"/>
      <c r="C17" s="44"/>
      <c r="D17" s="44"/>
      <c r="E17" s="44"/>
      <c r="F17" s="44"/>
      <c r="G17" s="44"/>
      <c r="H17" s="44"/>
      <c r="I17" s="44"/>
      <c r="J17" s="44"/>
      <c r="K17" s="44"/>
      <c r="L17" s="44"/>
      <c r="M17" s="44"/>
      <c r="N17" s="44"/>
      <c r="O17" s="44"/>
      <c r="P17" s="44"/>
      <c r="Q17" s="44"/>
      <c r="R17" s="44"/>
      <c r="S17" s="44"/>
      <c r="T17" s="44"/>
      <c r="U17" s="44"/>
      <c r="V17" s="44"/>
      <c r="W17" s="44"/>
      <c r="X17" s="44"/>
      <c r="Y17" s="44"/>
      <c r="Z17" s="44"/>
      <c r="AA17" s="45"/>
      <c r="AB17" s="1368"/>
    </row>
    <row r="18" spans="1:28" s="200" customFormat="1" x14ac:dyDescent="0.35">
      <c r="A18" s="1368"/>
      <c r="B18" s="43" t="s">
        <v>653</v>
      </c>
      <c r="C18" s="44"/>
      <c r="D18" s="44"/>
      <c r="E18" s="37"/>
      <c r="F18" s="44"/>
      <c r="G18" s="166">
        <v>1</v>
      </c>
      <c r="H18" s="166">
        <f>IF(H$16&gt;'III. Inputs, Renewable Energy'!$U$16,0, $G$18*(1-'III. Inputs, Renewable Energy'!$U$259)^H16)</f>
        <v>0.995</v>
      </c>
      <c r="I18" s="166">
        <f>IF(I$16&gt;'III. Inputs, Renewable Energy'!$U$16,0, $G$18*(1-'III. Inputs, Renewable Energy'!$U$259)^I16)</f>
        <v>0.99002500000000004</v>
      </c>
      <c r="J18" s="166">
        <f>IF(J$16&gt;'III. Inputs, Renewable Energy'!$U$16,0, $G$18*(1-'III. Inputs, Renewable Energy'!$U$259)^J16)</f>
        <v>0.98507487500000002</v>
      </c>
      <c r="K18" s="166">
        <f>IF(K$16&gt;'III. Inputs, Renewable Energy'!$U$16,0, $G$18*(1-'III. Inputs, Renewable Energy'!$U$259)^K16)</f>
        <v>0.98014950062500006</v>
      </c>
      <c r="L18" s="166">
        <f>IF(L$16&gt;'III. Inputs, Renewable Energy'!$U$16,0, $G$18*(1-'III. Inputs, Renewable Energy'!$U$259)^L16)</f>
        <v>0.97524875312187509</v>
      </c>
      <c r="M18" s="166">
        <f>IF(M$16&gt;'III. Inputs, Renewable Energy'!$U$16,0, $G$18*(1-'III. Inputs, Renewable Energy'!$U$259)^M16)</f>
        <v>0.97037250935626573</v>
      </c>
      <c r="N18" s="166">
        <f>IF(N$16&gt;'III. Inputs, Renewable Energy'!$U$16,0, $G$18*(1-'III. Inputs, Renewable Energy'!$U$259)^N16)</f>
        <v>0.96552064680948435</v>
      </c>
      <c r="O18" s="166">
        <f>IF(O$16&gt;'III. Inputs, Renewable Energy'!$U$16,0, $G$18*(1-'III. Inputs, Renewable Energy'!$U$259)^O16)</f>
        <v>0.96069304357543694</v>
      </c>
      <c r="P18" s="166">
        <f>IF(P$16&gt;'III. Inputs, Renewable Energy'!$U$16,0, $G$18*(1-'III. Inputs, Renewable Energy'!$U$259)^P16)</f>
        <v>0.95588957835755972</v>
      </c>
      <c r="Q18" s="166">
        <f>IF(Q$16&gt;'III. Inputs, Renewable Energy'!$U$16,0, $G$18*(1-'III. Inputs, Renewable Energy'!$U$259)^Q16)</f>
        <v>0.95111013046577197</v>
      </c>
      <c r="R18" s="166">
        <f>IF(R$16&gt;'III. Inputs, Renewable Energy'!$U$16,0, $G$18*(1-'III. Inputs, Renewable Energy'!$U$259)^R16)</f>
        <v>0.94635457981344306</v>
      </c>
      <c r="S18" s="166">
        <f>IF(S$16&gt;'III. Inputs, Renewable Energy'!$U$16,0, $G$18*(1-'III. Inputs, Renewable Energy'!$U$259)^S16)</f>
        <v>0.94162280691437594</v>
      </c>
      <c r="T18" s="166">
        <f>IF(T$16&gt;'III. Inputs, Renewable Energy'!$U$16,0, $G$18*(1-'III. Inputs, Renewable Energy'!$U$259)^T16)</f>
        <v>0.93691469287980411</v>
      </c>
      <c r="U18" s="166">
        <f>IF(U$16&gt;'III. Inputs, Renewable Energy'!$U$16,0, $G$18*(1-'III. Inputs, Renewable Energy'!$U$259)^U16)</f>
        <v>0.93223011941540512</v>
      </c>
      <c r="V18" s="166">
        <f>IF(V$16&gt;'III. Inputs, Renewable Energy'!$U$16,0, $G$18*(1-'III. Inputs, Renewable Energy'!$U$259)^V16)</f>
        <v>0.92756896881832807</v>
      </c>
      <c r="W18" s="166">
        <f>IF(W$16&gt;'III. Inputs, Renewable Energy'!$U$16,0, $G$18*(1-'III. Inputs, Renewable Energy'!$U$259)^W16)</f>
        <v>0.92293112397423638</v>
      </c>
      <c r="X18" s="166">
        <f>IF(X$16&gt;'III. Inputs, Renewable Energy'!$U$16,0, $G$18*(1-'III. Inputs, Renewable Energy'!$U$259)^X16)</f>
        <v>0.9183164683543652</v>
      </c>
      <c r="Y18" s="166">
        <f>IF(Y$16&gt;'III. Inputs, Renewable Energy'!$U$16,0, $G$18*(1-'III. Inputs, Renewable Energy'!$U$259)^Y16)</f>
        <v>0.91372488601259338</v>
      </c>
      <c r="Z18" s="166">
        <f>IF(Z$16&gt;'III. Inputs, Renewable Energy'!$U$16,0, $G$18*(1-'III. Inputs, Renewable Energy'!$U$259)^Z16)</f>
        <v>0.90915626158253038</v>
      </c>
      <c r="AA18" s="304">
        <f>IF(AA$16&gt;'III. Inputs, Renewable Energy'!$U$16,0, $G$18*(1-'III. Inputs, Renewable Energy'!$U$259)^AA16)</f>
        <v>0.90461048027461777</v>
      </c>
      <c r="AB18" s="1368"/>
    </row>
    <row r="19" spans="1:28" s="200" customFormat="1" ht="4.5" customHeight="1" x14ac:dyDescent="0.35">
      <c r="A19" s="1368"/>
      <c r="B19" s="43"/>
      <c r="C19" s="44"/>
      <c r="D19" s="44"/>
      <c r="E19" s="37"/>
      <c r="F19" s="44"/>
      <c r="G19" s="44"/>
      <c r="H19" s="44"/>
      <c r="I19" s="44"/>
      <c r="J19" s="44"/>
      <c r="K19" s="44"/>
      <c r="L19" s="44"/>
      <c r="M19" s="44"/>
      <c r="N19" s="44"/>
      <c r="O19" s="44"/>
      <c r="P19" s="44"/>
      <c r="Q19" s="44"/>
      <c r="R19" s="44"/>
      <c r="S19" s="44"/>
      <c r="T19" s="44"/>
      <c r="U19" s="44"/>
      <c r="V19" s="44"/>
      <c r="W19" s="44"/>
      <c r="X19" s="44"/>
      <c r="Y19" s="44"/>
      <c r="Z19" s="44"/>
      <c r="AA19" s="45"/>
      <c r="AB19" s="1368"/>
    </row>
    <row r="20" spans="1:28" s="200" customFormat="1" x14ac:dyDescent="0.35">
      <c r="A20" s="1368"/>
      <c r="B20" s="43" t="s">
        <v>85</v>
      </c>
      <c r="C20" s="44"/>
      <c r="D20" s="44"/>
      <c r="E20" s="44"/>
      <c r="F20" s="37" t="s">
        <v>86</v>
      </c>
      <c r="G20" s="44"/>
      <c r="H20" s="50">
        <f>IF(H$16&gt;'III. Inputs, Renewable Energy'!$U$16, 0, 'III. Inputs, Renewable Energy'!$U$14*'III. Inputs, Renewable Energy'!$U$257*(G18+H18)/2)</f>
        <v>1415484.8190000001</v>
      </c>
      <c r="I20" s="50">
        <f>IF(I$16&gt;'III. Inputs, Renewable Energy'!$U$16, 0, 'III. Inputs, Renewable Energy'!$U$14*'III. Inputs, Renewable Energy'!$U$257*(H18+I18)/2)</f>
        <v>1408407.3949050002</v>
      </c>
      <c r="J20" s="50">
        <f>IF(J$16&gt;'III. Inputs, Renewable Energy'!$U$16, 0, 'III. Inputs, Renewable Energy'!$U$14*'III. Inputs, Renewable Energy'!$U$257*(I18+J18)/2)</f>
        <v>1401365.3579304751</v>
      </c>
      <c r="K20" s="50">
        <f>IF(K$16&gt;'III. Inputs, Renewable Energy'!$U$16, 0, 'III. Inputs, Renewable Energy'!$U$14*'III. Inputs, Renewable Energy'!$U$257*(J18+K18)/2)</f>
        <v>1394358.5311408229</v>
      </c>
      <c r="L20" s="50">
        <f>IF(L$16&gt;'III. Inputs, Renewable Energy'!$U$16, 0, 'III. Inputs, Renewable Energy'!$U$14*'III. Inputs, Renewable Energy'!$U$257*(K18+L18)/2)</f>
        <v>1387386.7384851188</v>
      </c>
      <c r="M20" s="50">
        <f>IF(M$16&gt;'III. Inputs, Renewable Energy'!$U$16, 0, 'III. Inputs, Renewable Energy'!$U$14*'III. Inputs, Renewable Energy'!$U$257*(L18+M18)/2)</f>
        <v>1380449.8047926931</v>
      </c>
      <c r="N20" s="50">
        <f>IF(N$16&gt;'III. Inputs, Renewable Energy'!$U$16, 0, 'III. Inputs, Renewable Energy'!$U$14*'III. Inputs, Renewable Energy'!$U$257*(M18+N18)/2)</f>
        <v>1373547.5557687299</v>
      </c>
      <c r="O20" s="50">
        <f>IF(O$16&gt;'III. Inputs, Renewable Energy'!$U$16, 0, 'III. Inputs, Renewable Energy'!$U$14*'III. Inputs, Renewable Energy'!$U$257*(N18+O18)/2)</f>
        <v>1366679.817989886</v>
      </c>
      <c r="P20" s="50">
        <f>IF(P$16&gt;'III. Inputs, Renewable Energy'!$U$16, 0, 'III. Inputs, Renewable Energy'!$U$14*'III. Inputs, Renewable Energy'!$U$257*(O18+P18)/2)</f>
        <v>1359846.4188999366</v>
      </c>
      <c r="Q20" s="50">
        <f>IF(Q$16&gt;'III. Inputs, Renewable Energy'!$U$16, 0, 'III. Inputs, Renewable Energy'!$U$14*'III. Inputs, Renewable Energy'!$U$257*(P18+Q18)/2)</f>
        <v>1353047.1868054369</v>
      </c>
      <c r="R20" s="50">
        <f>IF(R$16&gt;'III. Inputs, Renewable Energy'!$U$16, 0, 'III. Inputs, Renewable Energy'!$U$14*'III. Inputs, Renewable Energy'!$U$257*(Q18+R18)/2)</f>
        <v>1346281.9508714096</v>
      </c>
      <c r="S20" s="50">
        <f>IF(S$16&gt;'III. Inputs, Renewable Energy'!$U$16, 0, 'III. Inputs, Renewable Energy'!$U$14*'III. Inputs, Renewable Energy'!$U$257*(R18+S18)/2)</f>
        <v>1339550.5411170525</v>
      </c>
      <c r="T20" s="50">
        <f>IF(T$16&gt;'III. Inputs, Renewable Energy'!$U$16, 0, 'III. Inputs, Renewable Energy'!$U$14*'III. Inputs, Renewable Energy'!$U$257*(S18+T18)/2)</f>
        <v>1332852.7884114676</v>
      </c>
      <c r="U20" s="50">
        <f>IF(U$16&gt;'III. Inputs, Renewable Energy'!$U$16, 0, 'III. Inputs, Renewable Energy'!$U$14*'III. Inputs, Renewable Energy'!$U$257*(T18+U18)/2)</f>
        <v>1326188.5244694103</v>
      </c>
      <c r="V20" s="50">
        <f>IF(V$16&gt;'III. Inputs, Renewable Energy'!$U$16, 0, 'III. Inputs, Renewable Energy'!$U$14*'III. Inputs, Renewable Energy'!$U$257*(U18+V18)/2)</f>
        <v>1319557.5818470633</v>
      </c>
      <c r="W20" s="50">
        <f>IF(W$16&gt;'III. Inputs, Renewable Energy'!$U$16, 0, 'III. Inputs, Renewable Energy'!$U$14*'III. Inputs, Renewable Energy'!$U$257*(V18+W18)/2)</f>
        <v>1312959.7939378279</v>
      </c>
      <c r="X20" s="50">
        <f>IF(X$16&gt;'III. Inputs, Renewable Energy'!$U$16, 0, 'III. Inputs, Renewable Energy'!$U$14*'III. Inputs, Renewable Energy'!$U$257*(W18+X18)/2)</f>
        <v>1306394.9949681386</v>
      </c>
      <c r="Y20" s="50">
        <f>IF(Y$16&gt;'III. Inputs, Renewable Energy'!$U$16, 0, 'III. Inputs, Renewable Energy'!$U$14*'III. Inputs, Renewable Energy'!$U$257*(X18+Y18)/2)</f>
        <v>1299863.019993298</v>
      </c>
      <c r="Z20" s="50">
        <f>IF(Z$16&gt;'III. Inputs, Renewable Energy'!$U$16, 0, 'III. Inputs, Renewable Energy'!$U$14*'III. Inputs, Renewable Energy'!$U$257*(Y18+Z18)/2)</f>
        <v>1293363.7048933315</v>
      </c>
      <c r="AA20" s="51">
        <f>IF(AA$16&gt;'III. Inputs, Renewable Energy'!$U$16, 0, 'III. Inputs, Renewable Energy'!$U$14*'III. Inputs, Renewable Energy'!$U$257*(Z18+AA18)/2)</f>
        <v>1286896.8863688649</v>
      </c>
      <c r="AB20" s="1368"/>
    </row>
    <row r="21" spans="1:28" s="200" customFormat="1" ht="7.5" customHeight="1" x14ac:dyDescent="0.35">
      <c r="A21" s="1368"/>
      <c r="B21" s="43"/>
      <c r="C21" s="44"/>
      <c r="D21" s="44"/>
      <c r="E21" s="37"/>
      <c r="F21" s="44"/>
      <c r="G21" s="44"/>
      <c r="H21" s="44"/>
      <c r="I21" s="44"/>
      <c r="J21" s="44"/>
      <c r="K21" s="44"/>
      <c r="L21" s="44"/>
      <c r="M21" s="44"/>
      <c r="N21" s="44"/>
      <c r="O21" s="44"/>
      <c r="P21" s="44"/>
      <c r="Q21" s="44"/>
      <c r="R21" s="44"/>
      <c r="S21" s="44"/>
      <c r="T21" s="44"/>
      <c r="U21" s="44"/>
      <c r="V21" s="44"/>
      <c r="W21" s="44"/>
      <c r="X21" s="44"/>
      <c r="Y21" s="44"/>
      <c r="Z21" s="44"/>
      <c r="AA21" s="45"/>
      <c r="AB21" s="1368"/>
    </row>
    <row r="22" spans="1:28" s="200" customFormat="1" ht="13.15" x14ac:dyDescent="0.4">
      <c r="A22" s="1368"/>
      <c r="B22" s="46" t="s">
        <v>87</v>
      </c>
      <c r="C22" s="52"/>
      <c r="D22" s="52"/>
      <c r="E22" s="30"/>
      <c r="F22" s="30"/>
      <c r="G22" s="30"/>
      <c r="H22" s="30"/>
      <c r="I22" s="30"/>
      <c r="J22" s="30"/>
      <c r="K22" s="30"/>
      <c r="L22" s="30"/>
      <c r="M22" s="30"/>
      <c r="N22" s="30"/>
      <c r="O22" s="30"/>
      <c r="P22" s="30"/>
      <c r="Q22" s="30"/>
      <c r="R22" s="30"/>
      <c r="S22" s="30"/>
      <c r="T22" s="30"/>
      <c r="U22" s="30"/>
      <c r="V22" s="30"/>
      <c r="W22" s="30"/>
      <c r="X22" s="30"/>
      <c r="Y22" s="30"/>
      <c r="Z22" s="30"/>
      <c r="AA22" s="53"/>
      <c r="AB22" s="1368"/>
    </row>
    <row r="23" spans="1:28" s="200" customFormat="1" x14ac:dyDescent="0.35">
      <c r="A23" s="1368"/>
      <c r="B23" s="43"/>
      <c r="C23" s="44"/>
      <c r="D23" s="44"/>
      <c r="E23" s="37"/>
      <c r="F23" s="44"/>
      <c r="G23" s="44"/>
      <c r="H23" s="44"/>
      <c r="I23" s="44"/>
      <c r="J23" s="44"/>
      <c r="K23" s="44"/>
      <c r="L23" s="44"/>
      <c r="M23" s="44"/>
      <c r="N23" s="44"/>
      <c r="O23" s="44"/>
      <c r="P23" s="44"/>
      <c r="Q23" s="44"/>
      <c r="R23" s="44"/>
      <c r="S23" s="44"/>
      <c r="T23" s="44"/>
      <c r="U23" s="44"/>
      <c r="V23" s="44"/>
      <c r="W23" s="44"/>
      <c r="X23" s="44"/>
      <c r="Y23" s="44"/>
      <c r="Z23" s="44"/>
      <c r="AA23" s="45"/>
      <c r="AB23" s="1368"/>
    </row>
    <row r="24" spans="1:28" s="200" customFormat="1" x14ac:dyDescent="0.35">
      <c r="A24" s="1368"/>
      <c r="B24" s="43" t="s">
        <v>88</v>
      </c>
      <c r="C24" s="44"/>
      <c r="D24" s="44"/>
      <c r="E24" s="37"/>
      <c r="F24" s="37" t="s">
        <v>748</v>
      </c>
      <c r="G24" s="1807"/>
      <c r="H24" s="1658">
        <v>0</v>
      </c>
      <c r="I24" s="1658">
        <v>0</v>
      </c>
      <c r="J24" s="1658">
        <v>0</v>
      </c>
      <c r="K24" s="1658">
        <v>0</v>
      </c>
      <c r="L24" s="1658">
        <v>0</v>
      </c>
      <c r="M24" s="1658">
        <v>0</v>
      </c>
      <c r="N24" s="1658">
        <v>0</v>
      </c>
      <c r="O24" s="1658">
        <v>0</v>
      </c>
      <c r="P24" s="1658">
        <v>0</v>
      </c>
      <c r="Q24" s="1658">
        <v>0</v>
      </c>
      <c r="R24" s="1658">
        <v>0</v>
      </c>
      <c r="S24" s="1658">
        <v>0</v>
      </c>
      <c r="T24" s="1658">
        <v>0</v>
      </c>
      <c r="U24" s="1658">
        <v>0</v>
      </c>
      <c r="V24" s="1658">
        <v>0</v>
      </c>
      <c r="W24" s="1658">
        <v>0</v>
      </c>
      <c r="X24" s="1658">
        <v>0</v>
      </c>
      <c r="Y24" s="1658">
        <v>0</v>
      </c>
      <c r="Z24" s="1658">
        <v>0</v>
      </c>
      <c r="AA24" s="1659">
        <v>0</v>
      </c>
      <c r="AB24" s="1368"/>
    </row>
    <row r="25" spans="1:28" s="200" customFormat="1" x14ac:dyDescent="0.35">
      <c r="A25" s="1368"/>
      <c r="B25" s="43"/>
      <c r="C25" s="44"/>
      <c r="D25" s="44"/>
      <c r="E25" s="37"/>
      <c r="F25" s="37"/>
      <c r="G25" s="1807"/>
      <c r="H25" s="1660"/>
      <c r="I25" s="1660"/>
      <c r="J25" s="1660"/>
      <c r="K25" s="1660"/>
      <c r="L25" s="1660"/>
      <c r="M25" s="1660"/>
      <c r="N25" s="1660"/>
      <c r="O25" s="1660"/>
      <c r="P25" s="1660"/>
      <c r="Q25" s="1660"/>
      <c r="R25" s="1660"/>
      <c r="S25" s="1660"/>
      <c r="T25" s="1660"/>
      <c r="U25" s="1660"/>
      <c r="V25" s="1660"/>
      <c r="W25" s="1660"/>
      <c r="X25" s="1660"/>
      <c r="Y25" s="1660"/>
      <c r="Z25" s="1660"/>
      <c r="AA25" s="1661"/>
      <c r="AB25" s="1368"/>
    </row>
    <row r="26" spans="1:28" s="200" customFormat="1" x14ac:dyDescent="0.35">
      <c r="A26" s="1368"/>
      <c r="B26" s="43" t="s">
        <v>89</v>
      </c>
      <c r="C26" s="44"/>
      <c r="D26" s="44"/>
      <c r="E26" s="37"/>
      <c r="F26" s="37" t="s">
        <v>748</v>
      </c>
      <c r="G26" s="1662"/>
      <c r="H26" s="1662">
        <f>H365</f>
        <v>0</v>
      </c>
      <c r="I26" s="1662">
        <f>I365</f>
        <v>0</v>
      </c>
      <c r="J26" s="1662">
        <f t="shared" ref="J26:AA26" si="0">J365</f>
        <v>0</v>
      </c>
      <c r="K26" s="1662">
        <f t="shared" si="0"/>
        <v>0</v>
      </c>
      <c r="L26" s="1662">
        <f t="shared" si="0"/>
        <v>0</v>
      </c>
      <c r="M26" s="1662">
        <f t="shared" si="0"/>
        <v>0</v>
      </c>
      <c r="N26" s="1662">
        <f t="shared" si="0"/>
        <v>0</v>
      </c>
      <c r="O26" s="1662">
        <f t="shared" si="0"/>
        <v>0</v>
      </c>
      <c r="P26" s="1662">
        <f t="shared" si="0"/>
        <v>0</v>
      </c>
      <c r="Q26" s="1662">
        <f t="shared" si="0"/>
        <v>0</v>
      </c>
      <c r="R26" s="1662">
        <f t="shared" si="0"/>
        <v>0</v>
      </c>
      <c r="S26" s="1662">
        <f t="shared" si="0"/>
        <v>0</v>
      </c>
      <c r="T26" s="1662">
        <f t="shared" si="0"/>
        <v>0</v>
      </c>
      <c r="U26" s="1662">
        <f t="shared" si="0"/>
        <v>0</v>
      </c>
      <c r="V26" s="1662">
        <f t="shared" si="0"/>
        <v>0</v>
      </c>
      <c r="W26" s="1662">
        <f t="shared" si="0"/>
        <v>0</v>
      </c>
      <c r="X26" s="1662">
        <f t="shared" si="0"/>
        <v>0</v>
      </c>
      <c r="Y26" s="1662">
        <f t="shared" si="0"/>
        <v>0</v>
      </c>
      <c r="Z26" s="1662">
        <f t="shared" si="0"/>
        <v>0</v>
      </c>
      <c r="AA26" s="1663">
        <f t="shared" si="0"/>
        <v>0</v>
      </c>
      <c r="AB26" s="1368"/>
    </row>
    <row r="27" spans="1:28" s="200" customFormat="1" x14ac:dyDescent="0.35">
      <c r="A27" s="1368"/>
      <c r="B27" s="43"/>
      <c r="C27" s="44"/>
      <c r="D27" s="44"/>
      <c r="E27" s="37"/>
      <c r="F27" s="37"/>
      <c r="G27" s="1662"/>
      <c r="H27" s="1662"/>
      <c r="I27" s="1662"/>
      <c r="J27" s="1662"/>
      <c r="K27" s="1662"/>
      <c r="L27" s="1662"/>
      <c r="M27" s="1662"/>
      <c r="N27" s="1662"/>
      <c r="O27" s="1662"/>
      <c r="P27" s="1662"/>
      <c r="Q27" s="1662"/>
      <c r="R27" s="1662"/>
      <c r="S27" s="1662"/>
      <c r="T27" s="1662"/>
      <c r="U27" s="1662"/>
      <c r="V27" s="1662"/>
      <c r="W27" s="1662"/>
      <c r="X27" s="1662"/>
      <c r="Y27" s="1662"/>
      <c r="Z27" s="1662"/>
      <c r="AA27" s="1663"/>
      <c r="AB27" s="1368"/>
    </row>
    <row r="28" spans="1:28" s="200" customFormat="1" x14ac:dyDescent="0.35">
      <c r="A28" s="1368"/>
      <c r="B28" s="43" t="s">
        <v>219</v>
      </c>
      <c r="C28" s="44"/>
      <c r="D28" s="44"/>
      <c r="E28" s="37"/>
      <c r="F28" s="37" t="s">
        <v>748</v>
      </c>
      <c r="G28" s="1662"/>
      <c r="H28" s="1662">
        <f>H206</f>
        <v>0</v>
      </c>
      <c r="I28" s="1662">
        <f>I206</f>
        <v>0</v>
      </c>
      <c r="J28" s="1662">
        <f t="shared" ref="J28:AA28" si="1">J206</f>
        <v>0</v>
      </c>
      <c r="K28" s="1662">
        <f t="shared" si="1"/>
        <v>0</v>
      </c>
      <c r="L28" s="1662">
        <f t="shared" si="1"/>
        <v>0</v>
      </c>
      <c r="M28" s="1662">
        <f t="shared" si="1"/>
        <v>0</v>
      </c>
      <c r="N28" s="1662">
        <f t="shared" si="1"/>
        <v>0</v>
      </c>
      <c r="O28" s="1662">
        <f t="shared" si="1"/>
        <v>0</v>
      </c>
      <c r="P28" s="1662">
        <f t="shared" si="1"/>
        <v>0</v>
      </c>
      <c r="Q28" s="1662">
        <f t="shared" si="1"/>
        <v>0</v>
      </c>
      <c r="R28" s="1662">
        <f t="shared" si="1"/>
        <v>0</v>
      </c>
      <c r="S28" s="1662">
        <f t="shared" si="1"/>
        <v>0</v>
      </c>
      <c r="T28" s="1662">
        <f t="shared" si="1"/>
        <v>0</v>
      </c>
      <c r="U28" s="1662">
        <f t="shared" si="1"/>
        <v>0</v>
      </c>
      <c r="V28" s="1662">
        <f t="shared" si="1"/>
        <v>0</v>
      </c>
      <c r="W28" s="1662">
        <f t="shared" si="1"/>
        <v>0</v>
      </c>
      <c r="X28" s="1662">
        <f t="shared" si="1"/>
        <v>0</v>
      </c>
      <c r="Y28" s="1662">
        <f t="shared" si="1"/>
        <v>0</v>
      </c>
      <c r="Z28" s="1662">
        <f t="shared" si="1"/>
        <v>0</v>
      </c>
      <c r="AA28" s="1663">
        <f t="shared" si="1"/>
        <v>0</v>
      </c>
      <c r="AB28" s="1368"/>
    </row>
    <row r="29" spans="1:28" s="200" customFormat="1" x14ac:dyDescent="0.35">
      <c r="A29" s="1368"/>
      <c r="B29" s="43" t="s">
        <v>160</v>
      </c>
      <c r="C29" s="44"/>
      <c r="D29" s="44"/>
      <c r="E29" s="37"/>
      <c r="F29" s="37" t="s">
        <v>748</v>
      </c>
      <c r="G29" s="1662"/>
      <c r="H29" s="1662">
        <f>H227</f>
        <v>0</v>
      </c>
      <c r="I29" s="1662">
        <f>I227</f>
        <v>0</v>
      </c>
      <c r="J29" s="1662">
        <f t="shared" ref="J29:AA29" si="2">J227</f>
        <v>0</v>
      </c>
      <c r="K29" s="1662">
        <f t="shared" si="2"/>
        <v>0</v>
      </c>
      <c r="L29" s="1662">
        <f t="shared" si="2"/>
        <v>0</v>
      </c>
      <c r="M29" s="1662">
        <f t="shared" si="2"/>
        <v>0</v>
      </c>
      <c r="N29" s="1662">
        <f t="shared" si="2"/>
        <v>0</v>
      </c>
      <c r="O29" s="1662">
        <f t="shared" si="2"/>
        <v>0</v>
      </c>
      <c r="P29" s="1662">
        <f t="shared" si="2"/>
        <v>0</v>
      </c>
      <c r="Q29" s="1662">
        <f t="shared" si="2"/>
        <v>0</v>
      </c>
      <c r="R29" s="1662">
        <f t="shared" si="2"/>
        <v>0</v>
      </c>
      <c r="S29" s="1662">
        <f t="shared" si="2"/>
        <v>0</v>
      </c>
      <c r="T29" s="1662">
        <f t="shared" si="2"/>
        <v>0</v>
      </c>
      <c r="U29" s="1662">
        <f t="shared" si="2"/>
        <v>0</v>
      </c>
      <c r="V29" s="1662">
        <f t="shared" si="2"/>
        <v>0</v>
      </c>
      <c r="W29" s="1662">
        <f t="shared" si="2"/>
        <v>0</v>
      </c>
      <c r="X29" s="1662">
        <f t="shared" si="2"/>
        <v>0</v>
      </c>
      <c r="Y29" s="1662">
        <f t="shared" si="2"/>
        <v>0</v>
      </c>
      <c r="Z29" s="1662">
        <f t="shared" si="2"/>
        <v>0</v>
      </c>
      <c r="AA29" s="1663">
        <f t="shared" si="2"/>
        <v>0</v>
      </c>
      <c r="AB29" s="1368"/>
    </row>
    <row r="30" spans="1:28" s="200" customFormat="1" x14ac:dyDescent="0.35">
      <c r="A30" s="1368"/>
      <c r="B30" s="43" t="s">
        <v>161</v>
      </c>
      <c r="C30" s="44"/>
      <c r="D30" s="44"/>
      <c r="E30" s="37"/>
      <c r="F30" s="37" t="s">
        <v>748</v>
      </c>
      <c r="G30" s="1662"/>
      <c r="H30" s="1662">
        <f>H248</f>
        <v>0</v>
      </c>
      <c r="I30" s="1662">
        <f>I248</f>
        <v>0</v>
      </c>
      <c r="J30" s="1662">
        <f t="shared" ref="J30:AA30" si="3">J248</f>
        <v>0</v>
      </c>
      <c r="K30" s="1662">
        <f t="shared" si="3"/>
        <v>0</v>
      </c>
      <c r="L30" s="1662">
        <f t="shared" si="3"/>
        <v>0</v>
      </c>
      <c r="M30" s="1662">
        <f t="shared" si="3"/>
        <v>0</v>
      </c>
      <c r="N30" s="1662">
        <f t="shared" si="3"/>
        <v>0</v>
      </c>
      <c r="O30" s="1662">
        <f t="shared" si="3"/>
        <v>0</v>
      </c>
      <c r="P30" s="1662">
        <f t="shared" si="3"/>
        <v>0</v>
      </c>
      <c r="Q30" s="1662">
        <f t="shared" si="3"/>
        <v>0</v>
      </c>
      <c r="R30" s="1662">
        <f t="shared" si="3"/>
        <v>0</v>
      </c>
      <c r="S30" s="1662">
        <f t="shared" si="3"/>
        <v>0</v>
      </c>
      <c r="T30" s="1662">
        <f t="shared" si="3"/>
        <v>0</v>
      </c>
      <c r="U30" s="1662">
        <f t="shared" si="3"/>
        <v>0</v>
      </c>
      <c r="V30" s="1662">
        <f t="shared" si="3"/>
        <v>0</v>
      </c>
      <c r="W30" s="1662">
        <f t="shared" si="3"/>
        <v>0</v>
      </c>
      <c r="X30" s="1662">
        <f t="shared" si="3"/>
        <v>0</v>
      </c>
      <c r="Y30" s="1662">
        <f t="shared" si="3"/>
        <v>0</v>
      </c>
      <c r="Z30" s="1662">
        <f t="shared" si="3"/>
        <v>0</v>
      </c>
      <c r="AA30" s="1663">
        <f t="shared" si="3"/>
        <v>0</v>
      </c>
      <c r="AB30" s="1368"/>
    </row>
    <row r="31" spans="1:28" s="200" customFormat="1" x14ac:dyDescent="0.35">
      <c r="A31" s="1368"/>
      <c r="B31" s="43" t="s">
        <v>120</v>
      </c>
      <c r="C31" s="44"/>
      <c r="D31" s="44"/>
      <c r="E31" s="37"/>
      <c r="F31" s="37" t="s">
        <v>748</v>
      </c>
      <c r="G31" s="1662"/>
      <c r="H31" s="1662">
        <f>(H217+H238+H259)</f>
        <v>0</v>
      </c>
      <c r="I31" s="1662">
        <f>(I217+I238+I259)</f>
        <v>0</v>
      </c>
      <c r="J31" s="1662">
        <f t="shared" ref="J31:AA31" si="4">(J217+J238+J259)</f>
        <v>0</v>
      </c>
      <c r="K31" s="1662">
        <f t="shared" si="4"/>
        <v>0</v>
      </c>
      <c r="L31" s="1662">
        <f t="shared" si="4"/>
        <v>0</v>
      </c>
      <c r="M31" s="1662">
        <f t="shared" si="4"/>
        <v>0</v>
      </c>
      <c r="N31" s="1662">
        <f t="shared" si="4"/>
        <v>0</v>
      </c>
      <c r="O31" s="1662">
        <f t="shared" si="4"/>
        <v>0</v>
      </c>
      <c r="P31" s="1662">
        <f t="shared" si="4"/>
        <v>0</v>
      </c>
      <c r="Q31" s="1662">
        <f t="shared" si="4"/>
        <v>0</v>
      </c>
      <c r="R31" s="1662">
        <f t="shared" si="4"/>
        <v>0</v>
      </c>
      <c r="S31" s="1662">
        <f t="shared" si="4"/>
        <v>0</v>
      </c>
      <c r="T31" s="1662">
        <f t="shared" si="4"/>
        <v>0</v>
      </c>
      <c r="U31" s="1662">
        <f t="shared" si="4"/>
        <v>0</v>
      </c>
      <c r="V31" s="1662">
        <f t="shared" si="4"/>
        <v>0</v>
      </c>
      <c r="W31" s="1662">
        <f t="shared" si="4"/>
        <v>0</v>
      </c>
      <c r="X31" s="1662">
        <f t="shared" si="4"/>
        <v>0</v>
      </c>
      <c r="Y31" s="1662">
        <f t="shared" si="4"/>
        <v>0</v>
      </c>
      <c r="Z31" s="1662">
        <f t="shared" si="4"/>
        <v>0</v>
      </c>
      <c r="AA31" s="1663">
        <f t="shared" si="4"/>
        <v>0</v>
      </c>
      <c r="AB31" s="1368"/>
    </row>
    <row r="32" spans="1:28" s="200" customFormat="1" x14ac:dyDescent="0.35">
      <c r="A32" s="1368"/>
      <c r="B32" s="43" t="s">
        <v>162</v>
      </c>
      <c r="C32" s="44"/>
      <c r="D32" s="44"/>
      <c r="E32" s="37"/>
      <c r="F32" s="37" t="s">
        <v>748</v>
      </c>
      <c r="G32" s="1662"/>
      <c r="H32" s="1662">
        <f>H239+H240</f>
        <v>0</v>
      </c>
      <c r="I32" s="1662">
        <f>+I240</f>
        <v>0</v>
      </c>
      <c r="J32" s="1662">
        <f t="shared" ref="J32:AA32" si="5">+J240</f>
        <v>0</v>
      </c>
      <c r="K32" s="1662">
        <f t="shared" si="5"/>
        <v>0</v>
      </c>
      <c r="L32" s="1662">
        <f t="shared" si="5"/>
        <v>0</v>
      </c>
      <c r="M32" s="1662">
        <f t="shared" si="5"/>
        <v>0</v>
      </c>
      <c r="N32" s="1662">
        <f t="shared" si="5"/>
        <v>0</v>
      </c>
      <c r="O32" s="1662">
        <f t="shared" si="5"/>
        <v>0</v>
      </c>
      <c r="P32" s="1662">
        <f t="shared" si="5"/>
        <v>0</v>
      </c>
      <c r="Q32" s="1662">
        <f t="shared" si="5"/>
        <v>0</v>
      </c>
      <c r="R32" s="1662">
        <f t="shared" si="5"/>
        <v>0</v>
      </c>
      <c r="S32" s="1662">
        <f t="shared" si="5"/>
        <v>0</v>
      </c>
      <c r="T32" s="1662">
        <f t="shared" si="5"/>
        <v>0</v>
      </c>
      <c r="U32" s="1662">
        <f t="shared" si="5"/>
        <v>0</v>
      </c>
      <c r="V32" s="1662">
        <f t="shared" si="5"/>
        <v>0</v>
      </c>
      <c r="W32" s="1662">
        <f t="shared" si="5"/>
        <v>0</v>
      </c>
      <c r="X32" s="1662">
        <f t="shared" si="5"/>
        <v>0</v>
      </c>
      <c r="Y32" s="1662">
        <f t="shared" si="5"/>
        <v>0</v>
      </c>
      <c r="Z32" s="1662">
        <f t="shared" si="5"/>
        <v>0</v>
      </c>
      <c r="AA32" s="1663">
        <f t="shared" si="5"/>
        <v>0</v>
      </c>
      <c r="AB32" s="1368"/>
    </row>
    <row r="33" spans="1:28" s="200" customFormat="1" x14ac:dyDescent="0.35">
      <c r="A33" s="1368"/>
      <c r="B33" s="43" t="s">
        <v>121</v>
      </c>
      <c r="C33" s="44"/>
      <c r="D33" s="44"/>
      <c r="E33" s="37"/>
      <c r="F33" s="37" t="s">
        <v>748</v>
      </c>
      <c r="G33" s="1662"/>
      <c r="H33" s="1662">
        <f>(H269+H270)</f>
        <v>0</v>
      </c>
      <c r="I33" s="1662">
        <f>(+I270)</f>
        <v>0</v>
      </c>
      <c r="J33" s="1662">
        <f t="shared" ref="J33:AA33" si="6">(+J270)</f>
        <v>0</v>
      </c>
      <c r="K33" s="1662">
        <f t="shared" si="6"/>
        <v>0</v>
      </c>
      <c r="L33" s="1662">
        <f t="shared" si="6"/>
        <v>0</v>
      </c>
      <c r="M33" s="1662">
        <f t="shared" si="6"/>
        <v>0</v>
      </c>
      <c r="N33" s="1662">
        <f t="shared" si="6"/>
        <v>0</v>
      </c>
      <c r="O33" s="1662">
        <f t="shared" si="6"/>
        <v>0</v>
      </c>
      <c r="P33" s="1662">
        <f t="shared" si="6"/>
        <v>0</v>
      </c>
      <c r="Q33" s="1662">
        <f t="shared" si="6"/>
        <v>0</v>
      </c>
      <c r="R33" s="1662">
        <f t="shared" si="6"/>
        <v>0</v>
      </c>
      <c r="S33" s="1662">
        <f t="shared" si="6"/>
        <v>0</v>
      </c>
      <c r="T33" s="1662">
        <f t="shared" si="6"/>
        <v>0</v>
      </c>
      <c r="U33" s="1662">
        <f t="shared" si="6"/>
        <v>0</v>
      </c>
      <c r="V33" s="1662">
        <f t="shared" si="6"/>
        <v>0</v>
      </c>
      <c r="W33" s="1662">
        <f t="shared" si="6"/>
        <v>0</v>
      </c>
      <c r="X33" s="1662">
        <f t="shared" si="6"/>
        <v>0</v>
      </c>
      <c r="Y33" s="1662">
        <f t="shared" si="6"/>
        <v>0</v>
      </c>
      <c r="Z33" s="1662">
        <f t="shared" si="6"/>
        <v>0</v>
      </c>
      <c r="AA33" s="1663">
        <f t="shared" si="6"/>
        <v>0</v>
      </c>
      <c r="AB33" s="1368"/>
    </row>
    <row r="34" spans="1:28" s="200" customFormat="1" x14ac:dyDescent="0.35">
      <c r="A34" s="1368"/>
      <c r="B34" s="43"/>
      <c r="C34" s="44"/>
      <c r="D34" s="44"/>
      <c r="E34" s="37"/>
      <c r="F34" s="37"/>
      <c r="G34" s="1662"/>
      <c r="H34" s="1662"/>
      <c r="I34" s="1662"/>
      <c r="J34" s="1662"/>
      <c r="K34" s="1662"/>
      <c r="L34" s="1662"/>
      <c r="M34" s="1662"/>
      <c r="N34" s="1662"/>
      <c r="O34" s="1662"/>
      <c r="P34" s="1662"/>
      <c r="Q34" s="1662"/>
      <c r="R34" s="1662"/>
      <c r="S34" s="1662"/>
      <c r="T34" s="1662"/>
      <c r="U34" s="1662"/>
      <c r="V34" s="1662"/>
      <c r="W34" s="1662"/>
      <c r="X34" s="1662"/>
      <c r="Y34" s="1662"/>
      <c r="Z34" s="1662"/>
      <c r="AA34" s="1663"/>
      <c r="AB34" s="1368"/>
    </row>
    <row r="35" spans="1:28" s="200" customFormat="1" x14ac:dyDescent="0.35">
      <c r="A35" s="1368"/>
      <c r="B35" s="43"/>
      <c r="C35" s="44"/>
      <c r="D35" s="44"/>
      <c r="E35" s="37"/>
      <c r="F35" s="37"/>
      <c r="G35" s="1662"/>
      <c r="H35" s="1662"/>
      <c r="I35" s="1662"/>
      <c r="J35" s="1662"/>
      <c r="K35" s="1662"/>
      <c r="L35" s="1662"/>
      <c r="M35" s="1662"/>
      <c r="N35" s="1662"/>
      <c r="O35" s="1662"/>
      <c r="P35" s="1662"/>
      <c r="Q35" s="1662"/>
      <c r="R35" s="1662"/>
      <c r="S35" s="1662"/>
      <c r="T35" s="1662"/>
      <c r="U35" s="1662"/>
      <c r="V35" s="1662"/>
      <c r="W35" s="1662"/>
      <c r="X35" s="1662"/>
      <c r="Y35" s="1662"/>
      <c r="Z35" s="1662"/>
      <c r="AA35" s="1663"/>
      <c r="AB35" s="1368"/>
    </row>
    <row r="36" spans="1:28" s="200" customFormat="1" ht="13.15" x14ac:dyDescent="0.4">
      <c r="A36" s="1368"/>
      <c r="B36" s="54" t="s">
        <v>400</v>
      </c>
      <c r="C36" s="44"/>
      <c r="D36" s="44"/>
      <c r="E36" s="37"/>
      <c r="F36" s="37"/>
      <c r="G36" s="1662"/>
      <c r="H36" s="1662"/>
      <c r="I36" s="1662"/>
      <c r="J36" s="1662"/>
      <c r="K36" s="1662"/>
      <c r="L36" s="1662"/>
      <c r="M36" s="1662"/>
      <c r="N36" s="1662"/>
      <c r="O36" s="1662"/>
      <c r="P36" s="1662"/>
      <c r="Q36" s="1662"/>
      <c r="R36" s="1662"/>
      <c r="S36" s="1662"/>
      <c r="T36" s="1662"/>
      <c r="U36" s="1662"/>
      <c r="V36" s="1662"/>
      <c r="W36" s="1662"/>
      <c r="X36" s="1662"/>
      <c r="Y36" s="1662"/>
      <c r="Z36" s="1662"/>
      <c r="AA36" s="1663"/>
      <c r="AB36" s="1368"/>
    </row>
    <row r="37" spans="1:28" s="200" customFormat="1" x14ac:dyDescent="0.35">
      <c r="A37" s="1368"/>
      <c r="B37" s="43"/>
      <c r="C37" s="44"/>
      <c r="D37" s="44"/>
      <c r="E37" s="37"/>
      <c r="F37" s="37"/>
      <c r="G37" s="1662"/>
      <c r="H37" s="1662"/>
      <c r="I37" s="1662"/>
      <c r="J37" s="1662"/>
      <c r="K37" s="1662"/>
      <c r="L37" s="1662"/>
      <c r="M37" s="1662"/>
      <c r="N37" s="1662"/>
      <c r="O37" s="1662"/>
      <c r="P37" s="1662"/>
      <c r="Q37" s="1662"/>
      <c r="R37" s="1662"/>
      <c r="S37" s="1662"/>
      <c r="T37" s="1662"/>
      <c r="U37" s="1662"/>
      <c r="V37" s="1662"/>
      <c r="W37" s="1662"/>
      <c r="X37" s="1662"/>
      <c r="Y37" s="1662"/>
      <c r="Z37" s="1662"/>
      <c r="AA37" s="1663"/>
      <c r="AB37" s="1368"/>
    </row>
    <row r="38" spans="1:28" s="200" customFormat="1" x14ac:dyDescent="0.35">
      <c r="A38" s="1368"/>
      <c r="B38" s="43" t="str">
        <f>B24</f>
        <v>Operations &amp; Maintenance Expenses</v>
      </c>
      <c r="C38" s="44"/>
      <c r="D38" s="44"/>
      <c r="E38" s="37"/>
      <c r="F38" s="37" t="s">
        <v>748</v>
      </c>
      <c r="G38" s="1662"/>
      <c r="H38" s="1662">
        <f>-H24</f>
        <v>0</v>
      </c>
      <c r="I38" s="1662">
        <f t="shared" ref="I38:AA38" si="7">-I24</f>
        <v>0</v>
      </c>
      <c r="J38" s="1662">
        <f t="shared" si="7"/>
        <v>0</v>
      </c>
      <c r="K38" s="1662">
        <f t="shared" si="7"/>
        <v>0</v>
      </c>
      <c r="L38" s="1662">
        <f t="shared" si="7"/>
        <v>0</v>
      </c>
      <c r="M38" s="1662">
        <f t="shared" si="7"/>
        <v>0</v>
      </c>
      <c r="N38" s="1662">
        <f t="shared" si="7"/>
        <v>0</v>
      </c>
      <c r="O38" s="1662">
        <f t="shared" si="7"/>
        <v>0</v>
      </c>
      <c r="P38" s="1662">
        <f t="shared" si="7"/>
        <v>0</v>
      </c>
      <c r="Q38" s="1662">
        <f t="shared" si="7"/>
        <v>0</v>
      </c>
      <c r="R38" s="1662">
        <f t="shared" si="7"/>
        <v>0</v>
      </c>
      <c r="S38" s="1662">
        <f t="shared" si="7"/>
        <v>0</v>
      </c>
      <c r="T38" s="1662">
        <f t="shared" si="7"/>
        <v>0</v>
      </c>
      <c r="U38" s="1662">
        <f t="shared" si="7"/>
        <v>0</v>
      </c>
      <c r="V38" s="1662">
        <f t="shared" si="7"/>
        <v>0</v>
      </c>
      <c r="W38" s="1662">
        <f t="shared" si="7"/>
        <v>0</v>
      </c>
      <c r="X38" s="1662">
        <f t="shared" si="7"/>
        <v>0</v>
      </c>
      <c r="Y38" s="1662">
        <f t="shared" si="7"/>
        <v>0</v>
      </c>
      <c r="Z38" s="1662">
        <f t="shared" si="7"/>
        <v>0</v>
      </c>
      <c r="AA38" s="1663">
        <f t="shared" si="7"/>
        <v>0</v>
      </c>
      <c r="AB38" s="1368"/>
    </row>
    <row r="39" spans="1:28" s="200" customFormat="1" x14ac:dyDescent="0.35">
      <c r="A39" s="1368"/>
      <c r="B39" s="43" t="str">
        <f>B31</f>
        <v xml:space="preserve">Front-end Fees </v>
      </c>
      <c r="C39" s="44"/>
      <c r="D39" s="44"/>
      <c r="E39" s="37"/>
      <c r="F39" s="37" t="s">
        <v>748</v>
      </c>
      <c r="G39" s="1662"/>
      <c r="H39" s="1662">
        <f>-H31</f>
        <v>0</v>
      </c>
      <c r="I39" s="1662">
        <f t="shared" ref="I39:AA41" si="8">-I31</f>
        <v>0</v>
      </c>
      <c r="J39" s="1662">
        <f t="shared" si="8"/>
        <v>0</v>
      </c>
      <c r="K39" s="1662">
        <f t="shared" si="8"/>
        <v>0</v>
      </c>
      <c r="L39" s="1662">
        <f t="shared" si="8"/>
        <v>0</v>
      </c>
      <c r="M39" s="1662">
        <f t="shared" si="8"/>
        <v>0</v>
      </c>
      <c r="N39" s="1662">
        <f t="shared" si="8"/>
        <v>0</v>
      </c>
      <c r="O39" s="1662">
        <f t="shared" si="8"/>
        <v>0</v>
      </c>
      <c r="P39" s="1662">
        <f t="shared" si="8"/>
        <v>0</v>
      </c>
      <c r="Q39" s="1662">
        <f t="shared" si="8"/>
        <v>0</v>
      </c>
      <c r="R39" s="1662">
        <f t="shared" si="8"/>
        <v>0</v>
      </c>
      <c r="S39" s="1662">
        <f t="shared" si="8"/>
        <v>0</v>
      </c>
      <c r="T39" s="1662">
        <f t="shared" si="8"/>
        <v>0</v>
      </c>
      <c r="U39" s="1662">
        <f t="shared" si="8"/>
        <v>0</v>
      </c>
      <c r="V39" s="1662">
        <f t="shared" si="8"/>
        <v>0</v>
      </c>
      <c r="W39" s="1662">
        <f t="shared" si="8"/>
        <v>0</v>
      </c>
      <c r="X39" s="1662">
        <f t="shared" si="8"/>
        <v>0</v>
      </c>
      <c r="Y39" s="1662">
        <f t="shared" si="8"/>
        <v>0</v>
      </c>
      <c r="Z39" s="1662">
        <f t="shared" si="8"/>
        <v>0</v>
      </c>
      <c r="AA39" s="1663">
        <f t="shared" si="8"/>
        <v>0</v>
      </c>
      <c r="AB39" s="1368"/>
    </row>
    <row r="40" spans="1:28" s="200" customFormat="1" x14ac:dyDescent="0.35">
      <c r="A40" s="1368"/>
      <c r="B40" s="43" t="str">
        <f>B32</f>
        <v xml:space="preserve">Public Guarantee Fees </v>
      </c>
      <c r="C40" s="44"/>
      <c r="D40" s="44"/>
      <c r="E40" s="37"/>
      <c r="F40" s="37" t="s">
        <v>748</v>
      </c>
      <c r="G40" s="1662"/>
      <c r="H40" s="1662">
        <f>-H32</f>
        <v>0</v>
      </c>
      <c r="I40" s="1662">
        <f t="shared" si="8"/>
        <v>0</v>
      </c>
      <c r="J40" s="1662">
        <f t="shared" si="8"/>
        <v>0</v>
      </c>
      <c r="K40" s="1662">
        <f t="shared" si="8"/>
        <v>0</v>
      </c>
      <c r="L40" s="1662">
        <f t="shared" si="8"/>
        <v>0</v>
      </c>
      <c r="M40" s="1662">
        <f t="shared" si="8"/>
        <v>0</v>
      </c>
      <c r="N40" s="1662">
        <f t="shared" si="8"/>
        <v>0</v>
      </c>
      <c r="O40" s="1662">
        <f t="shared" si="8"/>
        <v>0</v>
      </c>
      <c r="P40" s="1662">
        <f t="shared" si="8"/>
        <v>0</v>
      </c>
      <c r="Q40" s="1662">
        <f t="shared" si="8"/>
        <v>0</v>
      </c>
      <c r="R40" s="1662">
        <f t="shared" si="8"/>
        <v>0</v>
      </c>
      <c r="S40" s="1662">
        <f t="shared" si="8"/>
        <v>0</v>
      </c>
      <c r="T40" s="1662">
        <f t="shared" si="8"/>
        <v>0</v>
      </c>
      <c r="U40" s="1662">
        <f t="shared" si="8"/>
        <v>0</v>
      </c>
      <c r="V40" s="1662">
        <f t="shared" si="8"/>
        <v>0</v>
      </c>
      <c r="W40" s="1662">
        <f t="shared" si="8"/>
        <v>0</v>
      </c>
      <c r="X40" s="1662">
        <f t="shared" si="8"/>
        <v>0</v>
      </c>
      <c r="Y40" s="1662">
        <f t="shared" si="8"/>
        <v>0</v>
      </c>
      <c r="Z40" s="1662">
        <f t="shared" si="8"/>
        <v>0</v>
      </c>
      <c r="AA40" s="1663">
        <f t="shared" si="8"/>
        <v>0</v>
      </c>
      <c r="AB40" s="1368"/>
    </row>
    <row r="41" spans="1:28" s="200" customFormat="1" x14ac:dyDescent="0.35">
      <c r="A41" s="1368"/>
      <c r="B41" s="43" t="str">
        <f>B33</f>
        <v>Political Risk Insurance - Fees &amp; Annual Premium Payments</v>
      </c>
      <c r="C41" s="44"/>
      <c r="D41" s="44"/>
      <c r="E41" s="37"/>
      <c r="F41" s="37" t="s">
        <v>748</v>
      </c>
      <c r="G41" s="1662"/>
      <c r="H41" s="1662">
        <f>-H33</f>
        <v>0</v>
      </c>
      <c r="I41" s="1662">
        <f t="shared" si="8"/>
        <v>0</v>
      </c>
      <c r="J41" s="1662">
        <f t="shared" si="8"/>
        <v>0</v>
      </c>
      <c r="K41" s="1662">
        <f t="shared" si="8"/>
        <v>0</v>
      </c>
      <c r="L41" s="1662">
        <f t="shared" si="8"/>
        <v>0</v>
      </c>
      <c r="M41" s="1662">
        <f t="shared" si="8"/>
        <v>0</v>
      </c>
      <c r="N41" s="1662">
        <f t="shared" si="8"/>
        <v>0</v>
      </c>
      <c r="O41" s="1662">
        <f t="shared" si="8"/>
        <v>0</v>
      </c>
      <c r="P41" s="1662">
        <f t="shared" si="8"/>
        <v>0</v>
      </c>
      <c r="Q41" s="1662">
        <f t="shared" si="8"/>
        <v>0</v>
      </c>
      <c r="R41" s="1662">
        <f t="shared" si="8"/>
        <v>0</v>
      </c>
      <c r="S41" s="1662">
        <f t="shared" si="8"/>
        <v>0</v>
      </c>
      <c r="T41" s="1662">
        <f t="shared" si="8"/>
        <v>0</v>
      </c>
      <c r="U41" s="1662">
        <f t="shared" si="8"/>
        <v>0</v>
      </c>
      <c r="V41" s="1662">
        <f t="shared" si="8"/>
        <v>0</v>
      </c>
      <c r="W41" s="1662">
        <f t="shared" si="8"/>
        <v>0</v>
      </c>
      <c r="X41" s="1662">
        <f t="shared" si="8"/>
        <v>0</v>
      </c>
      <c r="Y41" s="1662">
        <f t="shared" si="8"/>
        <v>0</v>
      </c>
      <c r="Z41" s="1662">
        <f t="shared" si="8"/>
        <v>0</v>
      </c>
      <c r="AA41" s="1663">
        <f t="shared" si="8"/>
        <v>0</v>
      </c>
      <c r="AB41" s="1368"/>
    </row>
    <row r="42" spans="1:28" s="200" customFormat="1" x14ac:dyDescent="0.35">
      <c r="A42" s="1368"/>
      <c r="B42" s="43" t="s">
        <v>90</v>
      </c>
      <c r="C42" s="44"/>
      <c r="D42" s="44"/>
      <c r="E42" s="37"/>
      <c r="F42" s="37" t="s">
        <v>748</v>
      </c>
      <c r="G42" s="1662"/>
      <c r="H42" s="1662">
        <f>-(H208+H229+H250)</f>
        <v>0</v>
      </c>
      <c r="I42" s="1662">
        <f t="shared" ref="I42:AA42" si="9">-(I208+I229+I250)</f>
        <v>0</v>
      </c>
      <c r="J42" s="1662">
        <f t="shared" si="9"/>
        <v>0</v>
      </c>
      <c r="K42" s="1662">
        <f t="shared" si="9"/>
        <v>0</v>
      </c>
      <c r="L42" s="1662">
        <f t="shared" si="9"/>
        <v>0</v>
      </c>
      <c r="M42" s="1662">
        <f t="shared" si="9"/>
        <v>0</v>
      </c>
      <c r="N42" s="1662">
        <f t="shared" si="9"/>
        <v>0</v>
      </c>
      <c r="O42" s="1662">
        <f t="shared" si="9"/>
        <v>0</v>
      </c>
      <c r="P42" s="1662">
        <f t="shared" si="9"/>
        <v>0</v>
      </c>
      <c r="Q42" s="1662">
        <f t="shared" si="9"/>
        <v>0</v>
      </c>
      <c r="R42" s="1662">
        <f t="shared" si="9"/>
        <v>0</v>
      </c>
      <c r="S42" s="1662">
        <f t="shared" si="9"/>
        <v>0</v>
      </c>
      <c r="T42" s="1662">
        <f t="shared" si="9"/>
        <v>0</v>
      </c>
      <c r="U42" s="1662">
        <f t="shared" si="9"/>
        <v>0</v>
      </c>
      <c r="V42" s="1662">
        <f t="shared" si="9"/>
        <v>0</v>
      </c>
      <c r="W42" s="1662">
        <f t="shared" si="9"/>
        <v>0</v>
      </c>
      <c r="X42" s="1662">
        <f t="shared" si="9"/>
        <v>0</v>
      </c>
      <c r="Y42" s="1662">
        <f t="shared" si="9"/>
        <v>0</v>
      </c>
      <c r="Z42" s="1662">
        <f t="shared" si="9"/>
        <v>0</v>
      </c>
      <c r="AA42" s="1663">
        <f t="shared" si="9"/>
        <v>0</v>
      </c>
      <c r="AB42" s="1368"/>
    </row>
    <row r="43" spans="1:28" s="200" customFormat="1" x14ac:dyDescent="0.35">
      <c r="A43" s="1368"/>
      <c r="B43" s="55" t="s">
        <v>91</v>
      </c>
      <c r="C43" s="52"/>
      <c r="D43" s="52"/>
      <c r="E43" s="30"/>
      <c r="F43" s="30" t="s">
        <v>748</v>
      </c>
      <c r="G43" s="1664"/>
      <c r="H43" s="1664">
        <f>(H24+H26+H31+H32+H33+H28+H29+H30)*'III. Inputs, Renewable Energy'!$U$18</f>
        <v>0</v>
      </c>
      <c r="I43" s="1664">
        <f>(I24+I26+I31+I32+I33+I28+I29+I30)*'III. Inputs, Renewable Energy'!$U$18</f>
        <v>0</v>
      </c>
      <c r="J43" s="1664">
        <f>(J24+J26+J31+J32+J33+J28+J29+J30)*'III. Inputs, Renewable Energy'!$U$18</f>
        <v>0</v>
      </c>
      <c r="K43" s="1664">
        <f>(K24+K26+K31+K32+K33+K28+K29+K30)*'III. Inputs, Renewable Energy'!$U$18</f>
        <v>0</v>
      </c>
      <c r="L43" s="1664">
        <f>(L24+L26+L31+L32+L33+L28+L29+L30)*'III. Inputs, Renewable Energy'!$U$18</f>
        <v>0</v>
      </c>
      <c r="M43" s="1664">
        <f>(M24+M26+M31+M32+M33+M28+M29+M30)*'III. Inputs, Renewable Energy'!$U$18</f>
        <v>0</v>
      </c>
      <c r="N43" s="1664">
        <f>(N24+N26+N31+N32+N33+N28+N29+N30)*'III. Inputs, Renewable Energy'!$U$18</f>
        <v>0</v>
      </c>
      <c r="O43" s="1664">
        <f>(O24+O26+O31+O32+O33+O28+O29+O30)*'III. Inputs, Renewable Energy'!$U$18</f>
        <v>0</v>
      </c>
      <c r="P43" s="1664">
        <f>(P24+P26+P31+P32+P33+P28+P29+P30)*'III. Inputs, Renewable Energy'!$U$18</f>
        <v>0</v>
      </c>
      <c r="Q43" s="1664">
        <f>(Q24+Q26+Q31+Q32+Q33+Q28+Q29+Q30)*'III. Inputs, Renewable Energy'!$U$18</f>
        <v>0</v>
      </c>
      <c r="R43" s="1664">
        <f>(R24+R26+R31+R32+R33+R28+R29+R30)*'III. Inputs, Renewable Energy'!$U$18</f>
        <v>0</v>
      </c>
      <c r="S43" s="1664">
        <f>(S24+S26+S31+S32+S33+S28+S29+S30)*'III. Inputs, Renewable Energy'!$U$18</f>
        <v>0</v>
      </c>
      <c r="T43" s="1664">
        <f>(T24+T26+T31+T32+T33+T28+T29+T30)*'III. Inputs, Renewable Energy'!$U$18</f>
        <v>0</v>
      </c>
      <c r="U43" s="1664">
        <f>(U24+U26+U31+U32+U33+U28+U29+U30)*'III. Inputs, Renewable Energy'!$U$18</f>
        <v>0</v>
      </c>
      <c r="V43" s="1664">
        <f>(V24+V26+V31+V32+V33+V28+V29+V30)*'III. Inputs, Renewable Energy'!$U$18</f>
        <v>0</v>
      </c>
      <c r="W43" s="1664">
        <f>(W24+W26+W31+W32+W33+W28+W29+W30)*'III. Inputs, Renewable Energy'!$U$18</f>
        <v>0</v>
      </c>
      <c r="X43" s="1664">
        <f>(X24+X26+X31+X32+X33+X28+X29+X30)*'III. Inputs, Renewable Energy'!$U$18</f>
        <v>0</v>
      </c>
      <c r="Y43" s="1664">
        <f>(Y24+Y26+Y31+Y32+Y33+Y28+Y29+Y30)*'III. Inputs, Renewable Energy'!$U$18</f>
        <v>0</v>
      </c>
      <c r="Z43" s="1664">
        <f>(Z24+Z26+Z31+Z32+Z33+Z28+Z29+Z30)*'III. Inputs, Renewable Energy'!$U$18</f>
        <v>0</v>
      </c>
      <c r="AA43" s="1665">
        <f>(AA24+AA26+AA31+AA32+AA33+AA28+AA29+AA30)*'III. Inputs, Renewable Energy'!$U$18</f>
        <v>0</v>
      </c>
      <c r="AB43" s="1368"/>
    </row>
    <row r="44" spans="1:28" s="200" customFormat="1" x14ac:dyDescent="0.35">
      <c r="A44" s="1368"/>
      <c r="B44" s="43" t="s">
        <v>92</v>
      </c>
      <c r="C44" s="44"/>
      <c r="D44" s="44"/>
      <c r="E44" s="37"/>
      <c r="F44" s="37" t="s">
        <v>748</v>
      </c>
      <c r="G44" s="1662">
        <f>IF('III. Inputs, Renewable Energy'!U288=0,0,-('III. Inputs, Renewable Energy'!U287+('III. Inputs, Renewable Energy'!U283*'III. Inputs, Renewable Energy'!U285*'III. Inputs, Renewable Energy'!U286))*('III. Inputs, Renewable Energy'!U14/'III. Inputs, Renewable Energy'!U288)*'III. Inputs, Renewable Energy'!$S$33)</f>
        <v>0</v>
      </c>
      <c r="H44" s="1662">
        <f>SUM(H38:H43)</f>
        <v>0</v>
      </c>
      <c r="I44" s="1662">
        <f>SUM(I38:I43)</f>
        <v>0</v>
      </c>
      <c r="J44" s="1662">
        <f t="shared" ref="J44:AA44" si="10">SUM(J38:J43)</f>
        <v>0</v>
      </c>
      <c r="K44" s="1662">
        <f t="shared" si="10"/>
        <v>0</v>
      </c>
      <c r="L44" s="1662">
        <f t="shared" si="10"/>
        <v>0</v>
      </c>
      <c r="M44" s="1662">
        <f t="shared" si="10"/>
        <v>0</v>
      </c>
      <c r="N44" s="1662">
        <f t="shared" si="10"/>
        <v>0</v>
      </c>
      <c r="O44" s="1662">
        <f t="shared" si="10"/>
        <v>0</v>
      </c>
      <c r="P44" s="1662">
        <f t="shared" si="10"/>
        <v>0</v>
      </c>
      <c r="Q44" s="1662">
        <f t="shared" si="10"/>
        <v>0</v>
      </c>
      <c r="R44" s="1662">
        <f t="shared" si="10"/>
        <v>0</v>
      </c>
      <c r="S44" s="1662">
        <f t="shared" si="10"/>
        <v>0</v>
      </c>
      <c r="T44" s="1662">
        <f t="shared" si="10"/>
        <v>0</v>
      </c>
      <c r="U44" s="1662">
        <f t="shared" si="10"/>
        <v>0</v>
      </c>
      <c r="V44" s="1662">
        <f t="shared" si="10"/>
        <v>0</v>
      </c>
      <c r="W44" s="1662">
        <f t="shared" si="10"/>
        <v>0</v>
      </c>
      <c r="X44" s="1662">
        <f t="shared" si="10"/>
        <v>0</v>
      </c>
      <c r="Y44" s="1662">
        <f t="shared" si="10"/>
        <v>0</v>
      </c>
      <c r="Z44" s="1662">
        <f t="shared" si="10"/>
        <v>0</v>
      </c>
      <c r="AA44" s="1663">
        <f t="shared" si="10"/>
        <v>0</v>
      </c>
      <c r="AB44" s="1368"/>
    </row>
    <row r="45" spans="1:28" s="200" customFormat="1" x14ac:dyDescent="0.35">
      <c r="A45" s="1368"/>
      <c r="B45" s="43"/>
      <c r="C45" s="44"/>
      <c r="D45" s="44"/>
      <c r="E45" s="37"/>
      <c r="F45" s="44"/>
      <c r="G45" s="44"/>
      <c r="H45" s="44"/>
      <c r="I45" s="44"/>
      <c r="J45" s="44"/>
      <c r="K45" s="44"/>
      <c r="L45" s="44"/>
      <c r="M45" s="44"/>
      <c r="N45" s="44"/>
      <c r="O45" s="44"/>
      <c r="P45" s="44"/>
      <c r="Q45" s="44"/>
      <c r="R45" s="44"/>
      <c r="S45" s="44"/>
      <c r="T45" s="44"/>
      <c r="U45" s="44"/>
      <c r="V45" s="44"/>
      <c r="W45" s="44"/>
      <c r="X45" s="44"/>
      <c r="Y45" s="44"/>
      <c r="Z45" s="44"/>
      <c r="AA45" s="45"/>
      <c r="AB45" s="1368"/>
    </row>
    <row r="46" spans="1:28" s="200" customFormat="1" x14ac:dyDescent="0.35">
      <c r="A46" s="1368"/>
      <c r="B46" s="43" t="s">
        <v>93</v>
      </c>
      <c r="C46" s="44"/>
      <c r="D46" s="44"/>
      <c r="E46" s="37"/>
      <c r="F46" s="44"/>
      <c r="G46" s="166">
        <f>SUM('III. Inputs, Renewable Energy'!$S$41)</f>
        <v>0.17</v>
      </c>
      <c r="H46" s="44"/>
      <c r="I46" s="44"/>
      <c r="J46" s="44"/>
      <c r="K46" s="44"/>
      <c r="L46" s="44"/>
      <c r="M46" s="44"/>
      <c r="N46" s="44"/>
      <c r="O46" s="44"/>
      <c r="P46" s="44"/>
      <c r="Q46" s="44"/>
      <c r="R46" s="44"/>
      <c r="S46" s="44"/>
      <c r="T46" s="44"/>
      <c r="U46" s="44"/>
      <c r="V46" s="44"/>
      <c r="W46" s="44"/>
      <c r="X46" s="44"/>
      <c r="Y46" s="44"/>
      <c r="Z46" s="44"/>
      <c r="AA46" s="45"/>
      <c r="AB46" s="1368"/>
    </row>
    <row r="47" spans="1:28" s="200" customFormat="1" x14ac:dyDescent="0.35">
      <c r="A47" s="1368"/>
      <c r="B47" s="43" t="s">
        <v>94</v>
      </c>
      <c r="C47" s="44"/>
      <c r="D47" s="44"/>
      <c r="E47" s="37"/>
      <c r="F47" s="44"/>
      <c r="G47" s="1662">
        <f>NPV(G46,H44:AA44)+G44</f>
        <v>0</v>
      </c>
      <c r="H47" s="44"/>
      <c r="I47" s="44"/>
      <c r="J47" s="44"/>
      <c r="K47" s="44"/>
      <c r="L47" s="44"/>
      <c r="M47" s="44"/>
      <c r="N47" s="44"/>
      <c r="O47" s="44"/>
      <c r="P47" s="44"/>
      <c r="Q47" s="44"/>
      <c r="R47" s="44"/>
      <c r="S47" s="44"/>
      <c r="T47" s="44"/>
      <c r="U47" s="44"/>
      <c r="V47" s="44"/>
      <c r="W47" s="44"/>
      <c r="X47" s="44"/>
      <c r="Y47" s="44"/>
      <c r="Z47" s="44"/>
      <c r="AA47" s="45"/>
      <c r="AB47" s="1368"/>
    </row>
    <row r="48" spans="1:28" s="200" customFormat="1" ht="17.25" customHeight="1" x14ac:dyDescent="0.35">
      <c r="A48" s="1368"/>
      <c r="B48" s="43" t="s">
        <v>95</v>
      </c>
      <c r="C48" s="44"/>
      <c r="D48" s="44"/>
      <c r="E48" s="37"/>
      <c r="F48" s="44"/>
      <c r="G48" s="50">
        <f>-NPV($G$46,H20:AA20)</f>
        <v>-7771811.3074877746</v>
      </c>
      <c r="H48" s="44"/>
      <c r="I48" s="44"/>
      <c r="J48" s="44"/>
      <c r="K48" s="44"/>
      <c r="L48" s="44"/>
      <c r="M48" s="44"/>
      <c r="N48" s="44"/>
      <c r="O48" s="44"/>
      <c r="P48" s="44"/>
      <c r="Q48" s="44"/>
      <c r="R48" s="44"/>
      <c r="S48" s="44"/>
      <c r="T48" s="44"/>
      <c r="U48" s="44"/>
      <c r="V48" s="44"/>
      <c r="W48" s="44"/>
      <c r="X48" s="44"/>
      <c r="Y48" s="44"/>
      <c r="Z48" s="44"/>
      <c r="AA48" s="45"/>
      <c r="AB48" s="1368"/>
    </row>
    <row r="49" spans="1:28" s="200" customFormat="1" ht="17.25" customHeight="1" thickBot="1" x14ac:dyDescent="0.4">
      <c r="A49" s="1368"/>
      <c r="B49" s="43" t="s">
        <v>96</v>
      </c>
      <c r="C49" s="44"/>
      <c r="D49" s="44"/>
      <c r="E49" s="37"/>
      <c r="F49" s="37" t="s">
        <v>749</v>
      </c>
      <c r="G49" s="1807">
        <f>IF(OR(G47=0, G48=0), 0, G47/G48)</f>
        <v>0</v>
      </c>
      <c r="H49" s="44"/>
      <c r="I49" s="44"/>
      <c r="J49" s="44"/>
      <c r="K49" s="44"/>
      <c r="L49" s="44"/>
      <c r="M49" s="44"/>
      <c r="N49" s="44"/>
      <c r="O49" s="44"/>
      <c r="P49" s="44"/>
      <c r="Q49" s="44"/>
      <c r="R49" s="44"/>
      <c r="S49" s="44"/>
      <c r="T49" s="44"/>
      <c r="U49" s="44"/>
      <c r="V49" s="44"/>
      <c r="W49" s="44"/>
      <c r="X49" s="44"/>
      <c r="Y49" s="44"/>
      <c r="Z49" s="44"/>
      <c r="AA49" s="45"/>
      <c r="AB49" s="1368"/>
    </row>
    <row r="50" spans="1:28" s="200" customFormat="1" ht="17.25" customHeight="1" thickBot="1" x14ac:dyDescent="0.45">
      <c r="A50" s="1368"/>
      <c r="B50" s="57" t="s">
        <v>97</v>
      </c>
      <c r="C50" s="58"/>
      <c r="D50" s="58"/>
      <c r="E50" s="59"/>
      <c r="F50" s="59" t="s">
        <v>749</v>
      </c>
      <c r="G50" s="1808">
        <f>$G$49/(1-'III. Inputs, Renewable Energy'!$U$18)</f>
        <v>0</v>
      </c>
      <c r="H50" s="44"/>
      <c r="I50" s="44"/>
      <c r="J50" s="44"/>
      <c r="K50" s="44"/>
      <c r="L50" s="44"/>
      <c r="M50" s="44"/>
      <c r="N50" s="44"/>
      <c r="O50" s="44"/>
      <c r="P50" s="44"/>
      <c r="Q50" s="44"/>
      <c r="R50" s="44"/>
      <c r="S50" s="44"/>
      <c r="T50" s="44"/>
      <c r="U50" s="44"/>
      <c r="V50" s="44"/>
      <c r="W50" s="44"/>
      <c r="X50" s="44"/>
      <c r="Y50" s="44"/>
      <c r="Z50" s="44"/>
      <c r="AA50" s="45"/>
      <c r="AB50" s="1368"/>
    </row>
    <row r="51" spans="1:28" s="200" customFormat="1" ht="17.25" customHeight="1" thickBot="1" x14ac:dyDescent="0.45">
      <c r="A51" s="1368"/>
      <c r="B51" s="60"/>
      <c r="C51" s="61"/>
      <c r="D51" s="61"/>
      <c r="E51" s="62"/>
      <c r="F51" s="62"/>
      <c r="G51" s="1809"/>
      <c r="H51" s="63"/>
      <c r="I51" s="63"/>
      <c r="J51" s="63"/>
      <c r="K51" s="63"/>
      <c r="L51" s="63"/>
      <c r="M51" s="63"/>
      <c r="N51" s="63"/>
      <c r="O51" s="63"/>
      <c r="P51" s="63"/>
      <c r="Q51" s="63"/>
      <c r="R51" s="63"/>
      <c r="S51" s="63"/>
      <c r="T51" s="63"/>
      <c r="U51" s="63"/>
      <c r="V51" s="63"/>
      <c r="W51" s="63"/>
      <c r="X51" s="63"/>
      <c r="Y51" s="63"/>
      <c r="Z51" s="63"/>
      <c r="AA51" s="64"/>
      <c r="AB51" s="1368"/>
    </row>
    <row r="52" spans="1:28" s="200" customFormat="1" ht="17.25" customHeight="1" thickBot="1" x14ac:dyDescent="0.4">
      <c r="A52" s="1368"/>
      <c r="B52" s="1368"/>
      <c r="C52" s="1368"/>
      <c r="D52" s="1368"/>
      <c r="E52" s="1368"/>
      <c r="F52" s="1368"/>
      <c r="G52" s="1368"/>
      <c r="H52" s="1368"/>
      <c r="I52" s="1368"/>
      <c r="J52" s="1368"/>
      <c r="K52" s="1368"/>
      <c r="L52" s="1368"/>
      <c r="M52" s="1368"/>
      <c r="N52" s="1368"/>
      <c r="O52" s="1368"/>
      <c r="P52" s="1368"/>
      <c r="Q52" s="1368"/>
      <c r="R52" s="1368"/>
      <c r="S52" s="1368"/>
      <c r="T52" s="1368"/>
      <c r="U52" s="1368"/>
      <c r="V52" s="1368"/>
      <c r="W52" s="1368"/>
      <c r="X52" s="1368"/>
      <c r="Y52" s="1368"/>
      <c r="Z52" s="1368"/>
      <c r="AA52" s="1368"/>
      <c r="AB52" s="1368"/>
    </row>
    <row r="53" spans="1:28" s="200" customFormat="1" ht="10.5" customHeight="1" outlineLevel="1" x14ac:dyDescent="0.35">
      <c r="A53" s="1368"/>
      <c r="B53" s="65"/>
      <c r="C53" s="41"/>
      <c r="D53" s="41"/>
      <c r="E53" s="41"/>
      <c r="F53" s="41"/>
      <c r="G53" s="41"/>
      <c r="H53" s="41"/>
      <c r="I53" s="41"/>
      <c r="J53" s="41"/>
      <c r="K53" s="41"/>
      <c r="L53" s="41"/>
      <c r="M53" s="41"/>
      <c r="N53" s="41"/>
      <c r="O53" s="41"/>
      <c r="P53" s="41"/>
      <c r="Q53" s="41"/>
      <c r="R53" s="41"/>
      <c r="S53" s="41"/>
      <c r="T53" s="41"/>
      <c r="U53" s="41"/>
      <c r="V53" s="41"/>
      <c r="W53" s="41"/>
      <c r="X53" s="41"/>
      <c r="Y53" s="41"/>
      <c r="Z53" s="41"/>
      <c r="AA53" s="42"/>
      <c r="AB53" s="1368"/>
    </row>
    <row r="54" spans="1:28" s="200" customFormat="1" ht="17.25" customHeight="1" outlineLevel="1" x14ac:dyDescent="0.4">
      <c r="A54" s="1368"/>
      <c r="B54" s="54" t="s">
        <v>98</v>
      </c>
      <c r="C54" s="44"/>
      <c r="D54" s="44"/>
      <c r="E54" s="44"/>
      <c r="F54" s="44"/>
      <c r="G54" s="44"/>
      <c r="H54" s="44"/>
      <c r="I54" s="44"/>
      <c r="J54" s="44"/>
      <c r="K54" s="44"/>
      <c r="L54" s="44"/>
      <c r="M54" s="44"/>
      <c r="N54" s="44"/>
      <c r="O54" s="44"/>
      <c r="P54" s="44"/>
      <c r="Q54" s="44"/>
      <c r="R54" s="44"/>
      <c r="S54" s="44"/>
      <c r="T54" s="44"/>
      <c r="U54" s="44"/>
      <c r="V54" s="44"/>
      <c r="W54" s="44"/>
      <c r="X54" s="44"/>
      <c r="Y54" s="44"/>
      <c r="Z54" s="44"/>
      <c r="AA54" s="45"/>
      <c r="AB54" s="1368"/>
    </row>
    <row r="55" spans="1:28" s="200" customFormat="1" ht="6.75" customHeight="1" outlineLevel="1" x14ac:dyDescent="0.35">
      <c r="A55" s="1368"/>
      <c r="B55" s="43"/>
      <c r="C55" s="44"/>
      <c r="D55" s="44"/>
      <c r="E55" s="37"/>
      <c r="F55" s="44"/>
      <c r="G55" s="44"/>
      <c r="H55" s="44"/>
      <c r="I55" s="44"/>
      <c r="J55" s="44"/>
      <c r="K55" s="44"/>
      <c r="L55" s="44"/>
      <c r="M55" s="44"/>
      <c r="N55" s="44"/>
      <c r="O55" s="44"/>
      <c r="P55" s="44"/>
      <c r="Q55" s="44"/>
      <c r="R55" s="44"/>
      <c r="S55" s="44"/>
      <c r="T55" s="44"/>
      <c r="U55" s="44"/>
      <c r="V55" s="44"/>
      <c r="W55" s="44"/>
      <c r="X55" s="44"/>
      <c r="Y55" s="44"/>
      <c r="Z55" s="44"/>
      <c r="AA55" s="45"/>
      <c r="AB55" s="1368"/>
    </row>
    <row r="56" spans="1:28" s="200" customFormat="1" ht="17.25" customHeight="1" outlineLevel="1" x14ac:dyDescent="0.4">
      <c r="A56" s="1368"/>
      <c r="B56" s="46" t="s">
        <v>51</v>
      </c>
      <c r="C56" s="47"/>
      <c r="D56" s="47"/>
      <c r="E56" s="48"/>
      <c r="F56" s="47"/>
      <c r="G56" s="48">
        <f>G16</f>
        <v>0</v>
      </c>
      <c r="H56" s="48">
        <f t="shared" ref="H56:AA56" si="11">H16</f>
        <v>1</v>
      </c>
      <c r="I56" s="48">
        <f t="shared" si="11"/>
        <v>2</v>
      </c>
      <c r="J56" s="48">
        <f t="shared" si="11"/>
        <v>3</v>
      </c>
      <c r="K56" s="48">
        <f t="shared" si="11"/>
        <v>4</v>
      </c>
      <c r="L56" s="48">
        <f t="shared" si="11"/>
        <v>5</v>
      </c>
      <c r="M56" s="48">
        <f t="shared" si="11"/>
        <v>6</v>
      </c>
      <c r="N56" s="48">
        <f t="shared" si="11"/>
        <v>7</v>
      </c>
      <c r="O56" s="48">
        <f t="shared" si="11"/>
        <v>8</v>
      </c>
      <c r="P56" s="48">
        <f t="shared" si="11"/>
        <v>9</v>
      </c>
      <c r="Q56" s="48">
        <f t="shared" si="11"/>
        <v>10</v>
      </c>
      <c r="R56" s="48">
        <f t="shared" si="11"/>
        <v>11</v>
      </c>
      <c r="S56" s="48">
        <f t="shared" si="11"/>
        <v>12</v>
      </c>
      <c r="T56" s="48">
        <f t="shared" si="11"/>
        <v>13</v>
      </c>
      <c r="U56" s="48">
        <f t="shared" si="11"/>
        <v>14</v>
      </c>
      <c r="V56" s="48">
        <f t="shared" si="11"/>
        <v>15</v>
      </c>
      <c r="W56" s="48">
        <f t="shared" si="11"/>
        <v>16</v>
      </c>
      <c r="X56" s="48">
        <f t="shared" si="11"/>
        <v>17</v>
      </c>
      <c r="Y56" s="48">
        <f t="shared" si="11"/>
        <v>18</v>
      </c>
      <c r="Z56" s="48">
        <f t="shared" si="11"/>
        <v>19</v>
      </c>
      <c r="AA56" s="49">
        <f t="shared" si="11"/>
        <v>20</v>
      </c>
      <c r="AB56" s="1368"/>
    </row>
    <row r="57" spans="1:28" s="200" customFormat="1" ht="17.25" customHeight="1" outlineLevel="1" x14ac:dyDescent="0.35">
      <c r="A57" s="1368"/>
      <c r="B57" s="43"/>
      <c r="C57" s="44"/>
      <c r="D57" s="44"/>
      <c r="E57" s="37"/>
      <c r="F57" s="44"/>
      <c r="G57" s="37"/>
      <c r="H57" s="37"/>
      <c r="I57" s="44"/>
      <c r="J57" s="44"/>
      <c r="K57" s="44"/>
      <c r="L57" s="44"/>
      <c r="M57" s="44"/>
      <c r="N57" s="44"/>
      <c r="O57" s="44"/>
      <c r="P57" s="44"/>
      <c r="Q57" s="44"/>
      <c r="R57" s="44"/>
      <c r="S57" s="44"/>
      <c r="T57" s="44"/>
      <c r="U57" s="44"/>
      <c r="V57" s="44"/>
      <c r="W57" s="44"/>
      <c r="X57" s="44"/>
      <c r="Y57" s="44"/>
      <c r="Z57" s="44"/>
      <c r="AA57" s="45"/>
      <c r="AB57" s="1368"/>
    </row>
    <row r="58" spans="1:28" s="200" customFormat="1" ht="17.25" customHeight="1" outlineLevel="1" x14ac:dyDescent="0.35">
      <c r="A58" s="1368"/>
      <c r="B58" s="43" t="s">
        <v>85</v>
      </c>
      <c r="C58" s="44"/>
      <c r="D58" s="44"/>
      <c r="E58" s="37"/>
      <c r="F58" s="37" t="s">
        <v>86</v>
      </c>
      <c r="G58" s="37"/>
      <c r="H58" s="66">
        <f>H20</f>
        <v>1415484.8190000001</v>
      </c>
      <c r="I58" s="66">
        <f t="shared" ref="I58:AA58" si="12">I20</f>
        <v>1408407.3949050002</v>
      </c>
      <c r="J58" s="66">
        <f t="shared" si="12"/>
        <v>1401365.3579304751</v>
      </c>
      <c r="K58" s="66">
        <f t="shared" si="12"/>
        <v>1394358.5311408229</v>
      </c>
      <c r="L58" s="66">
        <f t="shared" si="12"/>
        <v>1387386.7384851188</v>
      </c>
      <c r="M58" s="66">
        <f t="shared" si="12"/>
        <v>1380449.8047926931</v>
      </c>
      <c r="N58" s="66">
        <f t="shared" si="12"/>
        <v>1373547.5557687299</v>
      </c>
      <c r="O58" s="66">
        <f t="shared" si="12"/>
        <v>1366679.817989886</v>
      </c>
      <c r="P58" s="66">
        <f t="shared" si="12"/>
        <v>1359846.4188999366</v>
      </c>
      <c r="Q58" s="66">
        <f t="shared" si="12"/>
        <v>1353047.1868054369</v>
      </c>
      <c r="R58" s="66">
        <f t="shared" si="12"/>
        <v>1346281.9508714096</v>
      </c>
      <c r="S58" s="66">
        <f t="shared" si="12"/>
        <v>1339550.5411170525</v>
      </c>
      <c r="T58" s="66">
        <f t="shared" si="12"/>
        <v>1332852.7884114676</v>
      </c>
      <c r="U58" s="66">
        <f t="shared" si="12"/>
        <v>1326188.5244694103</v>
      </c>
      <c r="V58" s="66">
        <f t="shared" si="12"/>
        <v>1319557.5818470633</v>
      </c>
      <c r="W58" s="66">
        <f t="shared" si="12"/>
        <v>1312959.7939378279</v>
      </c>
      <c r="X58" s="66">
        <f t="shared" si="12"/>
        <v>1306394.9949681386</v>
      </c>
      <c r="Y58" s="66">
        <f t="shared" si="12"/>
        <v>1299863.019993298</v>
      </c>
      <c r="Z58" s="66">
        <f t="shared" si="12"/>
        <v>1293363.7048933315</v>
      </c>
      <c r="AA58" s="357">
        <f t="shared" si="12"/>
        <v>1286896.8863688649</v>
      </c>
      <c r="AB58" s="1368"/>
    </row>
    <row r="59" spans="1:28" s="200" customFormat="1" ht="17.25" customHeight="1" outlineLevel="1" x14ac:dyDescent="0.35">
      <c r="A59" s="1368"/>
      <c r="B59" s="43"/>
      <c r="C59" s="44"/>
      <c r="D59" s="44"/>
      <c r="E59" s="37"/>
      <c r="F59" s="37"/>
      <c r="G59" s="37"/>
      <c r="H59" s="67"/>
      <c r="I59" s="67"/>
      <c r="J59" s="67"/>
      <c r="K59" s="67"/>
      <c r="L59" s="67"/>
      <c r="M59" s="67"/>
      <c r="N59" s="67"/>
      <c r="O59" s="67"/>
      <c r="P59" s="67"/>
      <c r="Q59" s="67"/>
      <c r="R59" s="67"/>
      <c r="S59" s="67"/>
      <c r="T59" s="67"/>
      <c r="U59" s="67"/>
      <c r="V59" s="67"/>
      <c r="W59" s="67"/>
      <c r="X59" s="67"/>
      <c r="Y59" s="67"/>
      <c r="Z59" s="67"/>
      <c r="AA59" s="358"/>
      <c r="AB59" s="1368"/>
    </row>
    <row r="60" spans="1:28" s="200" customFormat="1" ht="17.25" customHeight="1" outlineLevel="1" x14ac:dyDescent="0.35">
      <c r="A60" s="1368"/>
      <c r="B60" s="43" t="s">
        <v>99</v>
      </c>
      <c r="C60" s="44"/>
      <c r="D60" s="44"/>
      <c r="E60" s="37"/>
      <c r="F60" s="37" t="s">
        <v>749</v>
      </c>
      <c r="G60" s="37"/>
      <c r="H60" s="1810">
        <f>$G$50</f>
        <v>0</v>
      </c>
      <c r="I60" s="1810">
        <f t="shared" ref="I60:AA60" si="13">$G$50</f>
        <v>0</v>
      </c>
      <c r="J60" s="1810">
        <f t="shared" si="13"/>
        <v>0</v>
      </c>
      <c r="K60" s="1810">
        <f t="shared" si="13"/>
        <v>0</v>
      </c>
      <c r="L60" s="1810">
        <f t="shared" si="13"/>
        <v>0</v>
      </c>
      <c r="M60" s="1810">
        <f t="shared" si="13"/>
        <v>0</v>
      </c>
      <c r="N60" s="1810">
        <f t="shared" si="13"/>
        <v>0</v>
      </c>
      <c r="O60" s="1810">
        <f t="shared" si="13"/>
        <v>0</v>
      </c>
      <c r="P60" s="1810">
        <f t="shared" si="13"/>
        <v>0</v>
      </c>
      <c r="Q60" s="1810">
        <f t="shared" si="13"/>
        <v>0</v>
      </c>
      <c r="R60" s="1810">
        <f t="shared" si="13"/>
        <v>0</v>
      </c>
      <c r="S60" s="1810">
        <f t="shared" si="13"/>
        <v>0</v>
      </c>
      <c r="T60" s="1810">
        <f t="shared" si="13"/>
        <v>0</v>
      </c>
      <c r="U60" s="1810">
        <f t="shared" si="13"/>
        <v>0</v>
      </c>
      <c r="V60" s="1810">
        <f t="shared" si="13"/>
        <v>0</v>
      </c>
      <c r="W60" s="1810">
        <f t="shared" si="13"/>
        <v>0</v>
      </c>
      <c r="X60" s="1810">
        <f t="shared" si="13"/>
        <v>0</v>
      </c>
      <c r="Y60" s="1810">
        <f t="shared" si="13"/>
        <v>0</v>
      </c>
      <c r="Z60" s="1810">
        <f t="shared" si="13"/>
        <v>0</v>
      </c>
      <c r="AA60" s="1811">
        <f t="shared" si="13"/>
        <v>0</v>
      </c>
      <c r="AB60" s="1368"/>
    </row>
    <row r="61" spans="1:28" s="200" customFormat="1" ht="17.25" customHeight="1" outlineLevel="1" x14ac:dyDescent="0.35">
      <c r="A61" s="1368"/>
      <c r="B61" s="55"/>
      <c r="C61" s="52"/>
      <c r="D61" s="52"/>
      <c r="E61" s="30"/>
      <c r="F61" s="30"/>
      <c r="G61" s="30"/>
      <c r="H61" s="68"/>
      <c r="I61" s="68"/>
      <c r="J61" s="68"/>
      <c r="K61" s="68"/>
      <c r="L61" s="68"/>
      <c r="M61" s="68"/>
      <c r="N61" s="68"/>
      <c r="O61" s="68"/>
      <c r="P61" s="68"/>
      <c r="Q61" s="68"/>
      <c r="R61" s="68"/>
      <c r="S61" s="68"/>
      <c r="T61" s="68"/>
      <c r="U61" s="68"/>
      <c r="V61" s="68"/>
      <c r="W61" s="68"/>
      <c r="X61" s="68"/>
      <c r="Y61" s="68"/>
      <c r="Z61" s="68"/>
      <c r="AA61" s="359"/>
      <c r="AB61" s="1368"/>
    </row>
    <row r="62" spans="1:28" s="200" customFormat="1" ht="17.25" customHeight="1" outlineLevel="1" x14ac:dyDescent="0.35">
      <c r="A62" s="1368"/>
      <c r="B62" s="43" t="s">
        <v>100</v>
      </c>
      <c r="C62" s="44"/>
      <c r="D62" s="44"/>
      <c r="E62" s="37"/>
      <c r="F62" s="37" t="s">
        <v>748</v>
      </c>
      <c r="G62" s="170"/>
      <c r="H62" s="1666">
        <f>H58*H60</f>
        <v>0</v>
      </c>
      <c r="I62" s="1666">
        <f t="shared" ref="I62:AA62" si="14">I58*I60</f>
        <v>0</v>
      </c>
      <c r="J62" s="1666">
        <f t="shared" si="14"/>
        <v>0</v>
      </c>
      <c r="K62" s="1666">
        <f t="shared" si="14"/>
        <v>0</v>
      </c>
      <c r="L62" s="1666">
        <f t="shared" si="14"/>
        <v>0</v>
      </c>
      <c r="M62" s="1666">
        <f t="shared" si="14"/>
        <v>0</v>
      </c>
      <c r="N62" s="1666">
        <f t="shared" si="14"/>
        <v>0</v>
      </c>
      <c r="O62" s="1666">
        <f t="shared" si="14"/>
        <v>0</v>
      </c>
      <c r="P62" s="1666">
        <f t="shared" si="14"/>
        <v>0</v>
      </c>
      <c r="Q62" s="1666">
        <f t="shared" si="14"/>
        <v>0</v>
      </c>
      <c r="R62" s="1666">
        <f t="shared" si="14"/>
        <v>0</v>
      </c>
      <c r="S62" s="1666">
        <f t="shared" si="14"/>
        <v>0</v>
      </c>
      <c r="T62" s="1666">
        <f t="shared" si="14"/>
        <v>0</v>
      </c>
      <c r="U62" s="1666">
        <f t="shared" si="14"/>
        <v>0</v>
      </c>
      <c r="V62" s="1666">
        <f t="shared" si="14"/>
        <v>0</v>
      </c>
      <c r="W62" s="1666">
        <f t="shared" si="14"/>
        <v>0</v>
      </c>
      <c r="X62" s="1666">
        <f t="shared" si="14"/>
        <v>0</v>
      </c>
      <c r="Y62" s="1666">
        <f t="shared" si="14"/>
        <v>0</v>
      </c>
      <c r="Z62" s="1666">
        <f t="shared" si="14"/>
        <v>0</v>
      </c>
      <c r="AA62" s="1667">
        <f t="shared" si="14"/>
        <v>0</v>
      </c>
      <c r="AB62" s="1368"/>
    </row>
    <row r="63" spans="1:28" s="200" customFormat="1" ht="6.75" customHeight="1" outlineLevel="1" x14ac:dyDescent="0.35">
      <c r="A63" s="1368"/>
      <c r="B63" s="43"/>
      <c r="C63" s="44"/>
      <c r="D63" s="44"/>
      <c r="E63" s="37"/>
      <c r="F63" s="37"/>
      <c r="G63" s="170"/>
      <c r="H63" s="1666"/>
      <c r="I63" s="1666"/>
      <c r="J63" s="1666"/>
      <c r="K63" s="1666"/>
      <c r="L63" s="1666"/>
      <c r="M63" s="1666"/>
      <c r="N63" s="1666"/>
      <c r="O63" s="1666"/>
      <c r="P63" s="1666"/>
      <c r="Q63" s="1666"/>
      <c r="R63" s="1666"/>
      <c r="S63" s="1666"/>
      <c r="T63" s="1666"/>
      <c r="U63" s="1666"/>
      <c r="V63" s="1666"/>
      <c r="W63" s="1666"/>
      <c r="X63" s="1666"/>
      <c r="Y63" s="1666"/>
      <c r="Z63" s="1666"/>
      <c r="AA63" s="1667"/>
      <c r="AB63" s="1368"/>
    </row>
    <row r="64" spans="1:28" s="200" customFormat="1" ht="17.25" customHeight="1" outlineLevel="1" x14ac:dyDescent="0.35">
      <c r="A64" s="1368"/>
      <c r="B64" s="43" t="s">
        <v>101</v>
      </c>
      <c r="C64" s="44"/>
      <c r="D64" s="44"/>
      <c r="E64" s="37"/>
      <c r="F64" s="37" t="s">
        <v>748</v>
      </c>
      <c r="G64" s="170"/>
      <c r="H64" s="1666">
        <f>-H24</f>
        <v>0</v>
      </c>
      <c r="I64" s="1666">
        <f t="shared" ref="I64:AA64" si="15">-I24</f>
        <v>0</v>
      </c>
      <c r="J64" s="1666">
        <f t="shared" si="15"/>
        <v>0</v>
      </c>
      <c r="K64" s="1666">
        <f t="shared" si="15"/>
        <v>0</v>
      </c>
      <c r="L64" s="1666">
        <f t="shared" si="15"/>
        <v>0</v>
      </c>
      <c r="M64" s="1666">
        <f t="shared" si="15"/>
        <v>0</v>
      </c>
      <c r="N64" s="1666">
        <f t="shared" si="15"/>
        <v>0</v>
      </c>
      <c r="O64" s="1666">
        <f t="shared" si="15"/>
        <v>0</v>
      </c>
      <c r="P64" s="1666">
        <f t="shared" si="15"/>
        <v>0</v>
      </c>
      <c r="Q64" s="1666">
        <f t="shared" si="15"/>
        <v>0</v>
      </c>
      <c r="R64" s="1666">
        <f t="shared" si="15"/>
        <v>0</v>
      </c>
      <c r="S64" s="1666">
        <f t="shared" si="15"/>
        <v>0</v>
      </c>
      <c r="T64" s="1666">
        <f t="shared" si="15"/>
        <v>0</v>
      </c>
      <c r="U64" s="1666">
        <f t="shared" si="15"/>
        <v>0</v>
      </c>
      <c r="V64" s="1666">
        <f t="shared" si="15"/>
        <v>0</v>
      </c>
      <c r="W64" s="1666">
        <f t="shared" si="15"/>
        <v>0</v>
      </c>
      <c r="X64" s="1666">
        <f t="shared" si="15"/>
        <v>0</v>
      </c>
      <c r="Y64" s="1666">
        <f t="shared" si="15"/>
        <v>0</v>
      </c>
      <c r="Z64" s="1666">
        <f t="shared" si="15"/>
        <v>0</v>
      </c>
      <c r="AA64" s="1667">
        <f t="shared" si="15"/>
        <v>0</v>
      </c>
      <c r="AB64" s="1368"/>
    </row>
    <row r="65" spans="1:28" s="200" customFormat="1" ht="4.5" customHeight="1" outlineLevel="1" x14ac:dyDescent="0.35">
      <c r="A65" s="1368"/>
      <c r="B65" s="43"/>
      <c r="C65" s="44"/>
      <c r="D65" s="44"/>
      <c r="E65" s="37"/>
      <c r="F65" s="37"/>
      <c r="G65" s="170"/>
      <c r="H65" s="1666"/>
      <c r="I65" s="1666"/>
      <c r="J65" s="1666"/>
      <c r="K65" s="1666"/>
      <c r="L65" s="1666"/>
      <c r="M65" s="1666"/>
      <c r="N65" s="1666"/>
      <c r="O65" s="1666"/>
      <c r="P65" s="1666"/>
      <c r="Q65" s="1666"/>
      <c r="R65" s="1666"/>
      <c r="S65" s="1666"/>
      <c r="T65" s="1666"/>
      <c r="U65" s="1666"/>
      <c r="V65" s="1666"/>
      <c r="W65" s="1666"/>
      <c r="X65" s="1666"/>
      <c r="Y65" s="1666"/>
      <c r="Z65" s="1666"/>
      <c r="AA65" s="1667"/>
      <c r="AB65" s="1368"/>
    </row>
    <row r="66" spans="1:28" s="200" customFormat="1" ht="17.25" customHeight="1" outlineLevel="1" x14ac:dyDescent="0.4">
      <c r="A66" s="1368"/>
      <c r="B66" s="54" t="s">
        <v>102</v>
      </c>
      <c r="C66" s="69"/>
      <c r="D66" s="69"/>
      <c r="E66" s="70"/>
      <c r="F66" s="70"/>
      <c r="G66" s="172"/>
      <c r="H66" s="1668">
        <f>H62+H64</f>
        <v>0</v>
      </c>
      <c r="I66" s="1668">
        <f t="shared" ref="I66:AA66" si="16">I62+I64</f>
        <v>0</v>
      </c>
      <c r="J66" s="1668">
        <f t="shared" si="16"/>
        <v>0</v>
      </c>
      <c r="K66" s="1668">
        <f t="shared" si="16"/>
        <v>0</v>
      </c>
      <c r="L66" s="1668">
        <f t="shared" si="16"/>
        <v>0</v>
      </c>
      <c r="M66" s="1668">
        <f t="shared" si="16"/>
        <v>0</v>
      </c>
      <c r="N66" s="1668">
        <f t="shared" si="16"/>
        <v>0</v>
      </c>
      <c r="O66" s="1668">
        <f t="shared" si="16"/>
        <v>0</v>
      </c>
      <c r="P66" s="1668">
        <f t="shared" si="16"/>
        <v>0</v>
      </c>
      <c r="Q66" s="1668">
        <f t="shared" si="16"/>
        <v>0</v>
      </c>
      <c r="R66" s="1668">
        <f t="shared" si="16"/>
        <v>0</v>
      </c>
      <c r="S66" s="1668">
        <f t="shared" si="16"/>
        <v>0</v>
      </c>
      <c r="T66" s="1668">
        <f t="shared" si="16"/>
        <v>0</v>
      </c>
      <c r="U66" s="1668">
        <f t="shared" si="16"/>
        <v>0</v>
      </c>
      <c r="V66" s="1668">
        <f t="shared" si="16"/>
        <v>0</v>
      </c>
      <c r="W66" s="1668">
        <f t="shared" si="16"/>
        <v>0</v>
      </c>
      <c r="X66" s="1668">
        <f t="shared" si="16"/>
        <v>0</v>
      </c>
      <c r="Y66" s="1668">
        <f t="shared" si="16"/>
        <v>0</v>
      </c>
      <c r="Z66" s="1668">
        <f t="shared" si="16"/>
        <v>0</v>
      </c>
      <c r="AA66" s="1669">
        <f t="shared" si="16"/>
        <v>0</v>
      </c>
      <c r="AB66" s="1368"/>
    </row>
    <row r="67" spans="1:28" s="200" customFormat="1" ht="7.5" customHeight="1" outlineLevel="1" x14ac:dyDescent="0.35">
      <c r="A67" s="1368"/>
      <c r="B67" s="43"/>
      <c r="C67" s="44"/>
      <c r="D67" s="44"/>
      <c r="E67" s="37"/>
      <c r="F67" s="37"/>
      <c r="G67" s="170"/>
      <c r="H67" s="1666"/>
      <c r="I67" s="1666"/>
      <c r="J67" s="1666"/>
      <c r="K67" s="1666"/>
      <c r="L67" s="1666"/>
      <c r="M67" s="1666"/>
      <c r="N67" s="1666"/>
      <c r="O67" s="1666"/>
      <c r="P67" s="1666"/>
      <c r="Q67" s="1666"/>
      <c r="R67" s="1666"/>
      <c r="S67" s="1666"/>
      <c r="T67" s="1666"/>
      <c r="U67" s="1666"/>
      <c r="V67" s="1666"/>
      <c r="W67" s="1666"/>
      <c r="X67" s="1666"/>
      <c r="Y67" s="1666"/>
      <c r="Z67" s="1666"/>
      <c r="AA67" s="1667"/>
      <c r="AB67" s="1368"/>
    </row>
    <row r="68" spans="1:28" s="200" customFormat="1" ht="17.25" customHeight="1" outlineLevel="1" x14ac:dyDescent="0.35">
      <c r="A68" s="1368"/>
      <c r="B68" s="43" t="s">
        <v>103</v>
      </c>
      <c r="C68" s="44"/>
      <c r="D68" s="44"/>
      <c r="E68" s="37"/>
      <c r="F68" s="37"/>
      <c r="G68" s="170"/>
      <c r="H68" s="1666">
        <f>-H26</f>
        <v>0</v>
      </c>
      <c r="I68" s="1666">
        <f t="shared" ref="I68:AA68" si="17">-I26</f>
        <v>0</v>
      </c>
      <c r="J68" s="1666">
        <f t="shared" si="17"/>
        <v>0</v>
      </c>
      <c r="K68" s="1666">
        <f t="shared" si="17"/>
        <v>0</v>
      </c>
      <c r="L68" s="1666">
        <f t="shared" si="17"/>
        <v>0</v>
      </c>
      <c r="M68" s="1666">
        <f t="shared" si="17"/>
        <v>0</v>
      </c>
      <c r="N68" s="1666">
        <f t="shared" si="17"/>
        <v>0</v>
      </c>
      <c r="O68" s="1666">
        <f t="shared" si="17"/>
        <v>0</v>
      </c>
      <c r="P68" s="1666">
        <f t="shared" si="17"/>
        <v>0</v>
      </c>
      <c r="Q68" s="1666">
        <f t="shared" si="17"/>
        <v>0</v>
      </c>
      <c r="R68" s="1666">
        <f t="shared" si="17"/>
        <v>0</v>
      </c>
      <c r="S68" s="1666">
        <f t="shared" si="17"/>
        <v>0</v>
      </c>
      <c r="T68" s="1666">
        <f t="shared" si="17"/>
        <v>0</v>
      </c>
      <c r="U68" s="1666">
        <f t="shared" si="17"/>
        <v>0</v>
      </c>
      <c r="V68" s="1666">
        <f t="shared" si="17"/>
        <v>0</v>
      </c>
      <c r="W68" s="1666">
        <f t="shared" si="17"/>
        <v>0</v>
      </c>
      <c r="X68" s="1666">
        <f t="shared" si="17"/>
        <v>0</v>
      </c>
      <c r="Y68" s="1666">
        <f t="shared" si="17"/>
        <v>0</v>
      </c>
      <c r="Z68" s="1666">
        <f t="shared" si="17"/>
        <v>0</v>
      </c>
      <c r="AA68" s="1667">
        <f t="shared" si="17"/>
        <v>0</v>
      </c>
      <c r="AB68" s="1368"/>
    </row>
    <row r="69" spans="1:28" s="200" customFormat="1" ht="9" customHeight="1" outlineLevel="1" x14ac:dyDescent="0.35">
      <c r="A69" s="1368"/>
      <c r="B69" s="43"/>
      <c r="C69" s="44"/>
      <c r="D69" s="44"/>
      <c r="E69" s="37"/>
      <c r="F69" s="37"/>
      <c r="G69" s="170"/>
      <c r="H69" s="1666"/>
      <c r="I69" s="1666"/>
      <c r="J69" s="1666"/>
      <c r="K69" s="1666"/>
      <c r="L69" s="1666"/>
      <c r="M69" s="1666"/>
      <c r="N69" s="1666"/>
      <c r="O69" s="1666"/>
      <c r="P69" s="1666"/>
      <c r="Q69" s="1666"/>
      <c r="R69" s="1666"/>
      <c r="S69" s="1666"/>
      <c r="T69" s="1666"/>
      <c r="U69" s="1666"/>
      <c r="V69" s="1666"/>
      <c r="W69" s="1666"/>
      <c r="X69" s="1666"/>
      <c r="Y69" s="1666"/>
      <c r="Z69" s="1666"/>
      <c r="AA69" s="1667"/>
      <c r="AB69" s="1368"/>
    </row>
    <row r="70" spans="1:28" s="200" customFormat="1" ht="17.25" customHeight="1" outlineLevel="1" x14ac:dyDescent="0.4">
      <c r="A70" s="1368"/>
      <c r="B70" s="54" t="s">
        <v>104</v>
      </c>
      <c r="C70" s="69"/>
      <c r="D70" s="69"/>
      <c r="E70" s="70"/>
      <c r="F70" s="70"/>
      <c r="G70" s="172"/>
      <c r="H70" s="1668">
        <f>H66+H68</f>
        <v>0</v>
      </c>
      <c r="I70" s="1668">
        <f t="shared" ref="I70:AA70" si="18">I66+I68</f>
        <v>0</v>
      </c>
      <c r="J70" s="1668">
        <f t="shared" si="18"/>
        <v>0</v>
      </c>
      <c r="K70" s="1668">
        <f t="shared" si="18"/>
        <v>0</v>
      </c>
      <c r="L70" s="1668">
        <f t="shared" si="18"/>
        <v>0</v>
      </c>
      <c r="M70" s="1668">
        <f t="shared" si="18"/>
        <v>0</v>
      </c>
      <c r="N70" s="1668">
        <f t="shared" si="18"/>
        <v>0</v>
      </c>
      <c r="O70" s="1668">
        <f t="shared" si="18"/>
        <v>0</v>
      </c>
      <c r="P70" s="1668">
        <f t="shared" si="18"/>
        <v>0</v>
      </c>
      <c r="Q70" s="1668">
        <f t="shared" si="18"/>
        <v>0</v>
      </c>
      <c r="R70" s="1668">
        <f t="shared" si="18"/>
        <v>0</v>
      </c>
      <c r="S70" s="1668">
        <f t="shared" si="18"/>
        <v>0</v>
      </c>
      <c r="T70" s="1668">
        <f t="shared" si="18"/>
        <v>0</v>
      </c>
      <c r="U70" s="1668">
        <f t="shared" si="18"/>
        <v>0</v>
      </c>
      <c r="V70" s="1668">
        <f t="shared" si="18"/>
        <v>0</v>
      </c>
      <c r="W70" s="1668">
        <f t="shared" si="18"/>
        <v>0</v>
      </c>
      <c r="X70" s="1668">
        <f t="shared" si="18"/>
        <v>0</v>
      </c>
      <c r="Y70" s="1668">
        <f t="shared" si="18"/>
        <v>0</v>
      </c>
      <c r="Z70" s="1668">
        <f t="shared" si="18"/>
        <v>0</v>
      </c>
      <c r="AA70" s="1669">
        <f t="shared" si="18"/>
        <v>0</v>
      </c>
      <c r="AB70" s="1368"/>
    </row>
    <row r="71" spans="1:28" s="200" customFormat="1" ht="6.75" customHeight="1" outlineLevel="1" x14ac:dyDescent="0.35">
      <c r="A71" s="1368"/>
      <c r="B71" s="43"/>
      <c r="C71" s="44"/>
      <c r="D71" s="44"/>
      <c r="E71" s="37"/>
      <c r="F71" s="37"/>
      <c r="G71" s="170"/>
      <c r="H71" s="1666"/>
      <c r="I71" s="1666"/>
      <c r="J71" s="1666"/>
      <c r="K71" s="1666"/>
      <c r="L71" s="1666"/>
      <c r="M71" s="1666"/>
      <c r="N71" s="1666"/>
      <c r="O71" s="1666"/>
      <c r="P71" s="1666"/>
      <c r="Q71" s="1666"/>
      <c r="R71" s="1666"/>
      <c r="S71" s="1666"/>
      <c r="T71" s="1666"/>
      <c r="U71" s="1666"/>
      <c r="V71" s="1666"/>
      <c r="W71" s="1666"/>
      <c r="X71" s="1666"/>
      <c r="Y71" s="1666"/>
      <c r="Z71" s="1666"/>
      <c r="AA71" s="1667"/>
      <c r="AB71" s="1368"/>
    </row>
    <row r="72" spans="1:28" s="200" customFormat="1" ht="17.25" customHeight="1" outlineLevel="1" x14ac:dyDescent="0.35">
      <c r="A72" s="1368"/>
      <c r="B72" s="43" t="str">
        <f t="shared" ref="B72:B77" si="19">B28</f>
        <v xml:space="preserve">Interest Expense, public loan </v>
      </c>
      <c r="C72" s="44"/>
      <c r="D72" s="44"/>
      <c r="E72" s="37"/>
      <c r="F72" s="37"/>
      <c r="G72" s="170"/>
      <c r="H72" s="1666">
        <f t="shared" ref="H72:AA77" si="20">-H28</f>
        <v>0</v>
      </c>
      <c r="I72" s="1666">
        <f t="shared" si="20"/>
        <v>0</v>
      </c>
      <c r="J72" s="1666">
        <f t="shared" si="20"/>
        <v>0</v>
      </c>
      <c r="K72" s="1666">
        <f t="shared" si="20"/>
        <v>0</v>
      </c>
      <c r="L72" s="1666">
        <f t="shared" si="20"/>
        <v>0</v>
      </c>
      <c r="M72" s="1666">
        <f t="shared" si="20"/>
        <v>0</v>
      </c>
      <c r="N72" s="1666">
        <f t="shared" si="20"/>
        <v>0</v>
      </c>
      <c r="O72" s="1666">
        <f t="shared" si="20"/>
        <v>0</v>
      </c>
      <c r="P72" s="1666">
        <f t="shared" si="20"/>
        <v>0</v>
      </c>
      <c r="Q72" s="1666">
        <f t="shared" si="20"/>
        <v>0</v>
      </c>
      <c r="R72" s="1666">
        <f t="shared" si="20"/>
        <v>0</v>
      </c>
      <c r="S72" s="1666">
        <f t="shared" si="20"/>
        <v>0</v>
      </c>
      <c r="T72" s="1666">
        <f t="shared" si="20"/>
        <v>0</v>
      </c>
      <c r="U72" s="1666">
        <f t="shared" si="20"/>
        <v>0</v>
      </c>
      <c r="V72" s="1666">
        <f t="shared" si="20"/>
        <v>0</v>
      </c>
      <c r="W72" s="1666">
        <f t="shared" si="20"/>
        <v>0</v>
      </c>
      <c r="X72" s="1666">
        <f t="shared" si="20"/>
        <v>0</v>
      </c>
      <c r="Y72" s="1666">
        <f t="shared" si="20"/>
        <v>0</v>
      </c>
      <c r="Z72" s="1666">
        <f t="shared" si="20"/>
        <v>0</v>
      </c>
      <c r="AA72" s="1667">
        <f t="shared" si="20"/>
        <v>0</v>
      </c>
      <c r="AB72" s="1368"/>
    </row>
    <row r="73" spans="1:28" s="200" customFormat="1" ht="17.25" customHeight="1" outlineLevel="1" x14ac:dyDescent="0.35">
      <c r="A73" s="1368"/>
      <c r="B73" s="43" t="str">
        <f t="shared" si="19"/>
        <v>Interest Expense, commercial loan with public guarantees</v>
      </c>
      <c r="C73" s="44"/>
      <c r="D73" s="44"/>
      <c r="E73" s="37"/>
      <c r="F73" s="37"/>
      <c r="G73" s="170"/>
      <c r="H73" s="1666">
        <f t="shared" si="20"/>
        <v>0</v>
      </c>
      <c r="I73" s="1666">
        <f t="shared" si="20"/>
        <v>0</v>
      </c>
      <c r="J73" s="1666">
        <f t="shared" si="20"/>
        <v>0</v>
      </c>
      <c r="K73" s="1666">
        <f t="shared" si="20"/>
        <v>0</v>
      </c>
      <c r="L73" s="1666">
        <f t="shared" si="20"/>
        <v>0</v>
      </c>
      <c r="M73" s="1666">
        <f t="shared" si="20"/>
        <v>0</v>
      </c>
      <c r="N73" s="1666">
        <f t="shared" si="20"/>
        <v>0</v>
      </c>
      <c r="O73" s="1666">
        <f t="shared" si="20"/>
        <v>0</v>
      </c>
      <c r="P73" s="1666">
        <f t="shared" si="20"/>
        <v>0</v>
      </c>
      <c r="Q73" s="1666">
        <f t="shared" si="20"/>
        <v>0</v>
      </c>
      <c r="R73" s="1666">
        <f t="shared" si="20"/>
        <v>0</v>
      </c>
      <c r="S73" s="1666">
        <f t="shared" si="20"/>
        <v>0</v>
      </c>
      <c r="T73" s="1666">
        <f t="shared" si="20"/>
        <v>0</v>
      </c>
      <c r="U73" s="1666">
        <f t="shared" si="20"/>
        <v>0</v>
      </c>
      <c r="V73" s="1666">
        <f t="shared" si="20"/>
        <v>0</v>
      </c>
      <c r="W73" s="1666">
        <f t="shared" si="20"/>
        <v>0</v>
      </c>
      <c r="X73" s="1666">
        <f t="shared" si="20"/>
        <v>0</v>
      </c>
      <c r="Y73" s="1666">
        <f t="shared" si="20"/>
        <v>0</v>
      </c>
      <c r="Z73" s="1666">
        <f t="shared" si="20"/>
        <v>0</v>
      </c>
      <c r="AA73" s="1667">
        <f t="shared" si="20"/>
        <v>0</v>
      </c>
      <c r="AB73" s="1368"/>
    </row>
    <row r="74" spans="1:28" s="200" customFormat="1" ht="17.25" customHeight="1" outlineLevel="1" x14ac:dyDescent="0.35">
      <c r="A74" s="1368"/>
      <c r="B74" s="43" t="str">
        <f t="shared" si="19"/>
        <v>Interest Expense, commercial loan without public guarantees</v>
      </c>
      <c r="C74" s="44"/>
      <c r="D74" s="44"/>
      <c r="E74" s="37"/>
      <c r="F74" s="37"/>
      <c r="G74" s="170"/>
      <c r="H74" s="1666">
        <f t="shared" si="20"/>
        <v>0</v>
      </c>
      <c r="I74" s="1666">
        <f t="shared" si="20"/>
        <v>0</v>
      </c>
      <c r="J74" s="1666">
        <f t="shared" si="20"/>
        <v>0</v>
      </c>
      <c r="K74" s="1666">
        <f t="shared" si="20"/>
        <v>0</v>
      </c>
      <c r="L74" s="1666">
        <f t="shared" si="20"/>
        <v>0</v>
      </c>
      <c r="M74" s="1666">
        <f t="shared" si="20"/>
        <v>0</v>
      </c>
      <c r="N74" s="1666">
        <f t="shared" si="20"/>
        <v>0</v>
      </c>
      <c r="O74" s="1666">
        <f t="shared" si="20"/>
        <v>0</v>
      </c>
      <c r="P74" s="1666">
        <f t="shared" si="20"/>
        <v>0</v>
      </c>
      <c r="Q74" s="1666">
        <f t="shared" si="20"/>
        <v>0</v>
      </c>
      <c r="R74" s="1666">
        <f t="shared" si="20"/>
        <v>0</v>
      </c>
      <c r="S74" s="1666">
        <f t="shared" si="20"/>
        <v>0</v>
      </c>
      <c r="T74" s="1666">
        <f t="shared" si="20"/>
        <v>0</v>
      </c>
      <c r="U74" s="1666">
        <f t="shared" si="20"/>
        <v>0</v>
      </c>
      <c r="V74" s="1666">
        <f t="shared" si="20"/>
        <v>0</v>
      </c>
      <c r="W74" s="1666">
        <f t="shared" si="20"/>
        <v>0</v>
      </c>
      <c r="X74" s="1666">
        <f t="shared" si="20"/>
        <v>0</v>
      </c>
      <c r="Y74" s="1666">
        <f t="shared" si="20"/>
        <v>0</v>
      </c>
      <c r="Z74" s="1666">
        <f t="shared" si="20"/>
        <v>0</v>
      </c>
      <c r="AA74" s="1667">
        <f t="shared" si="20"/>
        <v>0</v>
      </c>
      <c r="AB74" s="1368"/>
    </row>
    <row r="75" spans="1:28" s="200" customFormat="1" ht="17.25" customHeight="1" outlineLevel="1" x14ac:dyDescent="0.35">
      <c r="A75" s="1368"/>
      <c r="B75" s="43" t="str">
        <f t="shared" si="19"/>
        <v xml:space="preserve">Front-end Fees </v>
      </c>
      <c r="C75" s="44"/>
      <c r="D75" s="44"/>
      <c r="E75" s="37"/>
      <c r="F75" s="37"/>
      <c r="G75" s="170"/>
      <c r="H75" s="1666">
        <f t="shared" si="20"/>
        <v>0</v>
      </c>
      <c r="I75" s="1666">
        <f t="shared" si="20"/>
        <v>0</v>
      </c>
      <c r="J75" s="1666">
        <f t="shared" si="20"/>
        <v>0</v>
      </c>
      <c r="K75" s="1666">
        <f t="shared" si="20"/>
        <v>0</v>
      </c>
      <c r="L75" s="1666">
        <f t="shared" si="20"/>
        <v>0</v>
      </c>
      <c r="M75" s="1666">
        <f t="shared" si="20"/>
        <v>0</v>
      </c>
      <c r="N75" s="1666">
        <f t="shared" si="20"/>
        <v>0</v>
      </c>
      <c r="O75" s="1666">
        <f t="shared" si="20"/>
        <v>0</v>
      </c>
      <c r="P75" s="1666">
        <f t="shared" si="20"/>
        <v>0</v>
      </c>
      <c r="Q75" s="1666">
        <f t="shared" si="20"/>
        <v>0</v>
      </c>
      <c r="R75" s="1666">
        <f t="shared" si="20"/>
        <v>0</v>
      </c>
      <c r="S75" s="1666">
        <f t="shared" si="20"/>
        <v>0</v>
      </c>
      <c r="T75" s="1666">
        <f t="shared" si="20"/>
        <v>0</v>
      </c>
      <c r="U75" s="1666">
        <f t="shared" si="20"/>
        <v>0</v>
      </c>
      <c r="V75" s="1666">
        <f t="shared" si="20"/>
        <v>0</v>
      </c>
      <c r="W75" s="1666">
        <f t="shared" si="20"/>
        <v>0</v>
      </c>
      <c r="X75" s="1666">
        <f t="shared" si="20"/>
        <v>0</v>
      </c>
      <c r="Y75" s="1666">
        <f t="shared" si="20"/>
        <v>0</v>
      </c>
      <c r="Z75" s="1666">
        <f t="shared" si="20"/>
        <v>0</v>
      </c>
      <c r="AA75" s="1667">
        <f t="shared" si="20"/>
        <v>0</v>
      </c>
      <c r="AB75" s="1368"/>
    </row>
    <row r="76" spans="1:28" s="200" customFormat="1" ht="17.25" customHeight="1" outlineLevel="1" x14ac:dyDescent="0.35">
      <c r="A76" s="1368"/>
      <c r="B76" s="43" t="str">
        <f t="shared" si="19"/>
        <v xml:space="preserve">Public Guarantee Fees </v>
      </c>
      <c r="C76" s="44"/>
      <c r="D76" s="44"/>
      <c r="E76" s="37"/>
      <c r="F76" s="37"/>
      <c r="G76" s="170"/>
      <c r="H76" s="1666">
        <f t="shared" si="20"/>
        <v>0</v>
      </c>
      <c r="I76" s="1666">
        <f t="shared" si="20"/>
        <v>0</v>
      </c>
      <c r="J76" s="1666">
        <f t="shared" si="20"/>
        <v>0</v>
      </c>
      <c r="K76" s="1666">
        <f t="shared" si="20"/>
        <v>0</v>
      </c>
      <c r="L76" s="1666">
        <f t="shared" si="20"/>
        <v>0</v>
      </c>
      <c r="M76" s="1666">
        <f t="shared" si="20"/>
        <v>0</v>
      </c>
      <c r="N76" s="1666">
        <f t="shared" si="20"/>
        <v>0</v>
      </c>
      <c r="O76" s="1666">
        <f t="shared" si="20"/>
        <v>0</v>
      </c>
      <c r="P76" s="1666">
        <f t="shared" si="20"/>
        <v>0</v>
      </c>
      <c r="Q76" s="1666">
        <f t="shared" si="20"/>
        <v>0</v>
      </c>
      <c r="R76" s="1666">
        <f t="shared" si="20"/>
        <v>0</v>
      </c>
      <c r="S76" s="1666">
        <f t="shared" si="20"/>
        <v>0</v>
      </c>
      <c r="T76" s="1666">
        <f t="shared" si="20"/>
        <v>0</v>
      </c>
      <c r="U76" s="1666">
        <f t="shared" si="20"/>
        <v>0</v>
      </c>
      <c r="V76" s="1666">
        <f t="shared" si="20"/>
        <v>0</v>
      </c>
      <c r="W76" s="1666">
        <f t="shared" si="20"/>
        <v>0</v>
      </c>
      <c r="X76" s="1666">
        <f t="shared" si="20"/>
        <v>0</v>
      </c>
      <c r="Y76" s="1666">
        <f t="shared" si="20"/>
        <v>0</v>
      </c>
      <c r="Z76" s="1666">
        <f t="shared" si="20"/>
        <v>0</v>
      </c>
      <c r="AA76" s="1667">
        <f t="shared" si="20"/>
        <v>0</v>
      </c>
      <c r="AB76" s="1368"/>
    </row>
    <row r="77" spans="1:28" s="200" customFormat="1" ht="17.25" customHeight="1" outlineLevel="1" x14ac:dyDescent="0.35">
      <c r="A77" s="1368"/>
      <c r="B77" s="43" t="str">
        <f t="shared" si="19"/>
        <v>Political Risk Insurance - Fees &amp; Annual Premium Payments</v>
      </c>
      <c r="C77" s="44"/>
      <c r="D77" s="44"/>
      <c r="E77" s="37"/>
      <c r="F77" s="37"/>
      <c r="G77" s="170"/>
      <c r="H77" s="1666">
        <f t="shared" si="20"/>
        <v>0</v>
      </c>
      <c r="I77" s="1666">
        <f t="shared" si="20"/>
        <v>0</v>
      </c>
      <c r="J77" s="1666">
        <f t="shared" si="20"/>
        <v>0</v>
      </c>
      <c r="K77" s="1666">
        <f t="shared" si="20"/>
        <v>0</v>
      </c>
      <c r="L77" s="1666">
        <f t="shared" si="20"/>
        <v>0</v>
      </c>
      <c r="M77" s="1666">
        <f t="shared" si="20"/>
        <v>0</v>
      </c>
      <c r="N77" s="1666">
        <f t="shared" si="20"/>
        <v>0</v>
      </c>
      <c r="O77" s="1666">
        <f t="shared" si="20"/>
        <v>0</v>
      </c>
      <c r="P77" s="1666">
        <f t="shared" si="20"/>
        <v>0</v>
      </c>
      <c r="Q77" s="1666">
        <f t="shared" si="20"/>
        <v>0</v>
      </c>
      <c r="R77" s="1666">
        <f t="shared" si="20"/>
        <v>0</v>
      </c>
      <c r="S77" s="1666">
        <f t="shared" si="20"/>
        <v>0</v>
      </c>
      <c r="T77" s="1666">
        <f t="shared" si="20"/>
        <v>0</v>
      </c>
      <c r="U77" s="1666">
        <f t="shared" si="20"/>
        <v>0</v>
      </c>
      <c r="V77" s="1666">
        <f t="shared" si="20"/>
        <v>0</v>
      </c>
      <c r="W77" s="1666">
        <f t="shared" si="20"/>
        <v>0</v>
      </c>
      <c r="X77" s="1666">
        <f t="shared" si="20"/>
        <v>0</v>
      </c>
      <c r="Y77" s="1666">
        <f t="shared" si="20"/>
        <v>0</v>
      </c>
      <c r="Z77" s="1666">
        <f t="shared" si="20"/>
        <v>0</v>
      </c>
      <c r="AA77" s="1667">
        <f t="shared" si="20"/>
        <v>0</v>
      </c>
      <c r="AB77" s="1368"/>
    </row>
    <row r="78" spans="1:28" s="200" customFormat="1" ht="9.75" customHeight="1" outlineLevel="1" x14ac:dyDescent="0.35">
      <c r="A78" s="1368"/>
      <c r="B78" s="43"/>
      <c r="C78" s="44"/>
      <c r="D78" s="44"/>
      <c r="E78" s="37"/>
      <c r="F78" s="37"/>
      <c r="G78" s="170"/>
      <c r="H78" s="1666"/>
      <c r="I78" s="1666"/>
      <c r="J78" s="1666"/>
      <c r="K78" s="1666"/>
      <c r="L78" s="1666"/>
      <c r="M78" s="1666"/>
      <c r="N78" s="1666"/>
      <c r="O78" s="1666"/>
      <c r="P78" s="1666"/>
      <c r="Q78" s="1666"/>
      <c r="R78" s="1666"/>
      <c r="S78" s="1666"/>
      <c r="T78" s="1666"/>
      <c r="U78" s="1666"/>
      <c r="V78" s="1666"/>
      <c r="W78" s="1666"/>
      <c r="X78" s="1666"/>
      <c r="Y78" s="1666"/>
      <c r="Z78" s="1666"/>
      <c r="AA78" s="1667"/>
      <c r="AB78" s="1368"/>
    </row>
    <row r="79" spans="1:28" s="200" customFormat="1" ht="17.25" customHeight="1" outlineLevel="1" x14ac:dyDescent="0.4">
      <c r="A79" s="1368"/>
      <c r="B79" s="54" t="s">
        <v>105</v>
      </c>
      <c r="C79" s="69"/>
      <c r="D79" s="69"/>
      <c r="E79" s="70"/>
      <c r="F79" s="70"/>
      <c r="G79" s="172"/>
      <c r="H79" s="1668">
        <f>H70+(SUM(H72:H77))</f>
        <v>0</v>
      </c>
      <c r="I79" s="1668">
        <f t="shared" ref="I79:AA79" si="21">I70+(SUM(I72:I77))</f>
        <v>0</v>
      </c>
      <c r="J79" s="1668">
        <f t="shared" si="21"/>
        <v>0</v>
      </c>
      <c r="K79" s="1668">
        <f t="shared" si="21"/>
        <v>0</v>
      </c>
      <c r="L79" s="1668">
        <f t="shared" si="21"/>
        <v>0</v>
      </c>
      <c r="M79" s="1668">
        <f t="shared" si="21"/>
        <v>0</v>
      </c>
      <c r="N79" s="1668">
        <f t="shared" si="21"/>
        <v>0</v>
      </c>
      <c r="O79" s="1668">
        <f t="shared" si="21"/>
        <v>0</v>
      </c>
      <c r="P79" s="1668">
        <f t="shared" si="21"/>
        <v>0</v>
      </c>
      <c r="Q79" s="1668">
        <f t="shared" si="21"/>
        <v>0</v>
      </c>
      <c r="R79" s="1668">
        <f t="shared" si="21"/>
        <v>0</v>
      </c>
      <c r="S79" s="1668">
        <f t="shared" si="21"/>
        <v>0</v>
      </c>
      <c r="T79" s="1668">
        <f t="shared" si="21"/>
        <v>0</v>
      </c>
      <c r="U79" s="1668">
        <f t="shared" si="21"/>
        <v>0</v>
      </c>
      <c r="V79" s="1668">
        <f t="shared" si="21"/>
        <v>0</v>
      </c>
      <c r="W79" s="1668">
        <f t="shared" si="21"/>
        <v>0</v>
      </c>
      <c r="X79" s="1668">
        <f t="shared" si="21"/>
        <v>0</v>
      </c>
      <c r="Y79" s="1668">
        <f t="shared" si="21"/>
        <v>0</v>
      </c>
      <c r="Z79" s="1668">
        <f t="shared" si="21"/>
        <v>0</v>
      </c>
      <c r="AA79" s="1669">
        <f t="shared" si="21"/>
        <v>0</v>
      </c>
      <c r="AB79" s="1368"/>
    </row>
    <row r="80" spans="1:28" s="200" customFormat="1" ht="6.75" customHeight="1" outlineLevel="1" x14ac:dyDescent="0.35">
      <c r="A80" s="1368"/>
      <c r="B80" s="43"/>
      <c r="C80" s="44"/>
      <c r="D80" s="44"/>
      <c r="E80" s="37"/>
      <c r="F80" s="37"/>
      <c r="G80" s="170"/>
      <c r="H80" s="1666"/>
      <c r="I80" s="1666"/>
      <c r="J80" s="1666"/>
      <c r="K80" s="1666"/>
      <c r="L80" s="1666"/>
      <c r="M80" s="1666"/>
      <c r="N80" s="1666"/>
      <c r="O80" s="1666"/>
      <c r="P80" s="1666"/>
      <c r="Q80" s="1666"/>
      <c r="R80" s="1666"/>
      <c r="S80" s="1666"/>
      <c r="T80" s="1666"/>
      <c r="U80" s="1666"/>
      <c r="V80" s="1666"/>
      <c r="W80" s="1666"/>
      <c r="X80" s="1666"/>
      <c r="Y80" s="1666"/>
      <c r="Z80" s="1666"/>
      <c r="AA80" s="1667"/>
      <c r="AB80" s="1368"/>
    </row>
    <row r="81" spans="1:28" s="200" customFormat="1" ht="17.25" customHeight="1" outlineLevel="1" x14ac:dyDescent="0.35">
      <c r="A81" s="1368"/>
      <c r="B81" s="43" t="s">
        <v>106</v>
      </c>
      <c r="C81" s="44"/>
      <c r="D81" s="44"/>
      <c r="E81" s="37"/>
      <c r="F81" s="37"/>
      <c r="G81" s="170"/>
      <c r="H81" s="1666">
        <f>IF(H79&lt;0,(-H79*'III. Inputs, Renewable Energy'!$U$18),(-'VI. LCOE, RE Grid Intercon'!H79*'III. Inputs, Renewable Energy'!$U$18))</f>
        <v>0</v>
      </c>
      <c r="I81" s="1666">
        <f>IF(I79&lt;0,(-I79*'III. Inputs, Renewable Energy'!$U$18),(-'VI. LCOE, RE Grid Intercon'!I79*'III. Inputs, Renewable Energy'!$U$18))</f>
        <v>0</v>
      </c>
      <c r="J81" s="1666">
        <f>IF(J79&lt;0,(-J79*'III. Inputs, Renewable Energy'!$U$18),(-'VI. LCOE, RE Grid Intercon'!J79*'III. Inputs, Renewable Energy'!$U$18))</f>
        <v>0</v>
      </c>
      <c r="K81" s="1666">
        <f>IF(K79&lt;0,(-K79*'III. Inputs, Renewable Energy'!$U$18),(-'VI. LCOE, RE Grid Intercon'!K79*'III. Inputs, Renewable Energy'!$U$18))</f>
        <v>0</v>
      </c>
      <c r="L81" s="1666">
        <f>IF(L79&lt;0,(-L79*'III. Inputs, Renewable Energy'!$U$18),(-'VI. LCOE, RE Grid Intercon'!L79*'III. Inputs, Renewable Energy'!$U$18))</f>
        <v>0</v>
      </c>
      <c r="M81" s="1666">
        <f>IF(M79&lt;0,(-M79*'III. Inputs, Renewable Energy'!$U$18),(-'VI. LCOE, RE Grid Intercon'!M79*'III. Inputs, Renewable Energy'!$U$18))</f>
        <v>0</v>
      </c>
      <c r="N81" s="1666">
        <f>IF(N79&lt;0,(-N79*'III. Inputs, Renewable Energy'!$U$18),(-'VI. LCOE, RE Grid Intercon'!N79*'III. Inputs, Renewable Energy'!$U$18))</f>
        <v>0</v>
      </c>
      <c r="O81" s="1666">
        <f>IF(O79&lt;0,(-O79*'III. Inputs, Renewable Energy'!$U$18),(-'VI. LCOE, RE Grid Intercon'!O79*'III. Inputs, Renewable Energy'!$U$18))</f>
        <v>0</v>
      </c>
      <c r="P81" s="1666">
        <f>IF(P79&lt;0,(-P79*'III. Inputs, Renewable Energy'!$U$18),(-'VI. LCOE, RE Grid Intercon'!P79*'III. Inputs, Renewable Energy'!$U$18))</f>
        <v>0</v>
      </c>
      <c r="Q81" s="1666">
        <f>IF(Q79&lt;0,(-Q79*'III. Inputs, Renewable Energy'!$U$18),(-'VI. LCOE, RE Grid Intercon'!Q79*'III. Inputs, Renewable Energy'!$U$18))</f>
        <v>0</v>
      </c>
      <c r="R81" s="1666">
        <f>IF(R79&lt;0,(-R79*'III. Inputs, Renewable Energy'!$U$18),(-'VI. LCOE, RE Grid Intercon'!R79*'III. Inputs, Renewable Energy'!$U$18))</f>
        <v>0</v>
      </c>
      <c r="S81" s="1666">
        <f>IF(S79&lt;0,(-S79*'III. Inputs, Renewable Energy'!$U$18),(-'VI. LCOE, RE Grid Intercon'!S79*'III. Inputs, Renewable Energy'!$U$18))</f>
        <v>0</v>
      </c>
      <c r="T81" s="1666">
        <f>IF(T79&lt;0,(-T79*'III. Inputs, Renewable Energy'!$U$18),(-'VI. LCOE, RE Grid Intercon'!T79*'III. Inputs, Renewable Energy'!$U$18))</f>
        <v>0</v>
      </c>
      <c r="U81" s="1666">
        <f>IF(U79&lt;0,(-U79*'III. Inputs, Renewable Energy'!$U$18),(-'VI. LCOE, RE Grid Intercon'!U79*'III. Inputs, Renewable Energy'!$U$18))</f>
        <v>0</v>
      </c>
      <c r="V81" s="1666">
        <f>IF(V79&lt;0,(-V79*'III. Inputs, Renewable Energy'!$U$18),(-'VI. LCOE, RE Grid Intercon'!V79*'III. Inputs, Renewable Energy'!$U$18))</f>
        <v>0</v>
      </c>
      <c r="W81" s="1666">
        <f>IF(W79&lt;0,(-W79*'III. Inputs, Renewable Energy'!$U$18),(-'VI. LCOE, RE Grid Intercon'!W79*'III. Inputs, Renewable Energy'!$U$18))</f>
        <v>0</v>
      </c>
      <c r="X81" s="1666">
        <f>IF(X79&lt;0,(-X79*'III. Inputs, Renewable Energy'!$U$18),(-'VI. LCOE, RE Grid Intercon'!X79*'III. Inputs, Renewable Energy'!$U$18))</f>
        <v>0</v>
      </c>
      <c r="Y81" s="1666">
        <f>IF(Y79&lt;0,(-Y79*'III. Inputs, Renewable Energy'!$U$18),(-'VI. LCOE, RE Grid Intercon'!Y79*'III. Inputs, Renewable Energy'!$U$18))</f>
        <v>0</v>
      </c>
      <c r="Z81" s="1666">
        <f>IF(Z79&lt;0,(-Z79*'III. Inputs, Renewable Energy'!$U$18),(-'VI. LCOE, RE Grid Intercon'!Z79*'III. Inputs, Renewable Energy'!$U$18))</f>
        <v>0</v>
      </c>
      <c r="AA81" s="1667">
        <f>IF(AA79&lt;0,(-AA79*'III. Inputs, Renewable Energy'!$U$18),(-'VI. LCOE, RE Grid Intercon'!AA79*'III. Inputs, Renewable Energy'!$U$18))</f>
        <v>0</v>
      </c>
      <c r="AB81" s="1368"/>
    </row>
    <row r="82" spans="1:28" s="200" customFormat="1" ht="6.75" customHeight="1" outlineLevel="1" x14ac:dyDescent="0.35">
      <c r="A82" s="1368"/>
      <c r="B82" s="55"/>
      <c r="C82" s="52"/>
      <c r="D82" s="52"/>
      <c r="E82" s="30"/>
      <c r="F82" s="30"/>
      <c r="G82" s="173"/>
      <c r="H82" s="1670"/>
      <c r="I82" s="1670"/>
      <c r="J82" s="1670"/>
      <c r="K82" s="1670"/>
      <c r="L82" s="1670"/>
      <c r="M82" s="1670"/>
      <c r="N82" s="1670"/>
      <c r="O82" s="1670"/>
      <c r="P82" s="1670"/>
      <c r="Q82" s="1670"/>
      <c r="R82" s="1670"/>
      <c r="S82" s="1670"/>
      <c r="T82" s="1670"/>
      <c r="U82" s="1670"/>
      <c r="V82" s="1670"/>
      <c r="W82" s="1670"/>
      <c r="X82" s="1670"/>
      <c r="Y82" s="1670"/>
      <c r="Z82" s="1670"/>
      <c r="AA82" s="1671"/>
      <c r="AB82" s="1368"/>
    </row>
    <row r="83" spans="1:28" s="200" customFormat="1" ht="17.25" customHeight="1" outlineLevel="1" x14ac:dyDescent="0.4">
      <c r="A83" s="1368"/>
      <c r="B83" s="54" t="s">
        <v>107</v>
      </c>
      <c r="C83" s="69"/>
      <c r="D83" s="69"/>
      <c r="E83" s="70"/>
      <c r="F83" s="70"/>
      <c r="G83" s="172"/>
      <c r="H83" s="1668">
        <f>H79+H81</f>
        <v>0</v>
      </c>
      <c r="I83" s="1668">
        <f t="shared" ref="I83:AA83" si="22">I79+I81</f>
        <v>0</v>
      </c>
      <c r="J83" s="1668">
        <f t="shared" si="22"/>
        <v>0</v>
      </c>
      <c r="K83" s="1668">
        <f t="shared" si="22"/>
        <v>0</v>
      </c>
      <c r="L83" s="1668">
        <f t="shared" si="22"/>
        <v>0</v>
      </c>
      <c r="M83" s="1668">
        <f t="shared" si="22"/>
        <v>0</v>
      </c>
      <c r="N83" s="1668">
        <f t="shared" si="22"/>
        <v>0</v>
      </c>
      <c r="O83" s="1668">
        <f t="shared" si="22"/>
        <v>0</v>
      </c>
      <c r="P83" s="1668">
        <f t="shared" si="22"/>
        <v>0</v>
      </c>
      <c r="Q83" s="1668">
        <f t="shared" si="22"/>
        <v>0</v>
      </c>
      <c r="R83" s="1668">
        <f t="shared" si="22"/>
        <v>0</v>
      </c>
      <c r="S83" s="1668">
        <f t="shared" si="22"/>
        <v>0</v>
      </c>
      <c r="T83" s="1668">
        <f t="shared" si="22"/>
        <v>0</v>
      </c>
      <c r="U83" s="1668">
        <f t="shared" si="22"/>
        <v>0</v>
      </c>
      <c r="V83" s="1668">
        <f t="shared" si="22"/>
        <v>0</v>
      </c>
      <c r="W83" s="1668">
        <f t="shared" si="22"/>
        <v>0</v>
      </c>
      <c r="X83" s="1668">
        <f t="shared" si="22"/>
        <v>0</v>
      </c>
      <c r="Y83" s="1668">
        <f t="shared" si="22"/>
        <v>0</v>
      </c>
      <c r="Z83" s="1668">
        <f t="shared" si="22"/>
        <v>0</v>
      </c>
      <c r="AA83" s="1669">
        <f t="shared" si="22"/>
        <v>0</v>
      </c>
      <c r="AB83" s="1368"/>
    </row>
    <row r="84" spans="1:28" s="200" customFormat="1" ht="17.25" customHeight="1" outlineLevel="1" x14ac:dyDescent="0.35">
      <c r="A84" s="1368"/>
      <c r="B84" s="43"/>
      <c r="C84" s="44"/>
      <c r="D84" s="44"/>
      <c r="E84" s="37"/>
      <c r="F84" s="37"/>
      <c r="G84" s="170"/>
      <c r="H84" s="171"/>
      <c r="I84" s="171"/>
      <c r="J84" s="171"/>
      <c r="K84" s="171"/>
      <c r="L84" s="171"/>
      <c r="M84" s="171"/>
      <c r="N84" s="171"/>
      <c r="O84" s="171"/>
      <c r="P84" s="171"/>
      <c r="Q84" s="171"/>
      <c r="R84" s="171"/>
      <c r="S84" s="171"/>
      <c r="T84" s="171"/>
      <c r="U84" s="171"/>
      <c r="V84" s="171"/>
      <c r="W84" s="171"/>
      <c r="X84" s="171"/>
      <c r="Y84" s="171"/>
      <c r="Z84" s="171"/>
      <c r="AA84" s="360"/>
      <c r="AB84" s="1368"/>
    </row>
    <row r="85" spans="1:28" s="200" customFormat="1" ht="17.25" customHeight="1" outlineLevel="1" x14ac:dyDescent="0.35">
      <c r="A85" s="1368"/>
      <c r="B85" s="43" t="s">
        <v>108</v>
      </c>
      <c r="C85" s="44"/>
      <c r="D85" s="44"/>
      <c r="E85" s="37"/>
      <c r="F85" s="37" t="s">
        <v>748</v>
      </c>
      <c r="G85" s="1662">
        <f>-'III. Inputs, Renewable Energy'!U293</f>
        <v>0</v>
      </c>
      <c r="H85" s="171"/>
      <c r="I85" s="171"/>
      <c r="J85" s="171"/>
      <c r="K85" s="171"/>
      <c r="L85" s="171"/>
      <c r="M85" s="171"/>
      <c r="N85" s="171"/>
      <c r="O85" s="171"/>
      <c r="P85" s="171"/>
      <c r="Q85" s="171"/>
      <c r="R85" s="171"/>
      <c r="S85" s="171"/>
      <c r="T85" s="171"/>
      <c r="U85" s="171"/>
      <c r="V85" s="171"/>
      <c r="W85" s="171"/>
      <c r="X85" s="171"/>
      <c r="Y85" s="171"/>
      <c r="Z85" s="171"/>
      <c r="AA85" s="360"/>
      <c r="AB85" s="1368"/>
    </row>
    <row r="86" spans="1:28" s="200" customFormat="1" ht="17.25" customHeight="1" outlineLevel="1" x14ac:dyDescent="0.35">
      <c r="A86" s="1368"/>
      <c r="B86" s="55" t="s">
        <v>109</v>
      </c>
      <c r="C86" s="52"/>
      <c r="D86" s="52"/>
      <c r="E86" s="30"/>
      <c r="F86" s="30" t="s">
        <v>748</v>
      </c>
      <c r="G86" s="1664">
        <f>'III. Inputs, Renewable Energy'!U293*'III. Inputs, Renewable Energy'!S34</f>
        <v>0</v>
      </c>
      <c r="H86" s="174"/>
      <c r="I86" s="174"/>
      <c r="J86" s="174"/>
      <c r="K86" s="174"/>
      <c r="L86" s="174"/>
      <c r="M86" s="174"/>
      <c r="N86" s="174"/>
      <c r="O86" s="174"/>
      <c r="P86" s="174"/>
      <c r="Q86" s="174"/>
      <c r="R86" s="174"/>
      <c r="S86" s="174"/>
      <c r="T86" s="174"/>
      <c r="U86" s="174"/>
      <c r="V86" s="174"/>
      <c r="W86" s="174"/>
      <c r="X86" s="174"/>
      <c r="Y86" s="174"/>
      <c r="Z86" s="174"/>
      <c r="AA86" s="361"/>
      <c r="AB86" s="1368"/>
    </row>
    <row r="87" spans="1:28" s="200" customFormat="1" ht="17.25" customHeight="1" outlineLevel="1" x14ac:dyDescent="0.35">
      <c r="A87" s="1368"/>
      <c r="B87" s="43" t="s">
        <v>110</v>
      </c>
      <c r="C87" s="44"/>
      <c r="D87" s="44"/>
      <c r="E87" s="37"/>
      <c r="F87" s="37" t="s">
        <v>748</v>
      </c>
      <c r="G87" s="1662">
        <f>G85+G86</f>
        <v>0</v>
      </c>
      <c r="H87" s="168"/>
      <c r="I87" s="168"/>
      <c r="J87" s="168"/>
      <c r="K87" s="168"/>
      <c r="L87" s="168"/>
      <c r="M87" s="168"/>
      <c r="N87" s="168"/>
      <c r="O87" s="168"/>
      <c r="P87" s="168"/>
      <c r="Q87" s="168"/>
      <c r="R87" s="168"/>
      <c r="S87" s="168"/>
      <c r="T87" s="168"/>
      <c r="U87" s="168"/>
      <c r="V87" s="168"/>
      <c r="W87" s="168"/>
      <c r="X87" s="168"/>
      <c r="Y87" s="168"/>
      <c r="Z87" s="168"/>
      <c r="AA87" s="362"/>
      <c r="AB87" s="1368"/>
    </row>
    <row r="88" spans="1:28" s="200" customFormat="1" ht="10.5" customHeight="1" outlineLevel="1" x14ac:dyDescent="0.35">
      <c r="A88" s="1368"/>
      <c r="B88" s="43"/>
      <c r="C88" s="44"/>
      <c r="D88" s="44"/>
      <c r="E88" s="37"/>
      <c r="F88" s="37"/>
      <c r="G88" s="168"/>
      <c r="H88" s="168"/>
      <c r="I88" s="168"/>
      <c r="J88" s="168"/>
      <c r="K88" s="168"/>
      <c r="L88" s="168"/>
      <c r="M88" s="168"/>
      <c r="N88" s="168"/>
      <c r="O88" s="168"/>
      <c r="P88" s="168"/>
      <c r="Q88" s="168"/>
      <c r="R88" s="168"/>
      <c r="S88" s="168"/>
      <c r="T88" s="168"/>
      <c r="U88" s="168"/>
      <c r="V88" s="168"/>
      <c r="W88" s="168"/>
      <c r="X88" s="168"/>
      <c r="Y88" s="168"/>
      <c r="Z88" s="168"/>
      <c r="AA88" s="362"/>
      <c r="AB88" s="1368"/>
    </row>
    <row r="89" spans="1:28" s="200" customFormat="1" ht="6.75" customHeight="1" outlineLevel="1" x14ac:dyDescent="0.35">
      <c r="A89" s="1368"/>
      <c r="B89" s="43"/>
      <c r="C89" s="44"/>
      <c r="D89" s="44"/>
      <c r="E89" s="37"/>
      <c r="F89" s="37"/>
      <c r="G89" s="168"/>
      <c r="H89" s="168"/>
      <c r="I89" s="168"/>
      <c r="J89" s="168"/>
      <c r="K89" s="168"/>
      <c r="L89" s="168"/>
      <c r="M89" s="168"/>
      <c r="N89" s="168"/>
      <c r="O89" s="168"/>
      <c r="P89" s="168"/>
      <c r="Q89" s="168"/>
      <c r="R89" s="168"/>
      <c r="S89" s="168"/>
      <c r="T89" s="168"/>
      <c r="U89" s="168"/>
      <c r="V89" s="168"/>
      <c r="W89" s="168"/>
      <c r="X89" s="168"/>
      <c r="Y89" s="168"/>
      <c r="Z89" s="168"/>
      <c r="AA89" s="362"/>
      <c r="AB89" s="1368"/>
    </row>
    <row r="90" spans="1:28" s="200" customFormat="1" ht="17.25" customHeight="1" outlineLevel="1" x14ac:dyDescent="0.35">
      <c r="A90" s="1368"/>
      <c r="B90" s="43" t="s">
        <v>111</v>
      </c>
      <c r="C90" s="44"/>
      <c r="D90" s="44"/>
      <c r="E90" s="37"/>
      <c r="F90" s="37"/>
      <c r="G90" s="1662"/>
      <c r="H90" s="1662">
        <f>H83</f>
        <v>0</v>
      </c>
      <c r="I90" s="1662">
        <f t="shared" ref="I90:AA90" si="23">I83</f>
        <v>0</v>
      </c>
      <c r="J90" s="1662">
        <f t="shared" si="23"/>
        <v>0</v>
      </c>
      <c r="K90" s="1662">
        <f t="shared" si="23"/>
        <v>0</v>
      </c>
      <c r="L90" s="1662">
        <f t="shared" si="23"/>
        <v>0</v>
      </c>
      <c r="M90" s="1662">
        <f t="shared" si="23"/>
        <v>0</v>
      </c>
      <c r="N90" s="1662">
        <f t="shared" si="23"/>
        <v>0</v>
      </c>
      <c r="O90" s="1662">
        <f t="shared" si="23"/>
        <v>0</v>
      </c>
      <c r="P90" s="1662">
        <f t="shared" si="23"/>
        <v>0</v>
      </c>
      <c r="Q90" s="1662">
        <f t="shared" si="23"/>
        <v>0</v>
      </c>
      <c r="R90" s="1662">
        <f t="shared" si="23"/>
        <v>0</v>
      </c>
      <c r="S90" s="1662">
        <f t="shared" si="23"/>
        <v>0</v>
      </c>
      <c r="T90" s="1662">
        <f t="shared" si="23"/>
        <v>0</v>
      </c>
      <c r="U90" s="1662">
        <f t="shared" si="23"/>
        <v>0</v>
      </c>
      <c r="V90" s="1662">
        <f t="shared" si="23"/>
        <v>0</v>
      </c>
      <c r="W90" s="1662">
        <f t="shared" si="23"/>
        <v>0</v>
      </c>
      <c r="X90" s="1662">
        <f t="shared" si="23"/>
        <v>0</v>
      </c>
      <c r="Y90" s="1662">
        <f t="shared" si="23"/>
        <v>0</v>
      </c>
      <c r="Z90" s="1662">
        <f t="shared" si="23"/>
        <v>0</v>
      </c>
      <c r="AA90" s="1663">
        <f t="shared" si="23"/>
        <v>0</v>
      </c>
      <c r="AB90" s="1368"/>
    </row>
    <row r="91" spans="1:28" s="200" customFormat="1" ht="17.25" customHeight="1" outlineLevel="1" x14ac:dyDescent="0.35">
      <c r="A91" s="1368"/>
      <c r="B91" s="43" t="s">
        <v>112</v>
      </c>
      <c r="C91" s="44"/>
      <c r="D91" s="44"/>
      <c r="E91" s="37"/>
      <c r="F91" s="37" t="s">
        <v>748</v>
      </c>
      <c r="G91" s="1662"/>
      <c r="H91" s="1662">
        <f t="shared" ref="H91:AA91" si="24">-H68</f>
        <v>0</v>
      </c>
      <c r="I91" s="1662">
        <f t="shared" si="24"/>
        <v>0</v>
      </c>
      <c r="J91" s="1662">
        <f t="shared" si="24"/>
        <v>0</v>
      </c>
      <c r="K91" s="1662">
        <f t="shared" si="24"/>
        <v>0</v>
      </c>
      <c r="L91" s="1662">
        <f t="shared" si="24"/>
        <v>0</v>
      </c>
      <c r="M91" s="1662">
        <f t="shared" si="24"/>
        <v>0</v>
      </c>
      <c r="N91" s="1662">
        <f t="shared" si="24"/>
        <v>0</v>
      </c>
      <c r="O91" s="1662">
        <f t="shared" si="24"/>
        <v>0</v>
      </c>
      <c r="P91" s="1662">
        <f t="shared" si="24"/>
        <v>0</v>
      </c>
      <c r="Q91" s="1662">
        <f t="shared" si="24"/>
        <v>0</v>
      </c>
      <c r="R91" s="1662">
        <f t="shared" si="24"/>
        <v>0</v>
      </c>
      <c r="S91" s="1662">
        <f t="shared" si="24"/>
        <v>0</v>
      </c>
      <c r="T91" s="1662">
        <f t="shared" si="24"/>
        <v>0</v>
      </c>
      <c r="U91" s="1662">
        <f t="shared" si="24"/>
        <v>0</v>
      </c>
      <c r="V91" s="1662">
        <f t="shared" si="24"/>
        <v>0</v>
      </c>
      <c r="W91" s="1662">
        <f t="shared" si="24"/>
        <v>0</v>
      </c>
      <c r="X91" s="1662">
        <f t="shared" si="24"/>
        <v>0</v>
      </c>
      <c r="Y91" s="1662">
        <f t="shared" si="24"/>
        <v>0</v>
      </c>
      <c r="Z91" s="1662">
        <f t="shared" si="24"/>
        <v>0</v>
      </c>
      <c r="AA91" s="1663">
        <f t="shared" si="24"/>
        <v>0</v>
      </c>
      <c r="AB91" s="1368"/>
    </row>
    <row r="92" spans="1:28" s="200" customFormat="1" ht="17.25" customHeight="1" outlineLevel="1" x14ac:dyDescent="0.35">
      <c r="A92" s="1368"/>
      <c r="B92" s="43"/>
      <c r="C92" s="44"/>
      <c r="D92" s="44"/>
      <c r="E92" s="37"/>
      <c r="F92" s="37"/>
      <c r="G92" s="1662"/>
      <c r="H92" s="1662"/>
      <c r="I92" s="1662"/>
      <c r="J92" s="1662"/>
      <c r="K92" s="1662"/>
      <c r="L92" s="1662"/>
      <c r="M92" s="1662"/>
      <c r="N92" s="1662"/>
      <c r="O92" s="1662"/>
      <c r="P92" s="1662"/>
      <c r="Q92" s="1662"/>
      <c r="R92" s="1662"/>
      <c r="S92" s="1662"/>
      <c r="T92" s="1662"/>
      <c r="U92" s="1662"/>
      <c r="V92" s="1662"/>
      <c r="W92" s="1662"/>
      <c r="X92" s="1662"/>
      <c r="Y92" s="1662"/>
      <c r="Z92" s="1662"/>
      <c r="AA92" s="1663"/>
      <c r="AB92" s="1368"/>
    </row>
    <row r="93" spans="1:28" s="200" customFormat="1" ht="17.25" customHeight="1" outlineLevel="1" x14ac:dyDescent="0.35">
      <c r="A93" s="1368"/>
      <c r="B93" s="43" t="s">
        <v>113</v>
      </c>
      <c r="C93" s="44"/>
      <c r="D93" s="44"/>
      <c r="E93" s="37"/>
      <c r="F93" s="37" t="s">
        <v>748</v>
      </c>
      <c r="G93" s="1662"/>
      <c r="H93" s="1662"/>
      <c r="I93" s="1662"/>
      <c r="J93" s="1662"/>
      <c r="K93" s="1662"/>
      <c r="L93" s="1662"/>
      <c r="M93" s="1662"/>
      <c r="N93" s="1662"/>
      <c r="O93" s="1662"/>
      <c r="P93" s="1662"/>
      <c r="Q93" s="1662"/>
      <c r="R93" s="1662"/>
      <c r="S93" s="1662"/>
      <c r="T93" s="1662"/>
      <c r="U93" s="1662"/>
      <c r="V93" s="1662"/>
      <c r="W93" s="1662"/>
      <c r="X93" s="1662"/>
      <c r="Y93" s="1662"/>
      <c r="Z93" s="1662"/>
      <c r="AA93" s="1663"/>
      <c r="AB93" s="1368"/>
    </row>
    <row r="94" spans="1:28" s="200" customFormat="1" ht="17.25" customHeight="1" outlineLevel="1" x14ac:dyDescent="0.35">
      <c r="A94" s="1368"/>
      <c r="B94" s="43" t="s">
        <v>114</v>
      </c>
      <c r="C94" s="44"/>
      <c r="D94" s="44"/>
      <c r="E94" s="37"/>
      <c r="F94" s="37" t="s">
        <v>748</v>
      </c>
      <c r="G94" s="1662"/>
      <c r="H94" s="1662"/>
      <c r="I94" s="1662"/>
      <c r="J94" s="1662"/>
      <c r="K94" s="1662"/>
      <c r="L94" s="1662"/>
      <c r="M94" s="1662"/>
      <c r="N94" s="1662"/>
      <c r="O94" s="1662"/>
      <c r="P94" s="1662"/>
      <c r="Q94" s="1662"/>
      <c r="R94" s="1662"/>
      <c r="S94" s="1662"/>
      <c r="T94" s="1662"/>
      <c r="U94" s="1662"/>
      <c r="V94" s="1662"/>
      <c r="W94" s="1662"/>
      <c r="X94" s="1662"/>
      <c r="Y94" s="1662"/>
      <c r="Z94" s="1662"/>
      <c r="AA94" s="1663"/>
      <c r="AB94" s="1368"/>
    </row>
    <row r="95" spans="1:28" s="200" customFormat="1" ht="17.25" customHeight="1" outlineLevel="1" x14ac:dyDescent="0.35">
      <c r="A95" s="1368"/>
      <c r="B95" s="43" t="s">
        <v>115</v>
      </c>
      <c r="C95" s="44"/>
      <c r="D95" s="44"/>
      <c r="E95" s="37"/>
      <c r="F95" s="37" t="s">
        <v>748</v>
      </c>
      <c r="G95" s="1662"/>
      <c r="H95" s="1662">
        <f>-(H207+H228+H249)</f>
        <v>0</v>
      </c>
      <c r="I95" s="1662">
        <f t="shared" ref="I95:AA95" si="25">-(I207+I228+I249)</f>
        <v>0</v>
      </c>
      <c r="J95" s="1662">
        <f t="shared" si="25"/>
        <v>0</v>
      </c>
      <c r="K95" s="1662">
        <f t="shared" si="25"/>
        <v>0</v>
      </c>
      <c r="L95" s="1662">
        <f t="shared" si="25"/>
        <v>0</v>
      </c>
      <c r="M95" s="1662">
        <f t="shared" si="25"/>
        <v>0</v>
      </c>
      <c r="N95" s="1662">
        <f t="shared" si="25"/>
        <v>0</v>
      </c>
      <c r="O95" s="1662">
        <f t="shared" si="25"/>
        <v>0</v>
      </c>
      <c r="P95" s="1662">
        <f t="shared" si="25"/>
        <v>0</v>
      </c>
      <c r="Q95" s="1662">
        <f t="shared" si="25"/>
        <v>0</v>
      </c>
      <c r="R95" s="1662">
        <f t="shared" si="25"/>
        <v>0</v>
      </c>
      <c r="S95" s="1662">
        <f t="shared" si="25"/>
        <v>0</v>
      </c>
      <c r="T95" s="1662">
        <f t="shared" si="25"/>
        <v>0</v>
      </c>
      <c r="U95" s="1662">
        <f t="shared" si="25"/>
        <v>0</v>
      </c>
      <c r="V95" s="1662">
        <f t="shared" si="25"/>
        <v>0</v>
      </c>
      <c r="W95" s="1662">
        <f t="shared" si="25"/>
        <v>0</v>
      </c>
      <c r="X95" s="1662">
        <f t="shared" si="25"/>
        <v>0</v>
      </c>
      <c r="Y95" s="1662">
        <f t="shared" si="25"/>
        <v>0</v>
      </c>
      <c r="Z95" s="1662">
        <f t="shared" si="25"/>
        <v>0</v>
      </c>
      <c r="AA95" s="1663">
        <f t="shared" si="25"/>
        <v>0</v>
      </c>
      <c r="AB95" s="1368"/>
    </row>
    <row r="96" spans="1:28" s="200" customFormat="1" ht="17.25" customHeight="1" outlineLevel="1" x14ac:dyDescent="0.35">
      <c r="A96" s="1368"/>
      <c r="B96" s="55" t="s">
        <v>116</v>
      </c>
      <c r="C96" s="52"/>
      <c r="D96" s="52"/>
      <c r="E96" s="30"/>
      <c r="F96" s="30" t="s">
        <v>748</v>
      </c>
      <c r="G96" s="1664"/>
      <c r="H96" s="1664"/>
      <c r="I96" s="1664"/>
      <c r="J96" s="1664"/>
      <c r="K96" s="1664"/>
      <c r="L96" s="1664"/>
      <c r="M96" s="1664"/>
      <c r="N96" s="1664"/>
      <c r="O96" s="1664"/>
      <c r="P96" s="1664"/>
      <c r="Q96" s="1664"/>
      <c r="R96" s="1664"/>
      <c r="S96" s="1664"/>
      <c r="T96" s="1664"/>
      <c r="U96" s="1664"/>
      <c r="V96" s="1664"/>
      <c r="W96" s="1664"/>
      <c r="X96" s="1664"/>
      <c r="Y96" s="1664"/>
      <c r="Z96" s="1664"/>
      <c r="AA96" s="1665"/>
      <c r="AB96" s="1368"/>
    </row>
    <row r="97" spans="1:28" s="200" customFormat="1" ht="17.25" customHeight="1" outlineLevel="1" x14ac:dyDescent="0.35">
      <c r="A97" s="1368"/>
      <c r="B97" s="43" t="s">
        <v>117</v>
      </c>
      <c r="C97" s="44"/>
      <c r="D97" s="44"/>
      <c r="E97" s="37"/>
      <c r="F97" s="37" t="s">
        <v>748</v>
      </c>
      <c r="G97" s="1662">
        <f>G87</f>
        <v>0</v>
      </c>
      <c r="H97" s="1662">
        <f>H90+H91+H95</f>
        <v>0</v>
      </c>
      <c r="I97" s="1662">
        <f t="shared" ref="I97:AA97" si="26">I90+I91+I95</f>
        <v>0</v>
      </c>
      <c r="J97" s="1662">
        <f t="shared" si="26"/>
        <v>0</v>
      </c>
      <c r="K97" s="1662">
        <f t="shared" si="26"/>
        <v>0</v>
      </c>
      <c r="L97" s="1662">
        <f t="shared" si="26"/>
        <v>0</v>
      </c>
      <c r="M97" s="1662">
        <f t="shared" si="26"/>
        <v>0</v>
      </c>
      <c r="N97" s="1662">
        <f t="shared" si="26"/>
        <v>0</v>
      </c>
      <c r="O97" s="1662">
        <f t="shared" si="26"/>
        <v>0</v>
      </c>
      <c r="P97" s="1662">
        <f t="shared" si="26"/>
        <v>0</v>
      </c>
      <c r="Q97" s="1662">
        <f t="shared" si="26"/>
        <v>0</v>
      </c>
      <c r="R97" s="1662">
        <f t="shared" si="26"/>
        <v>0</v>
      </c>
      <c r="S97" s="1662">
        <f t="shared" si="26"/>
        <v>0</v>
      </c>
      <c r="T97" s="1662">
        <f t="shared" si="26"/>
        <v>0</v>
      </c>
      <c r="U97" s="1662">
        <f t="shared" si="26"/>
        <v>0</v>
      </c>
      <c r="V97" s="1662">
        <f t="shared" si="26"/>
        <v>0</v>
      </c>
      <c r="W97" s="1662">
        <f t="shared" si="26"/>
        <v>0</v>
      </c>
      <c r="X97" s="1662">
        <f t="shared" si="26"/>
        <v>0</v>
      </c>
      <c r="Y97" s="1662">
        <f t="shared" si="26"/>
        <v>0</v>
      </c>
      <c r="Z97" s="1662">
        <f t="shared" si="26"/>
        <v>0</v>
      </c>
      <c r="AA97" s="1663">
        <f t="shared" si="26"/>
        <v>0</v>
      </c>
      <c r="AB97" s="1368"/>
    </row>
    <row r="98" spans="1:28" s="200" customFormat="1" ht="7.5" customHeight="1" outlineLevel="1" x14ac:dyDescent="0.35">
      <c r="A98" s="1368"/>
      <c r="B98" s="43"/>
      <c r="C98" s="44"/>
      <c r="D98" s="44"/>
      <c r="E98" s="37"/>
      <c r="F98" s="37"/>
      <c r="G98" s="44"/>
      <c r="H98" s="44"/>
      <c r="I98" s="44"/>
      <c r="J98" s="44"/>
      <c r="K98" s="44"/>
      <c r="L98" s="44"/>
      <c r="M98" s="44"/>
      <c r="N98" s="44"/>
      <c r="O98" s="44"/>
      <c r="P98" s="44"/>
      <c r="Q98" s="44"/>
      <c r="R98" s="44"/>
      <c r="S98" s="44"/>
      <c r="T98" s="44"/>
      <c r="U98" s="44"/>
      <c r="V98" s="44"/>
      <c r="W98" s="44"/>
      <c r="X98" s="44"/>
      <c r="Y98" s="44"/>
      <c r="Z98" s="44"/>
      <c r="AA98" s="45"/>
      <c r="AB98" s="1368"/>
    </row>
    <row r="99" spans="1:28" s="200" customFormat="1" ht="17.25" customHeight="1" outlineLevel="1" x14ac:dyDescent="0.35">
      <c r="A99" s="1368"/>
      <c r="B99" s="43" t="s">
        <v>118</v>
      </c>
      <c r="C99" s="44"/>
      <c r="D99" s="44"/>
      <c r="E99" s="44"/>
      <c r="F99" s="44"/>
      <c r="G99" s="1662">
        <f>NPV($G$46,G97:AA97)</f>
        <v>0</v>
      </c>
      <c r="H99" s="44"/>
      <c r="I99" s="44"/>
      <c r="J99" s="44"/>
      <c r="K99" s="44"/>
      <c r="L99" s="44"/>
      <c r="M99" s="44"/>
      <c r="N99" s="44"/>
      <c r="O99" s="44"/>
      <c r="P99" s="44"/>
      <c r="Q99" s="44"/>
      <c r="R99" s="44"/>
      <c r="S99" s="44"/>
      <c r="T99" s="44"/>
      <c r="U99" s="44"/>
      <c r="V99" s="44"/>
      <c r="W99" s="44"/>
      <c r="X99" s="44"/>
      <c r="Y99" s="44"/>
      <c r="Z99" s="44"/>
      <c r="AA99" s="45"/>
      <c r="AB99" s="1368"/>
    </row>
    <row r="100" spans="1:28" s="200" customFormat="1" ht="17.25" customHeight="1" outlineLevel="1" thickBot="1" x14ac:dyDescent="0.4">
      <c r="A100" s="1368"/>
      <c r="B100" s="71"/>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4"/>
      <c r="AB100" s="1368"/>
    </row>
    <row r="101" spans="1:28" s="200" customFormat="1" ht="17.25" customHeight="1" x14ac:dyDescent="0.35">
      <c r="A101" s="1368"/>
      <c r="B101" s="1368"/>
      <c r="C101" s="1368"/>
      <c r="D101" s="1368"/>
      <c r="E101" s="1368"/>
      <c r="F101" s="1368"/>
      <c r="G101" s="1368"/>
      <c r="H101" s="1368"/>
      <c r="I101" s="1368"/>
      <c r="J101" s="1368"/>
      <c r="K101" s="1368"/>
      <c r="L101" s="1368"/>
      <c r="M101" s="1368"/>
      <c r="N101" s="1368"/>
      <c r="O101" s="1368"/>
      <c r="P101" s="1368"/>
      <c r="Q101" s="1368"/>
      <c r="R101" s="1368"/>
      <c r="S101" s="1368"/>
      <c r="T101" s="1368"/>
      <c r="U101" s="1368"/>
      <c r="V101" s="1368"/>
      <c r="W101" s="1368"/>
      <c r="X101" s="1368"/>
      <c r="Y101" s="1368"/>
      <c r="Z101" s="1368"/>
      <c r="AA101" s="1368"/>
      <c r="AB101" s="1368"/>
    </row>
    <row r="102" spans="1:28" s="199" customFormat="1" ht="12.75" customHeight="1" x14ac:dyDescent="0.4">
      <c r="A102" s="13" t="s">
        <v>396</v>
      </c>
      <c r="B102" s="13"/>
      <c r="C102" s="13"/>
      <c r="D102" s="13"/>
      <c r="E102" s="13"/>
      <c r="F102" s="13"/>
      <c r="G102" s="13"/>
      <c r="H102" s="13"/>
      <c r="I102" s="13"/>
      <c r="J102" s="14"/>
      <c r="K102" s="15"/>
      <c r="L102" s="15"/>
      <c r="M102" s="15"/>
      <c r="N102" s="15"/>
      <c r="O102" s="15"/>
      <c r="P102" s="15"/>
      <c r="Q102" s="15"/>
      <c r="R102" s="15"/>
      <c r="S102" s="15"/>
      <c r="T102" s="15"/>
      <c r="U102" s="15"/>
      <c r="V102" s="15"/>
      <c r="W102" s="15"/>
      <c r="X102" s="15"/>
      <c r="Y102" s="15"/>
      <c r="Z102" s="15"/>
      <c r="AA102" s="15"/>
      <c r="AB102" s="1363"/>
    </row>
    <row r="103" spans="1:28" s="200" customFormat="1" ht="17.25" customHeight="1" thickBot="1" x14ac:dyDescent="0.4">
      <c r="A103" s="1368"/>
      <c r="B103" s="1368"/>
      <c r="C103" s="1368"/>
      <c r="D103" s="1368"/>
      <c r="E103" s="1368"/>
      <c r="F103" s="1368"/>
      <c r="G103" s="1368"/>
      <c r="H103" s="1368"/>
      <c r="I103" s="1368"/>
      <c r="J103" s="1368"/>
      <c r="K103" s="1368"/>
      <c r="L103" s="1368"/>
      <c r="M103" s="1368"/>
      <c r="N103" s="1368"/>
      <c r="O103" s="1368"/>
      <c r="P103" s="1368"/>
      <c r="Q103" s="1368"/>
      <c r="R103" s="1368"/>
      <c r="S103" s="1368"/>
      <c r="T103" s="1368"/>
      <c r="U103" s="1368"/>
      <c r="V103" s="1368"/>
      <c r="W103" s="1368"/>
      <c r="X103" s="1368"/>
      <c r="Y103" s="1368"/>
      <c r="Z103" s="1368"/>
      <c r="AA103" s="1368"/>
      <c r="AB103" s="1368"/>
    </row>
    <row r="104" spans="1:28" s="200" customFormat="1" ht="17.25" customHeight="1" x14ac:dyDescent="0.4">
      <c r="A104" s="1368"/>
      <c r="B104" s="72" t="s">
        <v>397</v>
      </c>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4"/>
      <c r="AB104" s="1368"/>
    </row>
    <row r="105" spans="1:28" s="200" customFormat="1" ht="17.25" customHeight="1" x14ac:dyDescent="0.35">
      <c r="A105" s="1368"/>
      <c r="B105" s="75"/>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76"/>
      <c r="AB105" s="1368"/>
    </row>
    <row r="106" spans="1:28" s="200" customFormat="1" ht="13.15" x14ac:dyDescent="0.4">
      <c r="A106" s="1368"/>
      <c r="B106" s="77" t="s">
        <v>51</v>
      </c>
      <c r="C106" s="78"/>
      <c r="D106" s="78"/>
      <c r="E106" s="79"/>
      <c r="F106" s="78"/>
      <c r="G106" s="79">
        <v>0</v>
      </c>
      <c r="H106" s="79">
        <v>1</v>
      </c>
      <c r="I106" s="79">
        <v>2</v>
      </c>
      <c r="J106" s="79">
        <v>3</v>
      </c>
      <c r="K106" s="79">
        <v>4</v>
      </c>
      <c r="L106" s="79">
        <v>5</v>
      </c>
      <c r="M106" s="79">
        <v>6</v>
      </c>
      <c r="N106" s="79">
        <v>7</v>
      </c>
      <c r="O106" s="79">
        <v>8</v>
      </c>
      <c r="P106" s="79">
        <v>9</v>
      </c>
      <c r="Q106" s="79">
        <v>10</v>
      </c>
      <c r="R106" s="79">
        <v>11</v>
      </c>
      <c r="S106" s="79">
        <v>12</v>
      </c>
      <c r="T106" s="79">
        <v>13</v>
      </c>
      <c r="U106" s="79">
        <v>14</v>
      </c>
      <c r="V106" s="79">
        <v>15</v>
      </c>
      <c r="W106" s="79">
        <v>16</v>
      </c>
      <c r="X106" s="79">
        <v>17</v>
      </c>
      <c r="Y106" s="79">
        <v>18</v>
      </c>
      <c r="Z106" s="79">
        <v>19</v>
      </c>
      <c r="AA106" s="157">
        <v>20</v>
      </c>
      <c r="AB106" s="1368"/>
    </row>
    <row r="107" spans="1:28" s="200" customFormat="1" x14ac:dyDescent="0.35">
      <c r="A107" s="1368"/>
      <c r="B107" s="75"/>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76"/>
      <c r="AB107" s="1368"/>
    </row>
    <row r="108" spans="1:28" s="200" customFormat="1" x14ac:dyDescent="0.35">
      <c r="A108" s="1368"/>
      <c r="B108" s="75" t="s">
        <v>653</v>
      </c>
      <c r="C108" s="11"/>
      <c r="D108" s="11"/>
      <c r="E108" s="38"/>
      <c r="F108" s="11"/>
      <c r="G108" s="167">
        <v>1</v>
      </c>
      <c r="H108" s="167">
        <f>IF(H$16&gt;'III. Inputs, Renewable Energy'!$U$16,0, $G$18*(1-'III. Inputs, Renewable Energy'!$U$259)^H16)</f>
        <v>0.995</v>
      </c>
      <c r="I108" s="167">
        <f>IF(I$16&gt;'III. Inputs, Renewable Energy'!$U$16,0, $G$18*(1-'III. Inputs, Renewable Energy'!$U$259)^I16)</f>
        <v>0.99002500000000004</v>
      </c>
      <c r="J108" s="167">
        <f>IF(J$16&gt;'III. Inputs, Renewable Energy'!$U$16,0, $G$18*(1-'III. Inputs, Renewable Energy'!$U$259)^J16)</f>
        <v>0.98507487500000002</v>
      </c>
      <c r="K108" s="167">
        <f>IF(K$16&gt;'III. Inputs, Renewable Energy'!$U$16,0, $G$18*(1-'III. Inputs, Renewable Energy'!$U$259)^K16)</f>
        <v>0.98014950062500006</v>
      </c>
      <c r="L108" s="167">
        <f>IF(L$16&gt;'III. Inputs, Renewable Energy'!$U$16,0, $G$18*(1-'III. Inputs, Renewable Energy'!$U$259)^L16)</f>
        <v>0.97524875312187509</v>
      </c>
      <c r="M108" s="167">
        <f>IF(M$16&gt;'III. Inputs, Renewable Energy'!$U$16,0, $G$18*(1-'III. Inputs, Renewable Energy'!$U$259)^M16)</f>
        <v>0.97037250935626573</v>
      </c>
      <c r="N108" s="167">
        <f>IF(N$16&gt;'III. Inputs, Renewable Energy'!$U$16,0, $G$18*(1-'III. Inputs, Renewable Energy'!$U$259)^N16)</f>
        <v>0.96552064680948435</v>
      </c>
      <c r="O108" s="167">
        <f>IF(O$16&gt;'III. Inputs, Renewable Energy'!$U$16,0, $G$18*(1-'III. Inputs, Renewable Energy'!$U$259)^O16)</f>
        <v>0.96069304357543694</v>
      </c>
      <c r="P108" s="167">
        <f>IF(P$16&gt;'III. Inputs, Renewable Energy'!$U$16,0, $G$18*(1-'III. Inputs, Renewable Energy'!$U$259)^P16)</f>
        <v>0.95588957835755972</v>
      </c>
      <c r="Q108" s="167">
        <f>IF(Q$16&gt;'III. Inputs, Renewable Energy'!$U$16,0, $G$18*(1-'III. Inputs, Renewable Energy'!$U$259)^Q16)</f>
        <v>0.95111013046577197</v>
      </c>
      <c r="R108" s="167">
        <f>IF(R$16&gt;'III. Inputs, Renewable Energy'!$U$16,0, $G$18*(1-'III. Inputs, Renewable Energy'!$U$259)^R16)</f>
        <v>0.94635457981344306</v>
      </c>
      <c r="S108" s="167">
        <f>IF(S$16&gt;'III. Inputs, Renewable Energy'!$U$16,0, $G$18*(1-'III. Inputs, Renewable Energy'!$U$259)^S16)</f>
        <v>0.94162280691437594</v>
      </c>
      <c r="T108" s="167">
        <f>IF(T$16&gt;'III. Inputs, Renewable Energy'!$U$16,0, $G$18*(1-'III. Inputs, Renewable Energy'!$U$259)^T16)</f>
        <v>0.93691469287980411</v>
      </c>
      <c r="U108" s="167">
        <f>IF(U$16&gt;'III. Inputs, Renewable Energy'!$U$16,0, $G$18*(1-'III. Inputs, Renewable Energy'!$U$259)^U16)</f>
        <v>0.93223011941540512</v>
      </c>
      <c r="V108" s="167">
        <f>IF(V$16&gt;'III. Inputs, Renewable Energy'!$U$16,0, $G$18*(1-'III. Inputs, Renewable Energy'!$U$259)^V16)</f>
        <v>0.92756896881832807</v>
      </c>
      <c r="W108" s="167">
        <f>IF(W$16&gt;'III. Inputs, Renewable Energy'!$U$16,0, $G$18*(1-'III. Inputs, Renewable Energy'!$U$259)^W16)</f>
        <v>0.92293112397423638</v>
      </c>
      <c r="X108" s="167">
        <f>IF(X$16&gt;'III. Inputs, Renewable Energy'!$U$16,0, $G$18*(1-'III. Inputs, Renewable Energy'!$U$259)^X16)</f>
        <v>0.9183164683543652</v>
      </c>
      <c r="Y108" s="167">
        <f>IF(Y$16&gt;'III. Inputs, Renewable Energy'!$U$16,0, $G$18*(1-'III. Inputs, Renewable Energy'!$U$259)^Y16)</f>
        <v>0.91372488601259338</v>
      </c>
      <c r="Z108" s="167">
        <f>IF(Z$16&gt;'III. Inputs, Renewable Energy'!$U$16,0, $G$18*(1-'III. Inputs, Renewable Energy'!$U$259)^Z16)</f>
        <v>0.90915626158253038</v>
      </c>
      <c r="AA108" s="305">
        <f>IF(AA$16&gt;'III. Inputs, Renewable Energy'!$U$16,0, $G$18*(1-'III. Inputs, Renewable Energy'!$U$259)^AA16)</f>
        <v>0.90461048027461777</v>
      </c>
      <c r="AB108" s="1368"/>
    </row>
    <row r="109" spans="1:28" s="200" customFormat="1" ht="4.5" customHeight="1" x14ac:dyDescent="0.35">
      <c r="A109" s="1368"/>
      <c r="B109" s="75"/>
      <c r="C109" s="11"/>
      <c r="D109" s="11"/>
      <c r="E109" s="38"/>
      <c r="F109" s="11"/>
      <c r="G109" s="11"/>
      <c r="H109" s="11"/>
      <c r="I109" s="11"/>
      <c r="J109" s="11"/>
      <c r="K109" s="11"/>
      <c r="L109" s="11"/>
      <c r="M109" s="11"/>
      <c r="N109" s="11"/>
      <c r="O109" s="11"/>
      <c r="P109" s="11"/>
      <c r="Q109" s="11"/>
      <c r="R109" s="11"/>
      <c r="S109" s="11"/>
      <c r="T109" s="11"/>
      <c r="U109" s="11"/>
      <c r="V109" s="11"/>
      <c r="W109" s="11"/>
      <c r="X109" s="11"/>
      <c r="Y109" s="11"/>
      <c r="Z109" s="11"/>
      <c r="AA109" s="76"/>
      <c r="AB109" s="1368"/>
    </row>
    <row r="110" spans="1:28" s="200" customFormat="1" x14ac:dyDescent="0.35">
      <c r="A110" s="1368"/>
      <c r="B110" s="75" t="s">
        <v>85</v>
      </c>
      <c r="C110" s="11"/>
      <c r="D110" s="11"/>
      <c r="E110" s="11"/>
      <c r="F110" s="38" t="s">
        <v>86</v>
      </c>
      <c r="G110" s="11"/>
      <c r="H110" s="81">
        <f>IF(H$16&gt;'III. Inputs, Renewable Energy'!$U$16, 0, 'III. Inputs, Renewable Energy'!$U$14*'III. Inputs, Renewable Energy'!$U$257*(G108+H108)/2)</f>
        <v>1415484.8190000001</v>
      </c>
      <c r="I110" s="81">
        <f>IF(I$16&gt;'III. Inputs, Renewable Energy'!$U$16, 0, 'III. Inputs, Renewable Energy'!$U$14*'III. Inputs, Renewable Energy'!$U$257*(H108+I108)/2)</f>
        <v>1408407.3949050002</v>
      </c>
      <c r="J110" s="81">
        <f>IF(J$16&gt;'III. Inputs, Renewable Energy'!$U$16, 0, 'III. Inputs, Renewable Energy'!$U$14*'III. Inputs, Renewable Energy'!$U$257*(I108+J108)/2)</f>
        <v>1401365.3579304751</v>
      </c>
      <c r="K110" s="81">
        <f>IF(K$16&gt;'III. Inputs, Renewable Energy'!$U$16, 0, 'III. Inputs, Renewable Energy'!$U$14*'III. Inputs, Renewable Energy'!$U$257*(J108+K108)/2)</f>
        <v>1394358.5311408229</v>
      </c>
      <c r="L110" s="81">
        <f>IF(L$16&gt;'III. Inputs, Renewable Energy'!$U$16, 0, 'III. Inputs, Renewable Energy'!$U$14*'III. Inputs, Renewable Energy'!$U$257*(K108+L108)/2)</f>
        <v>1387386.7384851188</v>
      </c>
      <c r="M110" s="81">
        <f>IF(M$16&gt;'III. Inputs, Renewable Energy'!$U$16, 0, 'III. Inputs, Renewable Energy'!$U$14*'III. Inputs, Renewable Energy'!$U$257*(L108+M108)/2)</f>
        <v>1380449.8047926931</v>
      </c>
      <c r="N110" s="81">
        <f>IF(N$16&gt;'III. Inputs, Renewable Energy'!$U$16, 0, 'III. Inputs, Renewable Energy'!$U$14*'III. Inputs, Renewable Energy'!$U$257*(M108+N108)/2)</f>
        <v>1373547.5557687299</v>
      </c>
      <c r="O110" s="81">
        <f>IF(O$16&gt;'III. Inputs, Renewable Energy'!$U$16, 0, 'III. Inputs, Renewable Energy'!$U$14*'III. Inputs, Renewable Energy'!$U$257*(N108+O108)/2)</f>
        <v>1366679.817989886</v>
      </c>
      <c r="P110" s="81">
        <f>IF(P$16&gt;'III. Inputs, Renewable Energy'!$U$16, 0, 'III. Inputs, Renewable Energy'!$U$14*'III. Inputs, Renewable Energy'!$U$257*(O108+P108)/2)</f>
        <v>1359846.4188999366</v>
      </c>
      <c r="Q110" s="81">
        <f>IF(Q$16&gt;'III. Inputs, Renewable Energy'!$U$16, 0, 'III. Inputs, Renewable Energy'!$U$14*'III. Inputs, Renewable Energy'!$U$257*(P108+Q108)/2)</f>
        <v>1353047.1868054369</v>
      </c>
      <c r="R110" s="81">
        <f>IF(R$16&gt;'III. Inputs, Renewable Energy'!$U$16, 0, 'III. Inputs, Renewable Energy'!$U$14*'III. Inputs, Renewable Energy'!$U$257*(Q108+R108)/2)</f>
        <v>1346281.9508714096</v>
      </c>
      <c r="S110" s="81">
        <f>IF(S$16&gt;'III. Inputs, Renewable Energy'!$U$16, 0, 'III. Inputs, Renewable Energy'!$U$14*'III. Inputs, Renewable Energy'!$U$257*(R108+S108)/2)</f>
        <v>1339550.5411170525</v>
      </c>
      <c r="T110" s="81">
        <f>IF(T$16&gt;'III. Inputs, Renewable Energy'!$U$16, 0, 'III. Inputs, Renewable Energy'!$U$14*'III. Inputs, Renewable Energy'!$U$257*(S108+T108)/2)</f>
        <v>1332852.7884114676</v>
      </c>
      <c r="U110" s="81">
        <f>IF(U$16&gt;'III. Inputs, Renewable Energy'!$U$16, 0, 'III. Inputs, Renewable Energy'!$U$14*'III. Inputs, Renewable Energy'!$U$257*(T108+U108)/2)</f>
        <v>1326188.5244694103</v>
      </c>
      <c r="V110" s="81">
        <f>IF(V$16&gt;'III. Inputs, Renewable Energy'!$U$16, 0, 'III. Inputs, Renewable Energy'!$U$14*'III. Inputs, Renewable Energy'!$U$257*(U108+V108)/2)</f>
        <v>1319557.5818470633</v>
      </c>
      <c r="W110" s="81">
        <f>IF(W$16&gt;'III. Inputs, Renewable Energy'!$U$16, 0, 'III. Inputs, Renewable Energy'!$U$14*'III. Inputs, Renewable Energy'!$U$257*(V108+W108)/2)</f>
        <v>1312959.7939378279</v>
      </c>
      <c r="X110" s="81">
        <f>IF(X$16&gt;'III. Inputs, Renewable Energy'!$U$16, 0, 'III. Inputs, Renewable Energy'!$U$14*'III. Inputs, Renewable Energy'!$U$257*(W108+X108)/2)</f>
        <v>1306394.9949681386</v>
      </c>
      <c r="Y110" s="81">
        <f>IF(Y$16&gt;'III. Inputs, Renewable Energy'!$U$16, 0, 'III. Inputs, Renewable Energy'!$U$14*'III. Inputs, Renewable Energy'!$U$257*(X108+Y108)/2)</f>
        <v>1299863.019993298</v>
      </c>
      <c r="Z110" s="81">
        <f>IF(Z$16&gt;'III. Inputs, Renewable Energy'!$U$16, 0, 'III. Inputs, Renewable Energy'!$U$14*'III. Inputs, Renewable Energy'!$U$257*(Y108+Z108)/2)</f>
        <v>1293363.7048933315</v>
      </c>
      <c r="AA110" s="158">
        <f>IF(AA$16&gt;'III. Inputs, Renewable Energy'!$U$16, 0, 'III. Inputs, Renewable Energy'!$U$14*'III. Inputs, Renewable Energy'!$U$257*(Z108+AA108)/2)</f>
        <v>1286896.8863688649</v>
      </c>
      <c r="AB110" s="1368"/>
    </row>
    <row r="111" spans="1:28" s="200" customFormat="1" ht="7.5" customHeight="1" x14ac:dyDescent="0.35">
      <c r="A111" s="1368"/>
      <c r="B111" s="75"/>
      <c r="C111" s="11"/>
      <c r="D111" s="11"/>
      <c r="E111" s="38"/>
      <c r="F111" s="11"/>
      <c r="G111" s="11"/>
      <c r="H111" s="11"/>
      <c r="I111" s="11"/>
      <c r="J111" s="11"/>
      <c r="K111" s="11"/>
      <c r="L111" s="11"/>
      <c r="M111" s="11"/>
      <c r="N111" s="11"/>
      <c r="O111" s="11"/>
      <c r="P111" s="11"/>
      <c r="Q111" s="11"/>
      <c r="R111" s="11"/>
      <c r="S111" s="11"/>
      <c r="T111" s="11"/>
      <c r="U111" s="11"/>
      <c r="V111" s="11"/>
      <c r="W111" s="11"/>
      <c r="X111" s="11"/>
      <c r="Y111" s="11"/>
      <c r="Z111" s="11"/>
      <c r="AA111" s="76"/>
      <c r="AB111" s="1368"/>
    </row>
    <row r="112" spans="1:28" s="200" customFormat="1" ht="13.15" x14ac:dyDescent="0.4">
      <c r="A112" s="1368"/>
      <c r="B112" s="77" t="s">
        <v>87</v>
      </c>
      <c r="C112" s="12"/>
      <c r="D112" s="12"/>
      <c r="E112" s="39"/>
      <c r="F112" s="39"/>
      <c r="G112" s="39"/>
      <c r="H112" s="39"/>
      <c r="I112" s="39"/>
      <c r="J112" s="39"/>
      <c r="K112" s="39"/>
      <c r="L112" s="39"/>
      <c r="M112" s="39"/>
      <c r="N112" s="39"/>
      <c r="O112" s="39"/>
      <c r="P112" s="39"/>
      <c r="Q112" s="39"/>
      <c r="R112" s="39"/>
      <c r="S112" s="39"/>
      <c r="T112" s="39"/>
      <c r="U112" s="39"/>
      <c r="V112" s="39"/>
      <c r="W112" s="39"/>
      <c r="X112" s="39"/>
      <c r="Y112" s="39"/>
      <c r="Z112" s="39"/>
      <c r="AA112" s="159"/>
      <c r="AB112" s="1368"/>
    </row>
    <row r="113" spans="1:28" s="200" customFormat="1" x14ac:dyDescent="0.35">
      <c r="A113" s="1368"/>
      <c r="B113" s="75"/>
      <c r="C113" s="11"/>
      <c r="D113" s="11"/>
      <c r="E113" s="38"/>
      <c r="F113" s="11"/>
      <c r="G113" s="11"/>
      <c r="H113" s="11"/>
      <c r="I113" s="11"/>
      <c r="J113" s="11"/>
      <c r="K113" s="11"/>
      <c r="L113" s="11"/>
      <c r="M113" s="11"/>
      <c r="N113" s="11"/>
      <c r="O113" s="11"/>
      <c r="P113" s="11"/>
      <c r="Q113" s="11"/>
      <c r="R113" s="11"/>
      <c r="S113" s="11"/>
      <c r="T113" s="11"/>
      <c r="U113" s="11"/>
      <c r="V113" s="11"/>
      <c r="W113" s="11"/>
      <c r="X113" s="11"/>
      <c r="Y113" s="11"/>
      <c r="Z113" s="11"/>
      <c r="AA113" s="76"/>
      <c r="AB113" s="1368"/>
    </row>
    <row r="114" spans="1:28" s="200" customFormat="1" x14ac:dyDescent="0.35">
      <c r="A114" s="1368"/>
      <c r="B114" s="75" t="s">
        <v>88</v>
      </c>
      <c r="C114" s="11"/>
      <c r="D114" s="11"/>
      <c r="E114" s="38"/>
      <c r="F114" s="38" t="s">
        <v>748</v>
      </c>
      <c r="G114" s="1672"/>
      <c r="H114" s="1673">
        <v>0</v>
      </c>
      <c r="I114" s="1673">
        <v>0</v>
      </c>
      <c r="J114" s="1673">
        <v>0</v>
      </c>
      <c r="K114" s="1673">
        <v>0</v>
      </c>
      <c r="L114" s="1673">
        <v>0</v>
      </c>
      <c r="M114" s="1673">
        <v>0</v>
      </c>
      <c r="N114" s="1673">
        <v>0</v>
      </c>
      <c r="O114" s="1673">
        <v>0</v>
      </c>
      <c r="P114" s="1673">
        <v>0</v>
      </c>
      <c r="Q114" s="1673">
        <v>0</v>
      </c>
      <c r="R114" s="1673">
        <v>0</v>
      </c>
      <c r="S114" s="1673">
        <v>0</v>
      </c>
      <c r="T114" s="1673">
        <v>0</v>
      </c>
      <c r="U114" s="1673">
        <v>0</v>
      </c>
      <c r="V114" s="1673">
        <v>0</v>
      </c>
      <c r="W114" s="1673">
        <v>0</v>
      </c>
      <c r="X114" s="1673">
        <v>0</v>
      </c>
      <c r="Y114" s="1673">
        <v>0</v>
      </c>
      <c r="Z114" s="1673">
        <v>0</v>
      </c>
      <c r="AA114" s="1674">
        <v>0</v>
      </c>
      <c r="AB114" s="1368"/>
    </row>
    <row r="115" spans="1:28" s="200" customFormat="1" x14ac:dyDescent="0.35">
      <c r="A115" s="1368"/>
      <c r="B115" s="75"/>
      <c r="C115" s="11"/>
      <c r="D115" s="11"/>
      <c r="E115" s="38"/>
      <c r="F115" s="38"/>
      <c r="G115" s="1672"/>
      <c r="H115" s="1675"/>
      <c r="I115" s="1675"/>
      <c r="J115" s="1675"/>
      <c r="K115" s="1675"/>
      <c r="L115" s="1675"/>
      <c r="M115" s="1675"/>
      <c r="N115" s="1675"/>
      <c r="O115" s="1675"/>
      <c r="P115" s="1675"/>
      <c r="Q115" s="1675"/>
      <c r="R115" s="1675"/>
      <c r="S115" s="1675"/>
      <c r="T115" s="1675"/>
      <c r="U115" s="1675"/>
      <c r="V115" s="1675"/>
      <c r="W115" s="1675"/>
      <c r="X115" s="1675"/>
      <c r="Y115" s="1675"/>
      <c r="Z115" s="1675"/>
      <c r="AA115" s="1676"/>
      <c r="AB115" s="1368"/>
    </row>
    <row r="116" spans="1:28" s="200" customFormat="1" x14ac:dyDescent="0.35">
      <c r="A116" s="1368"/>
      <c r="B116" s="75" t="s">
        <v>89</v>
      </c>
      <c r="C116" s="11"/>
      <c r="D116" s="11"/>
      <c r="E116" s="38"/>
      <c r="F116" s="38" t="s">
        <v>748</v>
      </c>
      <c r="G116" s="1672"/>
      <c r="H116" s="1672">
        <f>H379</f>
        <v>0</v>
      </c>
      <c r="I116" s="1672">
        <f>I379</f>
        <v>0</v>
      </c>
      <c r="J116" s="1672">
        <f t="shared" ref="J116:AA116" si="27">J379</f>
        <v>0</v>
      </c>
      <c r="K116" s="1672">
        <f t="shared" si="27"/>
        <v>0</v>
      </c>
      <c r="L116" s="1672">
        <f t="shared" si="27"/>
        <v>0</v>
      </c>
      <c r="M116" s="1672">
        <f t="shared" si="27"/>
        <v>0</v>
      </c>
      <c r="N116" s="1672">
        <f t="shared" si="27"/>
        <v>0</v>
      </c>
      <c r="O116" s="1672">
        <f t="shared" si="27"/>
        <v>0</v>
      </c>
      <c r="P116" s="1672">
        <f t="shared" si="27"/>
        <v>0</v>
      </c>
      <c r="Q116" s="1672">
        <f t="shared" si="27"/>
        <v>0</v>
      </c>
      <c r="R116" s="1672">
        <f t="shared" si="27"/>
        <v>0</v>
      </c>
      <c r="S116" s="1672">
        <f t="shared" si="27"/>
        <v>0</v>
      </c>
      <c r="T116" s="1672">
        <f t="shared" si="27"/>
        <v>0</v>
      </c>
      <c r="U116" s="1672">
        <f t="shared" si="27"/>
        <v>0</v>
      </c>
      <c r="V116" s="1672">
        <f t="shared" si="27"/>
        <v>0</v>
      </c>
      <c r="W116" s="1672">
        <f t="shared" si="27"/>
        <v>0</v>
      </c>
      <c r="X116" s="1672">
        <f t="shared" si="27"/>
        <v>0</v>
      </c>
      <c r="Y116" s="1672">
        <f t="shared" si="27"/>
        <v>0</v>
      </c>
      <c r="Z116" s="1672">
        <f t="shared" si="27"/>
        <v>0</v>
      </c>
      <c r="AA116" s="1677">
        <f t="shared" si="27"/>
        <v>0</v>
      </c>
      <c r="AB116" s="1368"/>
    </row>
    <row r="117" spans="1:28" s="200" customFormat="1" x14ac:dyDescent="0.35">
      <c r="A117" s="1368"/>
      <c r="B117" s="75"/>
      <c r="C117" s="11"/>
      <c r="D117" s="11"/>
      <c r="E117" s="38"/>
      <c r="F117" s="38"/>
      <c r="G117" s="1672"/>
      <c r="H117" s="1672"/>
      <c r="I117" s="1672"/>
      <c r="J117" s="1672"/>
      <c r="K117" s="1672"/>
      <c r="L117" s="1672"/>
      <c r="M117" s="1672"/>
      <c r="N117" s="1672"/>
      <c r="O117" s="1672"/>
      <c r="P117" s="1672"/>
      <c r="Q117" s="1672"/>
      <c r="R117" s="1672"/>
      <c r="S117" s="1672"/>
      <c r="T117" s="1672"/>
      <c r="U117" s="1672"/>
      <c r="V117" s="1672"/>
      <c r="W117" s="1672"/>
      <c r="X117" s="1672"/>
      <c r="Y117" s="1672"/>
      <c r="Z117" s="1672"/>
      <c r="AA117" s="1677"/>
      <c r="AB117" s="1368"/>
    </row>
    <row r="118" spans="1:28" s="200" customFormat="1" x14ac:dyDescent="0.35">
      <c r="A118" s="1368"/>
      <c r="B118" s="75" t="s">
        <v>219</v>
      </c>
      <c r="C118" s="11"/>
      <c r="D118" s="11"/>
      <c r="E118" s="38"/>
      <c r="F118" s="38" t="s">
        <v>748</v>
      </c>
      <c r="G118" s="1672"/>
      <c r="H118" s="1672">
        <f>H282</f>
        <v>0</v>
      </c>
      <c r="I118" s="1672">
        <f>I282</f>
        <v>0</v>
      </c>
      <c r="J118" s="1672">
        <f t="shared" ref="J118:AA118" si="28">J282</f>
        <v>0</v>
      </c>
      <c r="K118" s="1672">
        <f t="shared" si="28"/>
        <v>0</v>
      </c>
      <c r="L118" s="1672">
        <f t="shared" si="28"/>
        <v>0</v>
      </c>
      <c r="M118" s="1672">
        <f t="shared" si="28"/>
        <v>0</v>
      </c>
      <c r="N118" s="1672">
        <f t="shared" si="28"/>
        <v>0</v>
      </c>
      <c r="O118" s="1672">
        <f t="shared" si="28"/>
        <v>0</v>
      </c>
      <c r="P118" s="1672">
        <f t="shared" si="28"/>
        <v>0</v>
      </c>
      <c r="Q118" s="1672">
        <f t="shared" si="28"/>
        <v>0</v>
      </c>
      <c r="R118" s="1672">
        <f t="shared" si="28"/>
        <v>0</v>
      </c>
      <c r="S118" s="1672">
        <f t="shared" si="28"/>
        <v>0</v>
      </c>
      <c r="T118" s="1672">
        <f t="shared" si="28"/>
        <v>0</v>
      </c>
      <c r="U118" s="1672">
        <f t="shared" si="28"/>
        <v>0</v>
      </c>
      <c r="V118" s="1672">
        <f t="shared" si="28"/>
        <v>0</v>
      </c>
      <c r="W118" s="1672">
        <f t="shared" si="28"/>
        <v>0</v>
      </c>
      <c r="X118" s="1672">
        <f t="shared" si="28"/>
        <v>0</v>
      </c>
      <c r="Y118" s="1672">
        <f t="shared" si="28"/>
        <v>0</v>
      </c>
      <c r="Z118" s="1672">
        <f t="shared" si="28"/>
        <v>0</v>
      </c>
      <c r="AA118" s="1677">
        <f t="shared" si="28"/>
        <v>0</v>
      </c>
      <c r="AB118" s="1368"/>
    </row>
    <row r="119" spans="1:28" s="200" customFormat="1" x14ac:dyDescent="0.35">
      <c r="A119" s="1368"/>
      <c r="B119" s="75" t="s">
        <v>160</v>
      </c>
      <c r="C119" s="11"/>
      <c r="D119" s="11"/>
      <c r="E119" s="38"/>
      <c r="F119" s="38" t="s">
        <v>748</v>
      </c>
      <c r="G119" s="1672"/>
      <c r="H119" s="1672">
        <f>H303</f>
        <v>0</v>
      </c>
      <c r="I119" s="1672">
        <f>I303</f>
        <v>0</v>
      </c>
      <c r="J119" s="1672">
        <f t="shared" ref="J119:AA119" si="29">J303</f>
        <v>0</v>
      </c>
      <c r="K119" s="1672">
        <f t="shared" si="29"/>
        <v>0</v>
      </c>
      <c r="L119" s="1672">
        <f t="shared" si="29"/>
        <v>0</v>
      </c>
      <c r="M119" s="1672">
        <f t="shared" si="29"/>
        <v>0</v>
      </c>
      <c r="N119" s="1672">
        <f t="shared" si="29"/>
        <v>0</v>
      </c>
      <c r="O119" s="1672">
        <f t="shared" si="29"/>
        <v>0</v>
      </c>
      <c r="P119" s="1672">
        <f t="shared" si="29"/>
        <v>0</v>
      </c>
      <c r="Q119" s="1672">
        <f t="shared" si="29"/>
        <v>0</v>
      </c>
      <c r="R119" s="1672">
        <f t="shared" si="29"/>
        <v>0</v>
      </c>
      <c r="S119" s="1672">
        <f t="shared" si="29"/>
        <v>0</v>
      </c>
      <c r="T119" s="1672">
        <f t="shared" si="29"/>
        <v>0</v>
      </c>
      <c r="U119" s="1672">
        <f t="shared" si="29"/>
        <v>0</v>
      </c>
      <c r="V119" s="1672">
        <f t="shared" si="29"/>
        <v>0</v>
      </c>
      <c r="W119" s="1672">
        <f t="shared" si="29"/>
        <v>0</v>
      </c>
      <c r="X119" s="1672">
        <f t="shared" si="29"/>
        <v>0</v>
      </c>
      <c r="Y119" s="1672">
        <f t="shared" si="29"/>
        <v>0</v>
      </c>
      <c r="Z119" s="1672">
        <f t="shared" si="29"/>
        <v>0</v>
      </c>
      <c r="AA119" s="1677">
        <f t="shared" si="29"/>
        <v>0</v>
      </c>
      <c r="AB119" s="1368"/>
    </row>
    <row r="120" spans="1:28" s="200" customFormat="1" x14ac:dyDescent="0.35">
      <c r="A120" s="1368"/>
      <c r="B120" s="75" t="s">
        <v>161</v>
      </c>
      <c r="C120" s="11"/>
      <c r="D120" s="11"/>
      <c r="E120" s="38"/>
      <c r="F120" s="38" t="s">
        <v>748</v>
      </c>
      <c r="G120" s="1672"/>
      <c r="H120" s="1672">
        <f>H324</f>
        <v>0</v>
      </c>
      <c r="I120" s="1672">
        <f>I324</f>
        <v>0</v>
      </c>
      <c r="J120" s="1672">
        <f t="shared" ref="J120:AA120" si="30">J324</f>
        <v>0</v>
      </c>
      <c r="K120" s="1672">
        <f t="shared" si="30"/>
        <v>0</v>
      </c>
      <c r="L120" s="1672">
        <f t="shared" si="30"/>
        <v>0</v>
      </c>
      <c r="M120" s="1672">
        <f t="shared" si="30"/>
        <v>0</v>
      </c>
      <c r="N120" s="1672">
        <f t="shared" si="30"/>
        <v>0</v>
      </c>
      <c r="O120" s="1672">
        <f t="shared" si="30"/>
        <v>0</v>
      </c>
      <c r="P120" s="1672">
        <f t="shared" si="30"/>
        <v>0</v>
      </c>
      <c r="Q120" s="1672">
        <f t="shared" si="30"/>
        <v>0</v>
      </c>
      <c r="R120" s="1672">
        <f t="shared" si="30"/>
        <v>0</v>
      </c>
      <c r="S120" s="1672">
        <f t="shared" si="30"/>
        <v>0</v>
      </c>
      <c r="T120" s="1672">
        <f t="shared" si="30"/>
        <v>0</v>
      </c>
      <c r="U120" s="1672">
        <f t="shared" si="30"/>
        <v>0</v>
      </c>
      <c r="V120" s="1672">
        <f t="shared" si="30"/>
        <v>0</v>
      </c>
      <c r="W120" s="1672">
        <f t="shared" si="30"/>
        <v>0</v>
      </c>
      <c r="X120" s="1672">
        <f t="shared" si="30"/>
        <v>0</v>
      </c>
      <c r="Y120" s="1672">
        <f t="shared" si="30"/>
        <v>0</v>
      </c>
      <c r="Z120" s="1672">
        <f t="shared" si="30"/>
        <v>0</v>
      </c>
      <c r="AA120" s="1677">
        <f t="shared" si="30"/>
        <v>0</v>
      </c>
      <c r="AB120" s="1368"/>
    </row>
    <row r="121" spans="1:28" s="200" customFormat="1" x14ac:dyDescent="0.35">
      <c r="A121" s="1368"/>
      <c r="B121" s="75" t="s">
        <v>120</v>
      </c>
      <c r="C121" s="11"/>
      <c r="D121" s="11"/>
      <c r="E121" s="38"/>
      <c r="F121" s="38" t="s">
        <v>748</v>
      </c>
      <c r="G121" s="1672"/>
      <c r="H121" s="1672">
        <f>(H293+H314+H335)</f>
        <v>0</v>
      </c>
      <c r="I121" s="1672">
        <f>(I293+I314+I335)</f>
        <v>0</v>
      </c>
      <c r="J121" s="1672">
        <f t="shared" ref="J121:AA121" si="31">(J293+J314+J335)</f>
        <v>0</v>
      </c>
      <c r="K121" s="1672">
        <f t="shared" si="31"/>
        <v>0</v>
      </c>
      <c r="L121" s="1672">
        <f t="shared" si="31"/>
        <v>0</v>
      </c>
      <c r="M121" s="1672">
        <f t="shared" si="31"/>
        <v>0</v>
      </c>
      <c r="N121" s="1672">
        <f t="shared" si="31"/>
        <v>0</v>
      </c>
      <c r="O121" s="1672">
        <f t="shared" si="31"/>
        <v>0</v>
      </c>
      <c r="P121" s="1672">
        <f t="shared" si="31"/>
        <v>0</v>
      </c>
      <c r="Q121" s="1672">
        <f t="shared" si="31"/>
        <v>0</v>
      </c>
      <c r="R121" s="1672">
        <f t="shared" si="31"/>
        <v>0</v>
      </c>
      <c r="S121" s="1672">
        <f t="shared" si="31"/>
        <v>0</v>
      </c>
      <c r="T121" s="1672">
        <f t="shared" si="31"/>
        <v>0</v>
      </c>
      <c r="U121" s="1672">
        <f t="shared" si="31"/>
        <v>0</v>
      </c>
      <c r="V121" s="1672">
        <f t="shared" si="31"/>
        <v>0</v>
      </c>
      <c r="W121" s="1672">
        <f t="shared" si="31"/>
        <v>0</v>
      </c>
      <c r="X121" s="1672">
        <f t="shared" si="31"/>
        <v>0</v>
      </c>
      <c r="Y121" s="1672">
        <f t="shared" si="31"/>
        <v>0</v>
      </c>
      <c r="Z121" s="1672">
        <f t="shared" si="31"/>
        <v>0</v>
      </c>
      <c r="AA121" s="1677">
        <f t="shared" si="31"/>
        <v>0</v>
      </c>
      <c r="AB121" s="1368"/>
    </row>
    <row r="122" spans="1:28" s="200" customFormat="1" x14ac:dyDescent="0.35">
      <c r="A122" s="1368"/>
      <c r="B122" s="75" t="s">
        <v>162</v>
      </c>
      <c r="C122" s="11"/>
      <c r="D122" s="11"/>
      <c r="E122" s="38"/>
      <c r="F122" s="38" t="s">
        <v>748</v>
      </c>
      <c r="G122" s="1672"/>
      <c r="H122" s="1672">
        <f>(H315+H316)</f>
        <v>0</v>
      </c>
      <c r="I122" s="1672">
        <f>I316</f>
        <v>0</v>
      </c>
      <c r="J122" s="1672">
        <f t="shared" ref="J122:AA122" si="32">J316</f>
        <v>0</v>
      </c>
      <c r="K122" s="1672">
        <f t="shared" si="32"/>
        <v>0</v>
      </c>
      <c r="L122" s="1672">
        <f t="shared" si="32"/>
        <v>0</v>
      </c>
      <c r="M122" s="1672">
        <f t="shared" si="32"/>
        <v>0</v>
      </c>
      <c r="N122" s="1672">
        <f t="shared" si="32"/>
        <v>0</v>
      </c>
      <c r="O122" s="1672">
        <f t="shared" si="32"/>
        <v>0</v>
      </c>
      <c r="P122" s="1672">
        <f t="shared" si="32"/>
        <v>0</v>
      </c>
      <c r="Q122" s="1672">
        <f t="shared" si="32"/>
        <v>0</v>
      </c>
      <c r="R122" s="1672">
        <f t="shared" si="32"/>
        <v>0</v>
      </c>
      <c r="S122" s="1672">
        <f t="shared" si="32"/>
        <v>0</v>
      </c>
      <c r="T122" s="1672">
        <f t="shared" si="32"/>
        <v>0</v>
      </c>
      <c r="U122" s="1672">
        <f t="shared" si="32"/>
        <v>0</v>
      </c>
      <c r="V122" s="1672">
        <f t="shared" si="32"/>
        <v>0</v>
      </c>
      <c r="W122" s="1672">
        <f t="shared" si="32"/>
        <v>0</v>
      </c>
      <c r="X122" s="1672">
        <f t="shared" si="32"/>
        <v>0</v>
      </c>
      <c r="Y122" s="1672">
        <f t="shared" si="32"/>
        <v>0</v>
      </c>
      <c r="Z122" s="1672">
        <f t="shared" si="32"/>
        <v>0</v>
      </c>
      <c r="AA122" s="1677">
        <f t="shared" si="32"/>
        <v>0</v>
      </c>
      <c r="AB122" s="1368"/>
    </row>
    <row r="123" spans="1:28" s="200" customFormat="1" x14ac:dyDescent="0.35">
      <c r="A123" s="1368"/>
      <c r="B123" s="75" t="s">
        <v>121</v>
      </c>
      <c r="C123" s="11"/>
      <c r="D123" s="11"/>
      <c r="E123" s="38"/>
      <c r="F123" s="38" t="s">
        <v>748</v>
      </c>
      <c r="G123" s="1672"/>
      <c r="H123" s="1672">
        <f>(H345+H346)</f>
        <v>0</v>
      </c>
      <c r="I123" s="1672">
        <f>I346</f>
        <v>0</v>
      </c>
      <c r="J123" s="1672">
        <f t="shared" ref="J123:AA123" si="33">J346</f>
        <v>0</v>
      </c>
      <c r="K123" s="1672">
        <f t="shared" si="33"/>
        <v>0</v>
      </c>
      <c r="L123" s="1672">
        <f t="shared" si="33"/>
        <v>0</v>
      </c>
      <c r="M123" s="1672">
        <f t="shared" si="33"/>
        <v>0</v>
      </c>
      <c r="N123" s="1672">
        <f t="shared" si="33"/>
        <v>0</v>
      </c>
      <c r="O123" s="1672">
        <f t="shared" si="33"/>
        <v>0</v>
      </c>
      <c r="P123" s="1672">
        <f t="shared" si="33"/>
        <v>0</v>
      </c>
      <c r="Q123" s="1672">
        <f t="shared" si="33"/>
        <v>0</v>
      </c>
      <c r="R123" s="1672">
        <f t="shared" si="33"/>
        <v>0</v>
      </c>
      <c r="S123" s="1672">
        <f t="shared" si="33"/>
        <v>0</v>
      </c>
      <c r="T123" s="1672">
        <f t="shared" si="33"/>
        <v>0</v>
      </c>
      <c r="U123" s="1672">
        <f t="shared" si="33"/>
        <v>0</v>
      </c>
      <c r="V123" s="1672">
        <f t="shared" si="33"/>
        <v>0</v>
      </c>
      <c r="W123" s="1672">
        <f t="shared" si="33"/>
        <v>0</v>
      </c>
      <c r="X123" s="1672">
        <f t="shared" si="33"/>
        <v>0</v>
      </c>
      <c r="Y123" s="1672">
        <f t="shared" si="33"/>
        <v>0</v>
      </c>
      <c r="Z123" s="1672">
        <f t="shared" si="33"/>
        <v>0</v>
      </c>
      <c r="AA123" s="1677">
        <f t="shared" si="33"/>
        <v>0</v>
      </c>
      <c r="AB123" s="1368"/>
    </row>
    <row r="124" spans="1:28" s="200" customFormat="1" x14ac:dyDescent="0.35">
      <c r="A124" s="1368"/>
      <c r="B124" s="75"/>
      <c r="C124" s="11"/>
      <c r="D124" s="11"/>
      <c r="E124" s="38"/>
      <c r="F124" s="38"/>
      <c r="G124" s="1672"/>
      <c r="H124" s="1672"/>
      <c r="I124" s="1672"/>
      <c r="J124" s="1672"/>
      <c r="K124" s="1672"/>
      <c r="L124" s="1672"/>
      <c r="M124" s="1672"/>
      <c r="N124" s="1672"/>
      <c r="O124" s="1672"/>
      <c r="P124" s="1672"/>
      <c r="Q124" s="1672"/>
      <c r="R124" s="1672"/>
      <c r="S124" s="1672"/>
      <c r="T124" s="1672"/>
      <c r="U124" s="1672"/>
      <c r="V124" s="1672"/>
      <c r="W124" s="1672"/>
      <c r="X124" s="1672"/>
      <c r="Y124" s="1672"/>
      <c r="Z124" s="1672"/>
      <c r="AA124" s="1677"/>
      <c r="AB124" s="1368"/>
    </row>
    <row r="125" spans="1:28" s="200" customFormat="1" x14ac:dyDescent="0.35">
      <c r="A125" s="1368"/>
      <c r="B125" s="75"/>
      <c r="C125" s="11"/>
      <c r="D125" s="11"/>
      <c r="E125" s="38"/>
      <c r="F125" s="38"/>
      <c r="G125" s="1672"/>
      <c r="H125" s="1672"/>
      <c r="I125" s="1672"/>
      <c r="J125" s="1672"/>
      <c r="K125" s="1672"/>
      <c r="L125" s="1672"/>
      <c r="M125" s="1672"/>
      <c r="N125" s="1672"/>
      <c r="O125" s="1672"/>
      <c r="P125" s="1672"/>
      <c r="Q125" s="1672"/>
      <c r="R125" s="1672"/>
      <c r="S125" s="1672"/>
      <c r="T125" s="1672"/>
      <c r="U125" s="1672"/>
      <c r="V125" s="1672"/>
      <c r="W125" s="1672"/>
      <c r="X125" s="1672"/>
      <c r="Y125" s="1672"/>
      <c r="Z125" s="1672"/>
      <c r="AA125" s="1677"/>
      <c r="AB125" s="1368"/>
    </row>
    <row r="126" spans="1:28" s="200" customFormat="1" ht="13.15" x14ac:dyDescent="0.4">
      <c r="A126" s="1368"/>
      <c r="B126" s="82" t="s">
        <v>400</v>
      </c>
      <c r="C126" s="11"/>
      <c r="D126" s="11"/>
      <c r="E126" s="38"/>
      <c r="F126" s="38"/>
      <c r="G126" s="1672"/>
      <c r="H126" s="1672"/>
      <c r="I126" s="1672"/>
      <c r="J126" s="1672"/>
      <c r="K126" s="1672"/>
      <c r="L126" s="1672"/>
      <c r="M126" s="1672"/>
      <c r="N126" s="1672"/>
      <c r="O126" s="1672"/>
      <c r="P126" s="1672"/>
      <c r="Q126" s="1672"/>
      <c r="R126" s="1672"/>
      <c r="S126" s="1672"/>
      <c r="T126" s="1672"/>
      <c r="U126" s="1672"/>
      <c r="V126" s="1672"/>
      <c r="W126" s="1672"/>
      <c r="X126" s="1672"/>
      <c r="Y126" s="1672"/>
      <c r="Z126" s="1672"/>
      <c r="AA126" s="1677"/>
      <c r="AB126" s="1368"/>
    </row>
    <row r="127" spans="1:28" s="200" customFormat="1" x14ac:dyDescent="0.35">
      <c r="A127" s="1368"/>
      <c r="B127" s="75"/>
      <c r="C127" s="11"/>
      <c r="D127" s="11"/>
      <c r="E127" s="38"/>
      <c r="F127" s="38"/>
      <c r="G127" s="1672"/>
      <c r="H127" s="1672"/>
      <c r="I127" s="1672"/>
      <c r="J127" s="1672"/>
      <c r="K127" s="1672"/>
      <c r="L127" s="1672"/>
      <c r="M127" s="1672"/>
      <c r="N127" s="1672"/>
      <c r="O127" s="1672"/>
      <c r="P127" s="1672"/>
      <c r="Q127" s="1672"/>
      <c r="R127" s="1672"/>
      <c r="S127" s="1672"/>
      <c r="T127" s="1672"/>
      <c r="U127" s="1672"/>
      <c r="V127" s="1672"/>
      <c r="W127" s="1672"/>
      <c r="X127" s="1672"/>
      <c r="Y127" s="1672"/>
      <c r="Z127" s="1672"/>
      <c r="AA127" s="1677"/>
      <c r="AB127" s="1368"/>
    </row>
    <row r="128" spans="1:28" s="200" customFormat="1" x14ac:dyDescent="0.35">
      <c r="A128" s="1368"/>
      <c r="B128" s="75" t="str">
        <f>B114</f>
        <v>Operations &amp; Maintenance Expenses</v>
      </c>
      <c r="C128" s="11"/>
      <c r="D128" s="11"/>
      <c r="E128" s="38"/>
      <c r="F128" s="38" t="s">
        <v>748</v>
      </c>
      <c r="G128" s="1672"/>
      <c r="H128" s="1672">
        <f>-H114</f>
        <v>0</v>
      </c>
      <c r="I128" s="1672">
        <f>-I114</f>
        <v>0</v>
      </c>
      <c r="J128" s="1672">
        <f t="shared" ref="J128:AA128" si="34">-J114</f>
        <v>0</v>
      </c>
      <c r="K128" s="1672">
        <f t="shared" si="34"/>
        <v>0</v>
      </c>
      <c r="L128" s="1672">
        <f t="shared" si="34"/>
        <v>0</v>
      </c>
      <c r="M128" s="1672">
        <f t="shared" si="34"/>
        <v>0</v>
      </c>
      <c r="N128" s="1672">
        <f t="shared" si="34"/>
        <v>0</v>
      </c>
      <c r="O128" s="1672">
        <f t="shared" si="34"/>
        <v>0</v>
      </c>
      <c r="P128" s="1672">
        <f t="shared" si="34"/>
        <v>0</v>
      </c>
      <c r="Q128" s="1672">
        <f t="shared" si="34"/>
        <v>0</v>
      </c>
      <c r="R128" s="1672">
        <f t="shared" si="34"/>
        <v>0</v>
      </c>
      <c r="S128" s="1672">
        <f t="shared" si="34"/>
        <v>0</v>
      </c>
      <c r="T128" s="1672">
        <f t="shared" si="34"/>
        <v>0</v>
      </c>
      <c r="U128" s="1672">
        <f t="shared" si="34"/>
        <v>0</v>
      </c>
      <c r="V128" s="1672">
        <f t="shared" si="34"/>
        <v>0</v>
      </c>
      <c r="W128" s="1672">
        <f t="shared" si="34"/>
        <v>0</v>
      </c>
      <c r="X128" s="1672">
        <f t="shared" si="34"/>
        <v>0</v>
      </c>
      <c r="Y128" s="1672">
        <f t="shared" si="34"/>
        <v>0</v>
      </c>
      <c r="Z128" s="1672">
        <f t="shared" si="34"/>
        <v>0</v>
      </c>
      <c r="AA128" s="1677">
        <f t="shared" si="34"/>
        <v>0</v>
      </c>
      <c r="AB128" s="1368"/>
    </row>
    <row r="129" spans="1:28" s="200" customFormat="1" x14ac:dyDescent="0.35">
      <c r="A129" s="1368"/>
      <c r="B129" s="75" t="str">
        <f>B121</f>
        <v xml:space="preserve">Front-end Fees </v>
      </c>
      <c r="C129" s="11"/>
      <c r="D129" s="11"/>
      <c r="E129" s="38"/>
      <c r="F129" s="38" t="s">
        <v>748</v>
      </c>
      <c r="G129" s="1672"/>
      <c r="H129" s="1672">
        <f t="shared" ref="H129:AA131" si="35">-H121</f>
        <v>0</v>
      </c>
      <c r="I129" s="1672">
        <f t="shared" si="35"/>
        <v>0</v>
      </c>
      <c r="J129" s="1672">
        <f t="shared" si="35"/>
        <v>0</v>
      </c>
      <c r="K129" s="1672">
        <f t="shared" si="35"/>
        <v>0</v>
      </c>
      <c r="L129" s="1672">
        <f t="shared" si="35"/>
        <v>0</v>
      </c>
      <c r="M129" s="1672">
        <f t="shared" si="35"/>
        <v>0</v>
      </c>
      <c r="N129" s="1672">
        <f t="shared" si="35"/>
        <v>0</v>
      </c>
      <c r="O129" s="1672">
        <f t="shared" si="35"/>
        <v>0</v>
      </c>
      <c r="P129" s="1672">
        <f t="shared" si="35"/>
        <v>0</v>
      </c>
      <c r="Q129" s="1672">
        <f t="shared" si="35"/>
        <v>0</v>
      </c>
      <c r="R129" s="1672">
        <f t="shared" si="35"/>
        <v>0</v>
      </c>
      <c r="S129" s="1672">
        <f t="shared" si="35"/>
        <v>0</v>
      </c>
      <c r="T129" s="1672">
        <f t="shared" si="35"/>
        <v>0</v>
      </c>
      <c r="U129" s="1672">
        <f t="shared" si="35"/>
        <v>0</v>
      </c>
      <c r="V129" s="1672">
        <f t="shared" si="35"/>
        <v>0</v>
      </c>
      <c r="W129" s="1672">
        <f t="shared" si="35"/>
        <v>0</v>
      </c>
      <c r="X129" s="1672">
        <f t="shared" si="35"/>
        <v>0</v>
      </c>
      <c r="Y129" s="1672">
        <f t="shared" si="35"/>
        <v>0</v>
      </c>
      <c r="Z129" s="1672">
        <f t="shared" si="35"/>
        <v>0</v>
      </c>
      <c r="AA129" s="1677">
        <f t="shared" si="35"/>
        <v>0</v>
      </c>
      <c r="AB129" s="1368"/>
    </row>
    <row r="130" spans="1:28" s="200" customFormat="1" x14ac:dyDescent="0.35">
      <c r="A130" s="1368"/>
      <c r="B130" s="75" t="str">
        <f>B122</f>
        <v xml:space="preserve">Public Guarantee Fees </v>
      </c>
      <c r="C130" s="11"/>
      <c r="D130" s="11"/>
      <c r="E130" s="38"/>
      <c r="F130" s="38" t="s">
        <v>748</v>
      </c>
      <c r="G130" s="1672"/>
      <c r="H130" s="1672">
        <f t="shared" si="35"/>
        <v>0</v>
      </c>
      <c r="I130" s="1672">
        <f t="shared" si="35"/>
        <v>0</v>
      </c>
      <c r="J130" s="1672">
        <f t="shared" si="35"/>
        <v>0</v>
      </c>
      <c r="K130" s="1672">
        <f t="shared" si="35"/>
        <v>0</v>
      </c>
      <c r="L130" s="1672">
        <f t="shared" si="35"/>
        <v>0</v>
      </c>
      <c r="M130" s="1672">
        <f t="shared" si="35"/>
        <v>0</v>
      </c>
      <c r="N130" s="1672">
        <f t="shared" si="35"/>
        <v>0</v>
      </c>
      <c r="O130" s="1672">
        <f t="shared" si="35"/>
        <v>0</v>
      </c>
      <c r="P130" s="1672">
        <f t="shared" si="35"/>
        <v>0</v>
      </c>
      <c r="Q130" s="1672">
        <f t="shared" si="35"/>
        <v>0</v>
      </c>
      <c r="R130" s="1672">
        <f t="shared" si="35"/>
        <v>0</v>
      </c>
      <c r="S130" s="1672">
        <f t="shared" si="35"/>
        <v>0</v>
      </c>
      <c r="T130" s="1672">
        <f t="shared" si="35"/>
        <v>0</v>
      </c>
      <c r="U130" s="1672">
        <f t="shared" si="35"/>
        <v>0</v>
      </c>
      <c r="V130" s="1672">
        <f t="shared" si="35"/>
        <v>0</v>
      </c>
      <c r="W130" s="1672">
        <f t="shared" si="35"/>
        <v>0</v>
      </c>
      <c r="X130" s="1672">
        <f t="shared" si="35"/>
        <v>0</v>
      </c>
      <c r="Y130" s="1672">
        <f t="shared" si="35"/>
        <v>0</v>
      </c>
      <c r="Z130" s="1672">
        <f t="shared" si="35"/>
        <v>0</v>
      </c>
      <c r="AA130" s="1677">
        <f t="shared" si="35"/>
        <v>0</v>
      </c>
      <c r="AB130" s="1368"/>
    </row>
    <row r="131" spans="1:28" s="200" customFormat="1" x14ac:dyDescent="0.35">
      <c r="A131" s="1368"/>
      <c r="B131" s="75" t="str">
        <f>B123</f>
        <v>Political Risk Insurance - Fees &amp; Annual Premium Payments</v>
      </c>
      <c r="C131" s="11"/>
      <c r="D131" s="11"/>
      <c r="E131" s="38"/>
      <c r="F131" s="38" t="s">
        <v>748</v>
      </c>
      <c r="G131" s="1672"/>
      <c r="H131" s="1672">
        <f t="shared" si="35"/>
        <v>0</v>
      </c>
      <c r="I131" s="1672">
        <f t="shared" si="35"/>
        <v>0</v>
      </c>
      <c r="J131" s="1672">
        <f t="shared" si="35"/>
        <v>0</v>
      </c>
      <c r="K131" s="1672">
        <f t="shared" si="35"/>
        <v>0</v>
      </c>
      <c r="L131" s="1672">
        <f t="shared" si="35"/>
        <v>0</v>
      </c>
      <c r="M131" s="1672">
        <f t="shared" si="35"/>
        <v>0</v>
      </c>
      <c r="N131" s="1672">
        <f t="shared" si="35"/>
        <v>0</v>
      </c>
      <c r="O131" s="1672">
        <f t="shared" si="35"/>
        <v>0</v>
      </c>
      <c r="P131" s="1672">
        <f t="shared" si="35"/>
        <v>0</v>
      </c>
      <c r="Q131" s="1672">
        <f t="shared" si="35"/>
        <v>0</v>
      </c>
      <c r="R131" s="1672">
        <f t="shared" si="35"/>
        <v>0</v>
      </c>
      <c r="S131" s="1672">
        <f t="shared" si="35"/>
        <v>0</v>
      </c>
      <c r="T131" s="1672">
        <f t="shared" si="35"/>
        <v>0</v>
      </c>
      <c r="U131" s="1672">
        <f t="shared" si="35"/>
        <v>0</v>
      </c>
      <c r="V131" s="1672">
        <f t="shared" si="35"/>
        <v>0</v>
      </c>
      <c r="W131" s="1672">
        <f t="shared" si="35"/>
        <v>0</v>
      </c>
      <c r="X131" s="1672">
        <f t="shared" si="35"/>
        <v>0</v>
      </c>
      <c r="Y131" s="1672">
        <f t="shared" si="35"/>
        <v>0</v>
      </c>
      <c r="Z131" s="1672">
        <f t="shared" si="35"/>
        <v>0</v>
      </c>
      <c r="AA131" s="1677">
        <f t="shared" si="35"/>
        <v>0</v>
      </c>
      <c r="AB131" s="1368"/>
    </row>
    <row r="132" spans="1:28" s="200" customFormat="1" x14ac:dyDescent="0.35">
      <c r="A132" s="1368"/>
      <c r="B132" s="75" t="s">
        <v>90</v>
      </c>
      <c r="C132" s="11"/>
      <c r="D132" s="11"/>
      <c r="E132" s="38"/>
      <c r="F132" s="38" t="s">
        <v>748</v>
      </c>
      <c r="G132" s="1672"/>
      <c r="H132" s="1672">
        <f>-(H284+H305+H326)</f>
        <v>0</v>
      </c>
      <c r="I132" s="1672">
        <f t="shared" ref="I132:AA132" si="36">-(I284+I305+I326)</f>
        <v>0</v>
      </c>
      <c r="J132" s="1672">
        <f t="shared" si="36"/>
        <v>0</v>
      </c>
      <c r="K132" s="1672">
        <f t="shared" si="36"/>
        <v>0</v>
      </c>
      <c r="L132" s="1672">
        <f t="shared" si="36"/>
        <v>0</v>
      </c>
      <c r="M132" s="1672">
        <f t="shared" si="36"/>
        <v>0</v>
      </c>
      <c r="N132" s="1672">
        <f t="shared" si="36"/>
        <v>0</v>
      </c>
      <c r="O132" s="1672">
        <f t="shared" si="36"/>
        <v>0</v>
      </c>
      <c r="P132" s="1672">
        <f t="shared" si="36"/>
        <v>0</v>
      </c>
      <c r="Q132" s="1672">
        <f t="shared" si="36"/>
        <v>0</v>
      </c>
      <c r="R132" s="1672">
        <f t="shared" si="36"/>
        <v>0</v>
      </c>
      <c r="S132" s="1672">
        <f t="shared" si="36"/>
        <v>0</v>
      </c>
      <c r="T132" s="1672">
        <f t="shared" si="36"/>
        <v>0</v>
      </c>
      <c r="U132" s="1672">
        <f t="shared" si="36"/>
        <v>0</v>
      </c>
      <c r="V132" s="1672">
        <f t="shared" si="36"/>
        <v>0</v>
      </c>
      <c r="W132" s="1672">
        <f t="shared" si="36"/>
        <v>0</v>
      </c>
      <c r="X132" s="1672">
        <f t="shared" si="36"/>
        <v>0</v>
      </c>
      <c r="Y132" s="1672">
        <f t="shared" si="36"/>
        <v>0</v>
      </c>
      <c r="Z132" s="1672">
        <f t="shared" si="36"/>
        <v>0</v>
      </c>
      <c r="AA132" s="1677">
        <f t="shared" si="36"/>
        <v>0</v>
      </c>
      <c r="AB132" s="1368"/>
    </row>
    <row r="133" spans="1:28" s="200" customFormat="1" x14ac:dyDescent="0.35">
      <c r="A133" s="1368"/>
      <c r="B133" s="83" t="s">
        <v>91</v>
      </c>
      <c r="C133" s="12"/>
      <c r="D133" s="12"/>
      <c r="E133" s="39"/>
      <c r="F133" s="39" t="s">
        <v>748</v>
      </c>
      <c r="G133" s="1678"/>
      <c r="H133" s="1678">
        <f>(H114+H116+H121+H122+H123+H118+H119+H120)*'III. Inputs, Renewable Energy'!$U$18</f>
        <v>0</v>
      </c>
      <c r="I133" s="1678">
        <f>(I114+I116+I121+I122+I123+I118+I119+I120)*'III. Inputs, Renewable Energy'!$U$18</f>
        <v>0</v>
      </c>
      <c r="J133" s="1678">
        <f>(J114+J116+J121+J122+J123+J118+J119+J120)*'III. Inputs, Renewable Energy'!$U$18</f>
        <v>0</v>
      </c>
      <c r="K133" s="1678">
        <f>(K114+K116+K121+K122+K123+K118+K119+K120)*'III. Inputs, Renewable Energy'!$U$18</f>
        <v>0</v>
      </c>
      <c r="L133" s="1678">
        <f>(L114+L116+L121+L122+L123+L118+L119+L120)*'III. Inputs, Renewable Energy'!$U$18</f>
        <v>0</v>
      </c>
      <c r="M133" s="1678">
        <f>(M114+M116+M121+M122+M123+M118+M119+M120)*'III. Inputs, Renewable Energy'!$U$18</f>
        <v>0</v>
      </c>
      <c r="N133" s="1678">
        <f>(N114+N116+N121+N122+N123+N118+N119+N120)*'III. Inputs, Renewable Energy'!$U$18</f>
        <v>0</v>
      </c>
      <c r="O133" s="1678">
        <f>(O114+O116+O121+O122+O123+O118+O119+O120)*'III. Inputs, Renewable Energy'!$U$18</f>
        <v>0</v>
      </c>
      <c r="P133" s="1678">
        <f>(P114+P116+P121+P122+P123+P118+P119+P120)*'III. Inputs, Renewable Energy'!$U$18</f>
        <v>0</v>
      </c>
      <c r="Q133" s="1678">
        <f>(Q114+Q116+Q121+Q122+Q123+Q118+Q119+Q120)*'III. Inputs, Renewable Energy'!$U$18</f>
        <v>0</v>
      </c>
      <c r="R133" s="1678">
        <f>(R114+R116+R121+R122+R123+R118+R119+R120)*'III. Inputs, Renewable Energy'!$U$18</f>
        <v>0</v>
      </c>
      <c r="S133" s="1678">
        <f>(S114+S116+S121+S122+S123+S118+S119+S120)*'III. Inputs, Renewable Energy'!$U$18</f>
        <v>0</v>
      </c>
      <c r="T133" s="1678">
        <f>(T114+T116+T121+T122+T123+T118+T119+T120)*'III. Inputs, Renewable Energy'!$U$18</f>
        <v>0</v>
      </c>
      <c r="U133" s="1678">
        <f>(U114+U116+U121+U122+U123+U118+U119+U120)*'III. Inputs, Renewable Energy'!$U$18</f>
        <v>0</v>
      </c>
      <c r="V133" s="1678">
        <f>(V114+V116+V121+V122+V123+V118+V119+V120)*'III. Inputs, Renewable Energy'!$U$18</f>
        <v>0</v>
      </c>
      <c r="W133" s="1678">
        <f>(W114+W116+W121+W122+W123+W118+W119+W120)*'III. Inputs, Renewable Energy'!$U$18</f>
        <v>0</v>
      </c>
      <c r="X133" s="1678">
        <f>(X114+X116+X121+X122+X123+X118+X119+X120)*'III. Inputs, Renewable Energy'!$U$18</f>
        <v>0</v>
      </c>
      <c r="Y133" s="1678">
        <f>(Y114+Y116+Y121+Y122+Y123+Y118+Y119+Y120)*'III. Inputs, Renewable Energy'!$U$18</f>
        <v>0</v>
      </c>
      <c r="Z133" s="1678">
        <f>(Z114+Z116+Z121+Z122+Z123+Z118+Z119+Z120)*'III. Inputs, Renewable Energy'!$U$18</f>
        <v>0</v>
      </c>
      <c r="AA133" s="1679">
        <f>(AA114+AA116+AA121+AA122+AA123+AA118+AA119+AA120)*'III. Inputs, Renewable Energy'!$U$18</f>
        <v>0</v>
      </c>
      <c r="AB133" s="1368"/>
    </row>
    <row r="134" spans="1:28" s="200" customFormat="1" x14ac:dyDescent="0.35">
      <c r="A134" s="1368"/>
      <c r="B134" s="75" t="s">
        <v>92</v>
      </c>
      <c r="C134" s="11"/>
      <c r="D134" s="11"/>
      <c r="E134" s="38"/>
      <c r="F134" s="38" t="s">
        <v>748</v>
      </c>
      <c r="G134" s="1672">
        <f>IF('III. Inputs, Renewable Energy'!U288=0,0,-('III. Inputs, Renewable Energy'!U287+('III. Inputs, Renewable Energy'!U283*'III. Inputs, Renewable Energy'!U285*'III. Inputs, Renewable Energy'!U286))*('III. Inputs, Renewable Energy'!U14/'III. Inputs, Renewable Energy'!U288)*'III. Inputs, Renewable Energy'!$V$33)</f>
        <v>0</v>
      </c>
      <c r="H134" s="1672">
        <f>SUM(H128:H133)</f>
        <v>0</v>
      </c>
      <c r="I134" s="1672">
        <f>SUM(I128:I133)</f>
        <v>0</v>
      </c>
      <c r="J134" s="1672">
        <f t="shared" ref="J134:AA134" si="37">SUM(J128:J133)</f>
        <v>0</v>
      </c>
      <c r="K134" s="1672">
        <f t="shared" si="37"/>
        <v>0</v>
      </c>
      <c r="L134" s="1672">
        <f t="shared" si="37"/>
        <v>0</v>
      </c>
      <c r="M134" s="1672">
        <f t="shared" si="37"/>
        <v>0</v>
      </c>
      <c r="N134" s="1672">
        <f t="shared" si="37"/>
        <v>0</v>
      </c>
      <c r="O134" s="1672">
        <f t="shared" si="37"/>
        <v>0</v>
      </c>
      <c r="P134" s="1672">
        <f t="shared" si="37"/>
        <v>0</v>
      </c>
      <c r="Q134" s="1672">
        <f t="shared" si="37"/>
        <v>0</v>
      </c>
      <c r="R134" s="1672">
        <f t="shared" si="37"/>
        <v>0</v>
      </c>
      <c r="S134" s="1672">
        <f t="shared" si="37"/>
        <v>0</v>
      </c>
      <c r="T134" s="1672">
        <f t="shared" si="37"/>
        <v>0</v>
      </c>
      <c r="U134" s="1672">
        <f t="shared" si="37"/>
        <v>0</v>
      </c>
      <c r="V134" s="1672">
        <f t="shared" si="37"/>
        <v>0</v>
      </c>
      <c r="W134" s="1672">
        <f t="shared" si="37"/>
        <v>0</v>
      </c>
      <c r="X134" s="1672">
        <f t="shared" si="37"/>
        <v>0</v>
      </c>
      <c r="Y134" s="1672">
        <f t="shared" si="37"/>
        <v>0</v>
      </c>
      <c r="Z134" s="1672">
        <f t="shared" si="37"/>
        <v>0</v>
      </c>
      <c r="AA134" s="1677">
        <f t="shared" si="37"/>
        <v>0</v>
      </c>
      <c r="AB134" s="1368"/>
    </row>
    <row r="135" spans="1:28" s="200" customFormat="1" x14ac:dyDescent="0.35">
      <c r="A135" s="1368"/>
      <c r="B135" s="75"/>
      <c r="C135" s="11"/>
      <c r="D135" s="11"/>
      <c r="E135" s="38"/>
      <c r="F135" s="11"/>
      <c r="G135" s="11"/>
      <c r="H135" s="11"/>
      <c r="I135" s="11"/>
      <c r="J135" s="11"/>
      <c r="K135" s="11"/>
      <c r="L135" s="11"/>
      <c r="M135" s="11"/>
      <c r="N135" s="11"/>
      <c r="O135" s="11"/>
      <c r="P135" s="11"/>
      <c r="Q135" s="11"/>
      <c r="R135" s="11"/>
      <c r="S135" s="11"/>
      <c r="T135" s="11"/>
      <c r="U135" s="11"/>
      <c r="V135" s="11"/>
      <c r="W135" s="11"/>
      <c r="X135" s="11"/>
      <c r="Y135" s="11"/>
      <c r="Z135" s="11"/>
      <c r="AA135" s="76"/>
      <c r="AB135" s="1368"/>
    </row>
    <row r="136" spans="1:28" s="200" customFormat="1" x14ac:dyDescent="0.35">
      <c r="A136" s="1368"/>
      <c r="B136" s="75" t="s">
        <v>93</v>
      </c>
      <c r="C136" s="11"/>
      <c r="D136" s="11"/>
      <c r="E136" s="38"/>
      <c r="F136" s="11"/>
      <c r="G136" s="167">
        <f>SUM('III. Inputs, Renewable Energy'!$V$41)</f>
        <v>0.12994976297665545</v>
      </c>
      <c r="H136" s="11"/>
      <c r="I136" s="11"/>
      <c r="J136" s="11"/>
      <c r="K136" s="11"/>
      <c r="L136" s="11"/>
      <c r="M136" s="11"/>
      <c r="N136" s="11"/>
      <c r="O136" s="11"/>
      <c r="P136" s="11"/>
      <c r="Q136" s="11"/>
      <c r="R136" s="11"/>
      <c r="S136" s="11"/>
      <c r="T136" s="11"/>
      <c r="U136" s="11"/>
      <c r="V136" s="11"/>
      <c r="W136" s="11"/>
      <c r="X136" s="11"/>
      <c r="Y136" s="11"/>
      <c r="Z136" s="11"/>
      <c r="AA136" s="76"/>
      <c r="AB136" s="1368"/>
    </row>
    <row r="137" spans="1:28" s="200" customFormat="1" x14ac:dyDescent="0.35">
      <c r="A137" s="1368"/>
      <c r="B137" s="75" t="s">
        <v>94</v>
      </c>
      <c r="C137" s="11"/>
      <c r="D137" s="11"/>
      <c r="E137" s="38"/>
      <c r="F137" s="11"/>
      <c r="G137" s="1672">
        <f>NPV(G136,H134:AA134)+G134</f>
        <v>0</v>
      </c>
      <c r="H137" s="11"/>
      <c r="I137" s="11"/>
      <c r="J137" s="11"/>
      <c r="K137" s="11"/>
      <c r="L137" s="11"/>
      <c r="M137" s="11"/>
      <c r="N137" s="11"/>
      <c r="O137" s="11"/>
      <c r="P137" s="11"/>
      <c r="Q137" s="11"/>
      <c r="R137" s="11"/>
      <c r="S137" s="11"/>
      <c r="T137" s="11"/>
      <c r="U137" s="11"/>
      <c r="V137" s="11"/>
      <c r="W137" s="11"/>
      <c r="X137" s="11"/>
      <c r="Y137" s="11"/>
      <c r="Z137" s="11"/>
      <c r="AA137" s="76"/>
      <c r="AB137" s="1368"/>
    </row>
    <row r="138" spans="1:28" s="200" customFormat="1" ht="17.25" customHeight="1" x14ac:dyDescent="0.35">
      <c r="A138" s="1368"/>
      <c r="B138" s="75" t="s">
        <v>95</v>
      </c>
      <c r="C138" s="11"/>
      <c r="D138" s="11"/>
      <c r="E138" s="38"/>
      <c r="F138" s="11"/>
      <c r="G138" s="81">
        <f>-NPV($G$136,H110:AA110)</f>
        <v>-9664815.0736720432</v>
      </c>
      <c r="H138" s="11"/>
      <c r="I138" s="11"/>
      <c r="J138" s="11"/>
      <c r="K138" s="11"/>
      <c r="L138" s="11"/>
      <c r="M138" s="11"/>
      <c r="N138" s="11"/>
      <c r="O138" s="11"/>
      <c r="P138" s="11"/>
      <c r="Q138" s="11"/>
      <c r="R138" s="11"/>
      <c r="S138" s="11"/>
      <c r="T138" s="11"/>
      <c r="U138" s="11"/>
      <c r="V138" s="11"/>
      <c r="W138" s="11"/>
      <c r="X138" s="11"/>
      <c r="Y138" s="11"/>
      <c r="Z138" s="11"/>
      <c r="AA138" s="76"/>
      <c r="AB138" s="1368"/>
    </row>
    <row r="139" spans="1:28" s="200" customFormat="1" ht="17.25" customHeight="1" thickBot="1" x14ac:dyDescent="0.4">
      <c r="A139" s="1368"/>
      <c r="B139" s="75" t="s">
        <v>96</v>
      </c>
      <c r="C139" s="11"/>
      <c r="D139" s="11"/>
      <c r="E139" s="38"/>
      <c r="F139" s="38" t="s">
        <v>749</v>
      </c>
      <c r="G139" s="1812">
        <f>IF(OR(G137=0, G138=0), 0, G137/G138)</f>
        <v>0</v>
      </c>
      <c r="H139" s="11"/>
      <c r="I139" s="11"/>
      <c r="J139" s="11"/>
      <c r="K139" s="11"/>
      <c r="L139" s="11"/>
      <c r="M139" s="11"/>
      <c r="N139" s="11"/>
      <c r="O139" s="11"/>
      <c r="P139" s="11"/>
      <c r="Q139" s="11"/>
      <c r="R139" s="11"/>
      <c r="S139" s="11"/>
      <c r="T139" s="11"/>
      <c r="U139" s="11"/>
      <c r="V139" s="11"/>
      <c r="W139" s="11"/>
      <c r="X139" s="11"/>
      <c r="Y139" s="11"/>
      <c r="Z139" s="11"/>
      <c r="AA139" s="76"/>
      <c r="AB139" s="1368"/>
    </row>
    <row r="140" spans="1:28" s="200" customFormat="1" ht="17.25" customHeight="1" thickBot="1" x14ac:dyDescent="0.45">
      <c r="A140" s="1368"/>
      <c r="B140" s="84" t="s">
        <v>97</v>
      </c>
      <c r="C140" s="85"/>
      <c r="D140" s="85"/>
      <c r="E140" s="86"/>
      <c r="F140" s="86" t="s">
        <v>749</v>
      </c>
      <c r="G140" s="1813">
        <f>$G$139/(1-'III. Inputs, Renewable Energy'!$U$18)</f>
        <v>0</v>
      </c>
      <c r="H140" s="11"/>
      <c r="I140" s="11"/>
      <c r="J140" s="11"/>
      <c r="K140" s="11"/>
      <c r="L140" s="11"/>
      <c r="M140" s="11"/>
      <c r="N140" s="11"/>
      <c r="O140" s="11"/>
      <c r="P140" s="11"/>
      <c r="Q140" s="11"/>
      <c r="R140" s="11"/>
      <c r="S140" s="11"/>
      <c r="T140" s="11"/>
      <c r="U140" s="11"/>
      <c r="V140" s="11"/>
      <c r="W140" s="11"/>
      <c r="X140" s="11"/>
      <c r="Y140" s="11"/>
      <c r="Z140" s="11"/>
      <c r="AA140" s="76"/>
      <c r="AB140" s="1368"/>
    </row>
    <row r="141" spans="1:28" s="200" customFormat="1" ht="17.25" customHeight="1" thickBot="1" x14ac:dyDescent="0.45">
      <c r="A141" s="1368"/>
      <c r="B141" s="87"/>
      <c r="C141" s="88"/>
      <c r="D141" s="88"/>
      <c r="E141" s="89"/>
      <c r="F141" s="89"/>
      <c r="G141" s="1814"/>
      <c r="H141" s="90"/>
      <c r="I141" s="90"/>
      <c r="J141" s="90"/>
      <c r="K141" s="90"/>
      <c r="L141" s="90"/>
      <c r="M141" s="90"/>
      <c r="N141" s="90"/>
      <c r="O141" s="90"/>
      <c r="P141" s="90"/>
      <c r="Q141" s="90"/>
      <c r="R141" s="90"/>
      <c r="S141" s="90"/>
      <c r="T141" s="90"/>
      <c r="U141" s="90"/>
      <c r="V141" s="90"/>
      <c r="W141" s="90"/>
      <c r="X141" s="90"/>
      <c r="Y141" s="90"/>
      <c r="Z141" s="90"/>
      <c r="AA141" s="91"/>
      <c r="AB141" s="1368"/>
    </row>
    <row r="142" spans="1:28" s="200" customFormat="1" ht="17.25" customHeight="1" thickBot="1" x14ac:dyDescent="0.4">
      <c r="A142" s="1368"/>
      <c r="B142" s="1368"/>
      <c r="C142" s="1368"/>
      <c r="D142" s="1368"/>
      <c r="E142" s="1368"/>
      <c r="F142" s="1368"/>
      <c r="G142" s="1368"/>
      <c r="H142" s="1368"/>
      <c r="I142" s="1368"/>
      <c r="J142" s="1368"/>
      <c r="K142" s="1368"/>
      <c r="L142" s="1368"/>
      <c r="M142" s="1368"/>
      <c r="N142" s="1368"/>
      <c r="O142" s="1368"/>
      <c r="P142" s="1368"/>
      <c r="Q142" s="1368"/>
      <c r="R142" s="1368"/>
      <c r="S142" s="1368"/>
      <c r="T142" s="1368"/>
      <c r="U142" s="1368"/>
      <c r="V142" s="1368"/>
      <c r="W142" s="1368"/>
      <c r="X142" s="1368"/>
      <c r="Y142" s="1368"/>
      <c r="Z142" s="1368"/>
      <c r="AA142" s="1368"/>
      <c r="AB142" s="1368"/>
    </row>
    <row r="143" spans="1:28" s="200" customFormat="1" ht="10.5" customHeight="1" outlineLevel="1" x14ac:dyDescent="0.35">
      <c r="A143" s="1368"/>
      <c r="B143" s="92"/>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4"/>
      <c r="AB143" s="1368"/>
    </row>
    <row r="144" spans="1:28" s="200" customFormat="1" ht="17.25" customHeight="1" outlineLevel="1" x14ac:dyDescent="0.4">
      <c r="A144" s="1368"/>
      <c r="B144" s="82" t="s">
        <v>98</v>
      </c>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76"/>
      <c r="AB144" s="1368"/>
    </row>
    <row r="145" spans="1:28" s="200" customFormat="1" ht="6.75" customHeight="1" outlineLevel="1" x14ac:dyDescent="0.35">
      <c r="A145" s="1368"/>
      <c r="B145" s="75"/>
      <c r="C145" s="11"/>
      <c r="D145" s="11"/>
      <c r="E145" s="38"/>
      <c r="F145" s="11"/>
      <c r="G145" s="11"/>
      <c r="H145" s="11"/>
      <c r="I145" s="11"/>
      <c r="J145" s="11"/>
      <c r="K145" s="11"/>
      <c r="L145" s="11"/>
      <c r="M145" s="11"/>
      <c r="N145" s="11"/>
      <c r="O145" s="11"/>
      <c r="P145" s="11"/>
      <c r="Q145" s="11"/>
      <c r="R145" s="11"/>
      <c r="S145" s="11"/>
      <c r="T145" s="11"/>
      <c r="U145" s="11"/>
      <c r="V145" s="11"/>
      <c r="W145" s="11"/>
      <c r="X145" s="11"/>
      <c r="Y145" s="11"/>
      <c r="Z145" s="11"/>
      <c r="AA145" s="76"/>
      <c r="AB145" s="1368"/>
    </row>
    <row r="146" spans="1:28" s="200" customFormat="1" ht="17.25" customHeight="1" outlineLevel="1" x14ac:dyDescent="0.4">
      <c r="A146" s="1368"/>
      <c r="B146" s="77" t="s">
        <v>51</v>
      </c>
      <c r="C146" s="78"/>
      <c r="D146" s="78"/>
      <c r="E146" s="79"/>
      <c r="F146" s="78"/>
      <c r="G146" s="79">
        <f>G106</f>
        <v>0</v>
      </c>
      <c r="H146" s="79">
        <f t="shared" ref="H146:AA146" si="38">H106</f>
        <v>1</v>
      </c>
      <c r="I146" s="79">
        <f t="shared" si="38"/>
        <v>2</v>
      </c>
      <c r="J146" s="79">
        <f t="shared" si="38"/>
        <v>3</v>
      </c>
      <c r="K146" s="79">
        <f t="shared" si="38"/>
        <v>4</v>
      </c>
      <c r="L146" s="79">
        <f t="shared" si="38"/>
        <v>5</v>
      </c>
      <c r="M146" s="79">
        <f t="shared" si="38"/>
        <v>6</v>
      </c>
      <c r="N146" s="79">
        <f t="shared" si="38"/>
        <v>7</v>
      </c>
      <c r="O146" s="79">
        <f t="shared" si="38"/>
        <v>8</v>
      </c>
      <c r="P146" s="79">
        <f t="shared" si="38"/>
        <v>9</v>
      </c>
      <c r="Q146" s="79">
        <f t="shared" si="38"/>
        <v>10</v>
      </c>
      <c r="R146" s="79">
        <f t="shared" si="38"/>
        <v>11</v>
      </c>
      <c r="S146" s="79">
        <f t="shared" si="38"/>
        <v>12</v>
      </c>
      <c r="T146" s="79">
        <f t="shared" si="38"/>
        <v>13</v>
      </c>
      <c r="U146" s="79">
        <f t="shared" si="38"/>
        <v>14</v>
      </c>
      <c r="V146" s="79">
        <f t="shared" si="38"/>
        <v>15</v>
      </c>
      <c r="W146" s="79">
        <f t="shared" si="38"/>
        <v>16</v>
      </c>
      <c r="X146" s="79">
        <f t="shared" si="38"/>
        <v>17</v>
      </c>
      <c r="Y146" s="79">
        <f t="shared" si="38"/>
        <v>18</v>
      </c>
      <c r="Z146" s="79">
        <f t="shared" si="38"/>
        <v>19</v>
      </c>
      <c r="AA146" s="157">
        <f t="shared" si="38"/>
        <v>20</v>
      </c>
      <c r="AB146" s="1368"/>
    </row>
    <row r="147" spans="1:28" s="200" customFormat="1" ht="17.25" customHeight="1" outlineLevel="1" x14ac:dyDescent="0.35">
      <c r="A147" s="1368"/>
      <c r="B147" s="75"/>
      <c r="C147" s="11"/>
      <c r="D147" s="11"/>
      <c r="E147" s="38"/>
      <c r="F147" s="11"/>
      <c r="G147" s="38"/>
      <c r="H147" s="38"/>
      <c r="I147" s="11"/>
      <c r="J147" s="11"/>
      <c r="K147" s="11"/>
      <c r="L147" s="11"/>
      <c r="M147" s="11"/>
      <c r="N147" s="11"/>
      <c r="O147" s="11"/>
      <c r="P147" s="11"/>
      <c r="Q147" s="11"/>
      <c r="R147" s="11"/>
      <c r="S147" s="11"/>
      <c r="T147" s="11"/>
      <c r="U147" s="11"/>
      <c r="V147" s="11"/>
      <c r="W147" s="11"/>
      <c r="X147" s="11"/>
      <c r="Y147" s="11"/>
      <c r="Z147" s="11"/>
      <c r="AA147" s="76"/>
      <c r="AB147" s="1368"/>
    </row>
    <row r="148" spans="1:28" s="200" customFormat="1" ht="17.25" customHeight="1" outlineLevel="1" x14ac:dyDescent="0.35">
      <c r="A148" s="1368"/>
      <c r="B148" s="75" t="s">
        <v>85</v>
      </c>
      <c r="C148" s="11"/>
      <c r="D148" s="11"/>
      <c r="E148" s="38"/>
      <c r="F148" s="38" t="s">
        <v>86</v>
      </c>
      <c r="G148" s="38"/>
      <c r="H148" s="93">
        <f>H110</f>
        <v>1415484.8190000001</v>
      </c>
      <c r="I148" s="93">
        <f t="shared" ref="I148:AA148" si="39">I110</f>
        <v>1408407.3949050002</v>
      </c>
      <c r="J148" s="93">
        <f t="shared" si="39"/>
        <v>1401365.3579304751</v>
      </c>
      <c r="K148" s="93">
        <f t="shared" si="39"/>
        <v>1394358.5311408229</v>
      </c>
      <c r="L148" s="93">
        <f t="shared" si="39"/>
        <v>1387386.7384851188</v>
      </c>
      <c r="M148" s="93">
        <f t="shared" si="39"/>
        <v>1380449.8047926931</v>
      </c>
      <c r="N148" s="93">
        <f t="shared" si="39"/>
        <v>1373547.5557687299</v>
      </c>
      <c r="O148" s="93">
        <f t="shared" si="39"/>
        <v>1366679.817989886</v>
      </c>
      <c r="P148" s="93">
        <f t="shared" si="39"/>
        <v>1359846.4188999366</v>
      </c>
      <c r="Q148" s="93">
        <f t="shared" si="39"/>
        <v>1353047.1868054369</v>
      </c>
      <c r="R148" s="93">
        <f t="shared" si="39"/>
        <v>1346281.9508714096</v>
      </c>
      <c r="S148" s="93">
        <f t="shared" si="39"/>
        <v>1339550.5411170525</v>
      </c>
      <c r="T148" s="93">
        <f t="shared" si="39"/>
        <v>1332852.7884114676</v>
      </c>
      <c r="U148" s="93">
        <f t="shared" si="39"/>
        <v>1326188.5244694103</v>
      </c>
      <c r="V148" s="93">
        <f t="shared" si="39"/>
        <v>1319557.5818470633</v>
      </c>
      <c r="W148" s="93">
        <f t="shared" si="39"/>
        <v>1312959.7939378279</v>
      </c>
      <c r="X148" s="93">
        <f t="shared" si="39"/>
        <v>1306394.9949681386</v>
      </c>
      <c r="Y148" s="93">
        <f t="shared" si="39"/>
        <v>1299863.019993298</v>
      </c>
      <c r="Z148" s="93">
        <f t="shared" si="39"/>
        <v>1293363.7048933315</v>
      </c>
      <c r="AA148" s="363">
        <f t="shared" si="39"/>
        <v>1286896.8863688649</v>
      </c>
      <c r="AB148" s="1368"/>
    </row>
    <row r="149" spans="1:28" s="200" customFormat="1" ht="17.25" customHeight="1" outlineLevel="1" x14ac:dyDescent="0.35">
      <c r="A149" s="1368"/>
      <c r="B149" s="75"/>
      <c r="C149" s="11"/>
      <c r="D149" s="11"/>
      <c r="E149" s="38"/>
      <c r="F149" s="38"/>
      <c r="G149" s="38"/>
      <c r="H149" s="94"/>
      <c r="I149" s="94"/>
      <c r="J149" s="94"/>
      <c r="K149" s="94"/>
      <c r="L149" s="94"/>
      <c r="M149" s="94"/>
      <c r="N149" s="94"/>
      <c r="O149" s="94"/>
      <c r="P149" s="94"/>
      <c r="Q149" s="94"/>
      <c r="R149" s="94"/>
      <c r="S149" s="94"/>
      <c r="T149" s="94"/>
      <c r="U149" s="94"/>
      <c r="V149" s="94"/>
      <c r="W149" s="94"/>
      <c r="X149" s="94"/>
      <c r="Y149" s="94"/>
      <c r="Z149" s="94"/>
      <c r="AA149" s="364"/>
      <c r="AB149" s="1368"/>
    </row>
    <row r="150" spans="1:28" s="200" customFormat="1" ht="17.25" customHeight="1" outlineLevel="1" x14ac:dyDescent="0.35">
      <c r="A150" s="1368"/>
      <c r="B150" s="75" t="s">
        <v>99</v>
      </c>
      <c r="C150" s="11"/>
      <c r="D150" s="11"/>
      <c r="E150" s="38"/>
      <c r="F150" s="38" t="s">
        <v>749</v>
      </c>
      <c r="G150" s="175"/>
      <c r="H150" s="1815">
        <f>$G$140</f>
        <v>0</v>
      </c>
      <c r="I150" s="1815">
        <f t="shared" ref="I150:AA150" si="40">$G$140</f>
        <v>0</v>
      </c>
      <c r="J150" s="1815">
        <f t="shared" si="40"/>
        <v>0</v>
      </c>
      <c r="K150" s="1815">
        <f t="shared" si="40"/>
        <v>0</v>
      </c>
      <c r="L150" s="1815">
        <f t="shared" si="40"/>
        <v>0</v>
      </c>
      <c r="M150" s="1815">
        <f t="shared" si="40"/>
        <v>0</v>
      </c>
      <c r="N150" s="1815">
        <f t="shared" si="40"/>
        <v>0</v>
      </c>
      <c r="O150" s="1815">
        <f t="shared" si="40"/>
        <v>0</v>
      </c>
      <c r="P150" s="1815">
        <f t="shared" si="40"/>
        <v>0</v>
      </c>
      <c r="Q150" s="1815">
        <f t="shared" si="40"/>
        <v>0</v>
      </c>
      <c r="R150" s="1815">
        <f t="shared" si="40"/>
        <v>0</v>
      </c>
      <c r="S150" s="1815">
        <f t="shared" si="40"/>
        <v>0</v>
      </c>
      <c r="T150" s="1815">
        <f t="shared" si="40"/>
        <v>0</v>
      </c>
      <c r="U150" s="1815">
        <f t="shared" si="40"/>
        <v>0</v>
      </c>
      <c r="V150" s="1815">
        <f t="shared" si="40"/>
        <v>0</v>
      </c>
      <c r="W150" s="1815">
        <f t="shared" si="40"/>
        <v>0</v>
      </c>
      <c r="X150" s="1815">
        <f t="shared" si="40"/>
        <v>0</v>
      </c>
      <c r="Y150" s="1815">
        <f t="shared" si="40"/>
        <v>0</v>
      </c>
      <c r="Z150" s="1815">
        <f t="shared" si="40"/>
        <v>0</v>
      </c>
      <c r="AA150" s="1816">
        <f t="shared" si="40"/>
        <v>0</v>
      </c>
      <c r="AB150" s="1504"/>
    </row>
    <row r="151" spans="1:28" s="200" customFormat="1" ht="17.25" customHeight="1" outlineLevel="1" x14ac:dyDescent="0.35">
      <c r="A151" s="1368"/>
      <c r="B151" s="83"/>
      <c r="C151" s="12"/>
      <c r="D151" s="12"/>
      <c r="E151" s="39"/>
      <c r="F151" s="39"/>
      <c r="G151" s="177"/>
      <c r="H151" s="1817"/>
      <c r="I151" s="1817"/>
      <c r="J151" s="1817"/>
      <c r="K151" s="1817"/>
      <c r="L151" s="1817"/>
      <c r="M151" s="1817"/>
      <c r="N151" s="1817"/>
      <c r="O151" s="1817"/>
      <c r="P151" s="1817"/>
      <c r="Q151" s="1817"/>
      <c r="R151" s="1817"/>
      <c r="S151" s="1817"/>
      <c r="T151" s="1817"/>
      <c r="U151" s="1817"/>
      <c r="V151" s="1817"/>
      <c r="W151" s="1817"/>
      <c r="X151" s="1817"/>
      <c r="Y151" s="1817"/>
      <c r="Z151" s="1817"/>
      <c r="AA151" s="1818"/>
      <c r="AB151" s="1504"/>
    </row>
    <row r="152" spans="1:28" s="200" customFormat="1" ht="17.25" customHeight="1" outlineLevel="1" x14ac:dyDescent="0.35">
      <c r="A152" s="1368"/>
      <c r="B152" s="75" t="s">
        <v>100</v>
      </c>
      <c r="C152" s="11"/>
      <c r="D152" s="11"/>
      <c r="E152" s="38"/>
      <c r="F152" s="38" t="s">
        <v>748</v>
      </c>
      <c r="G152" s="175"/>
      <c r="H152" s="1680">
        <f>H148*H150</f>
        <v>0</v>
      </c>
      <c r="I152" s="1680">
        <f t="shared" ref="I152:AA152" si="41">I148*I150</f>
        <v>0</v>
      </c>
      <c r="J152" s="1680">
        <f t="shared" si="41"/>
        <v>0</v>
      </c>
      <c r="K152" s="1680">
        <f t="shared" si="41"/>
        <v>0</v>
      </c>
      <c r="L152" s="1680">
        <f t="shared" si="41"/>
        <v>0</v>
      </c>
      <c r="M152" s="1680">
        <f t="shared" si="41"/>
        <v>0</v>
      </c>
      <c r="N152" s="1680">
        <f t="shared" si="41"/>
        <v>0</v>
      </c>
      <c r="O152" s="1680">
        <f t="shared" si="41"/>
        <v>0</v>
      </c>
      <c r="P152" s="1680">
        <f t="shared" si="41"/>
        <v>0</v>
      </c>
      <c r="Q152" s="1680">
        <f t="shared" si="41"/>
        <v>0</v>
      </c>
      <c r="R152" s="1680">
        <f t="shared" si="41"/>
        <v>0</v>
      </c>
      <c r="S152" s="1680">
        <f t="shared" si="41"/>
        <v>0</v>
      </c>
      <c r="T152" s="1680">
        <f t="shared" si="41"/>
        <v>0</v>
      </c>
      <c r="U152" s="1680">
        <f t="shared" si="41"/>
        <v>0</v>
      </c>
      <c r="V152" s="1680">
        <f t="shared" si="41"/>
        <v>0</v>
      </c>
      <c r="W152" s="1680">
        <f t="shared" si="41"/>
        <v>0</v>
      </c>
      <c r="X152" s="1680">
        <f t="shared" si="41"/>
        <v>0</v>
      </c>
      <c r="Y152" s="1680">
        <f t="shared" si="41"/>
        <v>0</v>
      </c>
      <c r="Z152" s="1680">
        <f t="shared" si="41"/>
        <v>0</v>
      </c>
      <c r="AA152" s="1681">
        <f t="shared" si="41"/>
        <v>0</v>
      </c>
      <c r="AB152" s="1504"/>
    </row>
    <row r="153" spans="1:28" s="200" customFormat="1" ht="6.75" customHeight="1" outlineLevel="1" x14ac:dyDescent="0.35">
      <c r="A153" s="1368"/>
      <c r="B153" s="75"/>
      <c r="C153" s="11"/>
      <c r="D153" s="11"/>
      <c r="E153" s="38"/>
      <c r="F153" s="38"/>
      <c r="G153" s="175"/>
      <c r="H153" s="1680"/>
      <c r="I153" s="1680"/>
      <c r="J153" s="1680"/>
      <c r="K153" s="1680"/>
      <c r="L153" s="1680"/>
      <c r="M153" s="1680"/>
      <c r="N153" s="1680"/>
      <c r="O153" s="1680"/>
      <c r="P153" s="1680"/>
      <c r="Q153" s="1680"/>
      <c r="R153" s="1680"/>
      <c r="S153" s="1680"/>
      <c r="T153" s="1680"/>
      <c r="U153" s="1680"/>
      <c r="V153" s="1680"/>
      <c r="W153" s="1680"/>
      <c r="X153" s="1680"/>
      <c r="Y153" s="1680"/>
      <c r="Z153" s="1680"/>
      <c r="AA153" s="1681"/>
      <c r="AB153" s="1504"/>
    </row>
    <row r="154" spans="1:28" s="200" customFormat="1" ht="17.25" customHeight="1" outlineLevel="1" x14ac:dyDescent="0.35">
      <c r="A154" s="1368"/>
      <c r="B154" s="75" t="s">
        <v>101</v>
      </c>
      <c r="C154" s="11"/>
      <c r="D154" s="11"/>
      <c r="E154" s="38"/>
      <c r="F154" s="38" t="s">
        <v>748</v>
      </c>
      <c r="G154" s="175"/>
      <c r="H154" s="1680">
        <f>-H114</f>
        <v>0</v>
      </c>
      <c r="I154" s="1680">
        <f t="shared" ref="I154:AA154" si="42">-I114</f>
        <v>0</v>
      </c>
      <c r="J154" s="1680">
        <f t="shared" si="42"/>
        <v>0</v>
      </c>
      <c r="K154" s="1680">
        <f t="shared" si="42"/>
        <v>0</v>
      </c>
      <c r="L154" s="1680">
        <f t="shared" si="42"/>
        <v>0</v>
      </c>
      <c r="M154" s="1680">
        <f t="shared" si="42"/>
        <v>0</v>
      </c>
      <c r="N154" s="1680">
        <f t="shared" si="42"/>
        <v>0</v>
      </c>
      <c r="O154" s="1680">
        <f t="shared" si="42"/>
        <v>0</v>
      </c>
      <c r="P154" s="1680">
        <f t="shared" si="42"/>
        <v>0</v>
      </c>
      <c r="Q154" s="1680">
        <f t="shared" si="42"/>
        <v>0</v>
      </c>
      <c r="R154" s="1680">
        <f t="shared" si="42"/>
        <v>0</v>
      </c>
      <c r="S154" s="1680">
        <f t="shared" si="42"/>
        <v>0</v>
      </c>
      <c r="T154" s="1680">
        <f t="shared" si="42"/>
        <v>0</v>
      </c>
      <c r="U154" s="1680">
        <f t="shared" si="42"/>
        <v>0</v>
      </c>
      <c r="V154" s="1680">
        <f t="shared" si="42"/>
        <v>0</v>
      </c>
      <c r="W154" s="1680">
        <f t="shared" si="42"/>
        <v>0</v>
      </c>
      <c r="X154" s="1680">
        <f t="shared" si="42"/>
        <v>0</v>
      </c>
      <c r="Y154" s="1680">
        <f t="shared" si="42"/>
        <v>0</v>
      </c>
      <c r="Z154" s="1680">
        <f t="shared" si="42"/>
        <v>0</v>
      </c>
      <c r="AA154" s="1681">
        <f t="shared" si="42"/>
        <v>0</v>
      </c>
      <c r="AB154" s="1504"/>
    </row>
    <row r="155" spans="1:28" s="200" customFormat="1" ht="4.5" customHeight="1" outlineLevel="1" x14ac:dyDescent="0.35">
      <c r="A155" s="1368"/>
      <c r="B155" s="75"/>
      <c r="C155" s="11"/>
      <c r="D155" s="11"/>
      <c r="E155" s="38"/>
      <c r="F155" s="38"/>
      <c r="G155" s="175"/>
      <c r="H155" s="1680"/>
      <c r="I155" s="1680"/>
      <c r="J155" s="1680"/>
      <c r="K155" s="1680"/>
      <c r="L155" s="1680"/>
      <c r="M155" s="1680"/>
      <c r="N155" s="1680"/>
      <c r="O155" s="1680"/>
      <c r="P155" s="1680"/>
      <c r="Q155" s="1680"/>
      <c r="R155" s="1680"/>
      <c r="S155" s="1680"/>
      <c r="T155" s="1680"/>
      <c r="U155" s="1680"/>
      <c r="V155" s="1680"/>
      <c r="W155" s="1680"/>
      <c r="X155" s="1680"/>
      <c r="Y155" s="1680"/>
      <c r="Z155" s="1680"/>
      <c r="AA155" s="1681"/>
      <c r="AB155" s="1504"/>
    </row>
    <row r="156" spans="1:28" s="200" customFormat="1" ht="17.25" customHeight="1" outlineLevel="1" x14ac:dyDescent="0.4">
      <c r="A156" s="1368"/>
      <c r="B156" s="82" t="s">
        <v>102</v>
      </c>
      <c r="C156" s="95"/>
      <c r="D156" s="95"/>
      <c r="E156" s="96"/>
      <c r="F156" s="96"/>
      <c r="G156" s="179"/>
      <c r="H156" s="1682">
        <f>H152+H154</f>
        <v>0</v>
      </c>
      <c r="I156" s="1682">
        <f t="shared" ref="I156:AA156" si="43">I152+I154</f>
        <v>0</v>
      </c>
      <c r="J156" s="1682">
        <f t="shared" si="43"/>
        <v>0</v>
      </c>
      <c r="K156" s="1682">
        <f t="shared" si="43"/>
        <v>0</v>
      </c>
      <c r="L156" s="1682">
        <f t="shared" si="43"/>
        <v>0</v>
      </c>
      <c r="M156" s="1682">
        <f t="shared" si="43"/>
        <v>0</v>
      </c>
      <c r="N156" s="1682">
        <f t="shared" si="43"/>
        <v>0</v>
      </c>
      <c r="O156" s="1682">
        <f t="shared" si="43"/>
        <v>0</v>
      </c>
      <c r="P156" s="1682">
        <f t="shared" si="43"/>
        <v>0</v>
      </c>
      <c r="Q156" s="1682">
        <f t="shared" si="43"/>
        <v>0</v>
      </c>
      <c r="R156" s="1682">
        <f t="shared" si="43"/>
        <v>0</v>
      </c>
      <c r="S156" s="1682">
        <f t="shared" si="43"/>
        <v>0</v>
      </c>
      <c r="T156" s="1682">
        <f t="shared" si="43"/>
        <v>0</v>
      </c>
      <c r="U156" s="1682">
        <f t="shared" si="43"/>
        <v>0</v>
      </c>
      <c r="V156" s="1682">
        <f t="shared" si="43"/>
        <v>0</v>
      </c>
      <c r="W156" s="1682">
        <f t="shared" si="43"/>
        <v>0</v>
      </c>
      <c r="X156" s="1682">
        <f t="shared" si="43"/>
        <v>0</v>
      </c>
      <c r="Y156" s="1682">
        <f t="shared" si="43"/>
        <v>0</v>
      </c>
      <c r="Z156" s="1682">
        <f t="shared" si="43"/>
        <v>0</v>
      </c>
      <c r="AA156" s="1683">
        <f t="shared" si="43"/>
        <v>0</v>
      </c>
      <c r="AB156" s="1504"/>
    </row>
    <row r="157" spans="1:28" s="200" customFormat="1" ht="7.5" customHeight="1" outlineLevel="1" x14ac:dyDescent="0.35">
      <c r="A157" s="1368"/>
      <c r="B157" s="75"/>
      <c r="C157" s="11"/>
      <c r="D157" s="11"/>
      <c r="E157" s="38"/>
      <c r="F157" s="38"/>
      <c r="G157" s="175"/>
      <c r="H157" s="1680"/>
      <c r="I157" s="1680"/>
      <c r="J157" s="1680"/>
      <c r="K157" s="1680"/>
      <c r="L157" s="1680"/>
      <c r="M157" s="1680"/>
      <c r="N157" s="1680"/>
      <c r="O157" s="1680"/>
      <c r="P157" s="1680"/>
      <c r="Q157" s="1680"/>
      <c r="R157" s="1680"/>
      <c r="S157" s="1680"/>
      <c r="T157" s="1680"/>
      <c r="U157" s="1680"/>
      <c r="V157" s="1680"/>
      <c r="W157" s="1680"/>
      <c r="X157" s="1680"/>
      <c r="Y157" s="1680"/>
      <c r="Z157" s="1680"/>
      <c r="AA157" s="1681"/>
      <c r="AB157" s="1504"/>
    </row>
    <row r="158" spans="1:28" s="200" customFormat="1" ht="17.25" customHeight="1" outlineLevel="1" x14ac:dyDescent="0.35">
      <c r="A158" s="1368"/>
      <c r="B158" s="75" t="s">
        <v>103</v>
      </c>
      <c r="C158" s="11"/>
      <c r="D158" s="11"/>
      <c r="E158" s="38"/>
      <c r="F158" s="38"/>
      <c r="G158" s="175"/>
      <c r="H158" s="1680">
        <f>-H116</f>
        <v>0</v>
      </c>
      <c r="I158" s="1680">
        <f t="shared" ref="I158:AA158" si="44">-I116</f>
        <v>0</v>
      </c>
      <c r="J158" s="1680">
        <f t="shared" si="44"/>
        <v>0</v>
      </c>
      <c r="K158" s="1680">
        <f t="shared" si="44"/>
        <v>0</v>
      </c>
      <c r="L158" s="1680">
        <f t="shared" si="44"/>
        <v>0</v>
      </c>
      <c r="M158" s="1680">
        <f t="shared" si="44"/>
        <v>0</v>
      </c>
      <c r="N158" s="1680">
        <f t="shared" si="44"/>
        <v>0</v>
      </c>
      <c r="O158" s="1680">
        <f t="shared" si="44"/>
        <v>0</v>
      </c>
      <c r="P158" s="1680">
        <f t="shared" si="44"/>
        <v>0</v>
      </c>
      <c r="Q158" s="1680">
        <f t="shared" si="44"/>
        <v>0</v>
      </c>
      <c r="R158" s="1680">
        <f t="shared" si="44"/>
        <v>0</v>
      </c>
      <c r="S158" s="1680">
        <f t="shared" si="44"/>
        <v>0</v>
      </c>
      <c r="T158" s="1680">
        <f t="shared" si="44"/>
        <v>0</v>
      </c>
      <c r="U158" s="1680">
        <f t="shared" si="44"/>
        <v>0</v>
      </c>
      <c r="V158" s="1680">
        <f t="shared" si="44"/>
        <v>0</v>
      </c>
      <c r="W158" s="1680">
        <f t="shared" si="44"/>
        <v>0</v>
      </c>
      <c r="X158" s="1680">
        <f t="shared" si="44"/>
        <v>0</v>
      </c>
      <c r="Y158" s="1680">
        <f t="shared" si="44"/>
        <v>0</v>
      </c>
      <c r="Z158" s="1680">
        <f t="shared" si="44"/>
        <v>0</v>
      </c>
      <c r="AA158" s="1681">
        <f t="shared" si="44"/>
        <v>0</v>
      </c>
      <c r="AB158" s="1504"/>
    </row>
    <row r="159" spans="1:28" s="200" customFormat="1" ht="9" customHeight="1" outlineLevel="1" x14ac:dyDescent="0.35">
      <c r="A159" s="1368"/>
      <c r="B159" s="75"/>
      <c r="C159" s="11"/>
      <c r="D159" s="11"/>
      <c r="E159" s="38"/>
      <c r="F159" s="38"/>
      <c r="G159" s="175"/>
      <c r="H159" s="1680"/>
      <c r="I159" s="1680"/>
      <c r="J159" s="1680"/>
      <c r="K159" s="1680"/>
      <c r="L159" s="1680"/>
      <c r="M159" s="1680"/>
      <c r="N159" s="1680"/>
      <c r="O159" s="1680"/>
      <c r="P159" s="1680"/>
      <c r="Q159" s="1680"/>
      <c r="R159" s="1680"/>
      <c r="S159" s="1680"/>
      <c r="T159" s="1680"/>
      <c r="U159" s="1680"/>
      <c r="V159" s="1680"/>
      <c r="W159" s="1680"/>
      <c r="X159" s="1680"/>
      <c r="Y159" s="1680"/>
      <c r="Z159" s="1680"/>
      <c r="AA159" s="1681"/>
      <c r="AB159" s="1504"/>
    </row>
    <row r="160" spans="1:28" s="200" customFormat="1" ht="17.25" customHeight="1" outlineLevel="1" x14ac:dyDescent="0.4">
      <c r="A160" s="1368"/>
      <c r="B160" s="82" t="s">
        <v>104</v>
      </c>
      <c r="C160" s="95"/>
      <c r="D160" s="95"/>
      <c r="E160" s="96"/>
      <c r="F160" s="96"/>
      <c r="G160" s="179"/>
      <c r="H160" s="1682">
        <f>H156+H158</f>
        <v>0</v>
      </c>
      <c r="I160" s="1682">
        <f t="shared" ref="I160:AA160" si="45">I156+I158</f>
        <v>0</v>
      </c>
      <c r="J160" s="1682">
        <f t="shared" si="45"/>
        <v>0</v>
      </c>
      <c r="K160" s="1682">
        <f t="shared" si="45"/>
        <v>0</v>
      </c>
      <c r="L160" s="1682">
        <f t="shared" si="45"/>
        <v>0</v>
      </c>
      <c r="M160" s="1682">
        <f t="shared" si="45"/>
        <v>0</v>
      </c>
      <c r="N160" s="1682">
        <f t="shared" si="45"/>
        <v>0</v>
      </c>
      <c r="O160" s="1682">
        <f t="shared" si="45"/>
        <v>0</v>
      </c>
      <c r="P160" s="1682">
        <f t="shared" si="45"/>
        <v>0</v>
      </c>
      <c r="Q160" s="1682">
        <f t="shared" si="45"/>
        <v>0</v>
      </c>
      <c r="R160" s="1682">
        <f t="shared" si="45"/>
        <v>0</v>
      </c>
      <c r="S160" s="1682">
        <f t="shared" si="45"/>
        <v>0</v>
      </c>
      <c r="T160" s="1682">
        <f t="shared" si="45"/>
        <v>0</v>
      </c>
      <c r="U160" s="1682">
        <f t="shared" si="45"/>
        <v>0</v>
      </c>
      <c r="V160" s="1682">
        <f t="shared" si="45"/>
        <v>0</v>
      </c>
      <c r="W160" s="1682">
        <f t="shared" si="45"/>
        <v>0</v>
      </c>
      <c r="X160" s="1682">
        <f t="shared" si="45"/>
        <v>0</v>
      </c>
      <c r="Y160" s="1682">
        <f t="shared" si="45"/>
        <v>0</v>
      </c>
      <c r="Z160" s="1682">
        <f t="shared" si="45"/>
        <v>0</v>
      </c>
      <c r="AA160" s="1683">
        <f t="shared" si="45"/>
        <v>0</v>
      </c>
      <c r="AB160" s="1504"/>
    </row>
    <row r="161" spans="1:28" s="200" customFormat="1" ht="6.75" customHeight="1" outlineLevel="1" x14ac:dyDescent="0.35">
      <c r="A161" s="1368"/>
      <c r="B161" s="75"/>
      <c r="C161" s="11"/>
      <c r="D161" s="11"/>
      <c r="E161" s="38"/>
      <c r="F161" s="38"/>
      <c r="G161" s="175"/>
      <c r="H161" s="1680"/>
      <c r="I161" s="1680"/>
      <c r="J161" s="1680"/>
      <c r="K161" s="1680"/>
      <c r="L161" s="1680"/>
      <c r="M161" s="1680"/>
      <c r="N161" s="1680"/>
      <c r="O161" s="1680"/>
      <c r="P161" s="1680"/>
      <c r="Q161" s="1680"/>
      <c r="R161" s="1680"/>
      <c r="S161" s="1680"/>
      <c r="T161" s="1680"/>
      <c r="U161" s="1680"/>
      <c r="V161" s="1680"/>
      <c r="W161" s="1680"/>
      <c r="X161" s="1680"/>
      <c r="Y161" s="1680"/>
      <c r="Z161" s="1680"/>
      <c r="AA161" s="1681"/>
      <c r="AB161" s="1504"/>
    </row>
    <row r="162" spans="1:28" s="200" customFormat="1" ht="17.25" customHeight="1" outlineLevel="1" x14ac:dyDescent="0.35">
      <c r="A162" s="1368"/>
      <c r="B162" s="75" t="str">
        <f t="shared" ref="B162:B167" si="46">B118</f>
        <v xml:space="preserve">Interest Expense, public loan </v>
      </c>
      <c r="C162" s="11"/>
      <c r="D162" s="11"/>
      <c r="E162" s="38"/>
      <c r="F162" s="38"/>
      <c r="G162" s="175"/>
      <c r="H162" s="1680">
        <f t="shared" ref="H162:AA167" si="47">-H118</f>
        <v>0</v>
      </c>
      <c r="I162" s="1680">
        <f t="shared" si="47"/>
        <v>0</v>
      </c>
      <c r="J162" s="1680">
        <f t="shared" si="47"/>
        <v>0</v>
      </c>
      <c r="K162" s="1680">
        <f t="shared" si="47"/>
        <v>0</v>
      </c>
      <c r="L162" s="1680">
        <f t="shared" si="47"/>
        <v>0</v>
      </c>
      <c r="M162" s="1680">
        <f t="shared" si="47"/>
        <v>0</v>
      </c>
      <c r="N162" s="1680">
        <f t="shared" si="47"/>
        <v>0</v>
      </c>
      <c r="O162" s="1680">
        <f t="shared" si="47"/>
        <v>0</v>
      </c>
      <c r="P162" s="1680">
        <f t="shared" si="47"/>
        <v>0</v>
      </c>
      <c r="Q162" s="1680">
        <f t="shared" si="47"/>
        <v>0</v>
      </c>
      <c r="R162" s="1680">
        <f t="shared" si="47"/>
        <v>0</v>
      </c>
      <c r="S162" s="1680">
        <f t="shared" si="47"/>
        <v>0</v>
      </c>
      <c r="T162" s="1680">
        <f t="shared" si="47"/>
        <v>0</v>
      </c>
      <c r="U162" s="1680">
        <f t="shared" si="47"/>
        <v>0</v>
      </c>
      <c r="V162" s="1680">
        <f t="shared" si="47"/>
        <v>0</v>
      </c>
      <c r="W162" s="1680">
        <f t="shared" si="47"/>
        <v>0</v>
      </c>
      <c r="X162" s="1680">
        <f t="shared" si="47"/>
        <v>0</v>
      </c>
      <c r="Y162" s="1680">
        <f t="shared" si="47"/>
        <v>0</v>
      </c>
      <c r="Z162" s="1680">
        <f t="shared" si="47"/>
        <v>0</v>
      </c>
      <c r="AA162" s="1681">
        <f t="shared" si="47"/>
        <v>0</v>
      </c>
      <c r="AB162" s="1504"/>
    </row>
    <row r="163" spans="1:28" s="200" customFormat="1" ht="17.25" customHeight="1" outlineLevel="1" x14ac:dyDescent="0.35">
      <c r="A163" s="1368"/>
      <c r="B163" s="75" t="str">
        <f t="shared" si="46"/>
        <v>Interest Expense, commercial loan with public guarantees</v>
      </c>
      <c r="C163" s="11"/>
      <c r="D163" s="11"/>
      <c r="E163" s="38"/>
      <c r="F163" s="38"/>
      <c r="G163" s="175"/>
      <c r="H163" s="1680">
        <f t="shared" si="47"/>
        <v>0</v>
      </c>
      <c r="I163" s="1680">
        <f t="shared" si="47"/>
        <v>0</v>
      </c>
      <c r="J163" s="1680">
        <f t="shared" si="47"/>
        <v>0</v>
      </c>
      <c r="K163" s="1680">
        <f t="shared" si="47"/>
        <v>0</v>
      </c>
      <c r="L163" s="1680">
        <f t="shared" si="47"/>
        <v>0</v>
      </c>
      <c r="M163" s="1680">
        <f t="shared" si="47"/>
        <v>0</v>
      </c>
      <c r="N163" s="1680">
        <f t="shared" si="47"/>
        <v>0</v>
      </c>
      <c r="O163" s="1680">
        <f t="shared" si="47"/>
        <v>0</v>
      </c>
      <c r="P163" s="1680">
        <f t="shared" si="47"/>
        <v>0</v>
      </c>
      <c r="Q163" s="1680">
        <f t="shared" si="47"/>
        <v>0</v>
      </c>
      <c r="R163" s="1680">
        <f t="shared" si="47"/>
        <v>0</v>
      </c>
      <c r="S163" s="1680">
        <f t="shared" si="47"/>
        <v>0</v>
      </c>
      <c r="T163" s="1680">
        <f t="shared" si="47"/>
        <v>0</v>
      </c>
      <c r="U163" s="1680">
        <f t="shared" si="47"/>
        <v>0</v>
      </c>
      <c r="V163" s="1680">
        <f t="shared" si="47"/>
        <v>0</v>
      </c>
      <c r="W163" s="1680">
        <f t="shared" si="47"/>
        <v>0</v>
      </c>
      <c r="X163" s="1680">
        <f t="shared" si="47"/>
        <v>0</v>
      </c>
      <c r="Y163" s="1680">
        <f t="shared" si="47"/>
        <v>0</v>
      </c>
      <c r="Z163" s="1680">
        <f t="shared" si="47"/>
        <v>0</v>
      </c>
      <c r="AA163" s="1681">
        <f t="shared" si="47"/>
        <v>0</v>
      </c>
      <c r="AB163" s="1504"/>
    </row>
    <row r="164" spans="1:28" s="200" customFormat="1" ht="17.25" customHeight="1" outlineLevel="1" x14ac:dyDescent="0.35">
      <c r="A164" s="1368"/>
      <c r="B164" s="75" t="str">
        <f t="shared" si="46"/>
        <v>Interest Expense, commercial loan without public guarantees</v>
      </c>
      <c r="C164" s="11"/>
      <c r="D164" s="11"/>
      <c r="E164" s="38"/>
      <c r="F164" s="38"/>
      <c r="G164" s="175"/>
      <c r="H164" s="1680">
        <f t="shared" si="47"/>
        <v>0</v>
      </c>
      <c r="I164" s="1680">
        <f t="shared" si="47"/>
        <v>0</v>
      </c>
      <c r="J164" s="1680">
        <f t="shared" si="47"/>
        <v>0</v>
      </c>
      <c r="K164" s="1680">
        <f t="shared" si="47"/>
        <v>0</v>
      </c>
      <c r="L164" s="1680">
        <f t="shared" si="47"/>
        <v>0</v>
      </c>
      <c r="M164" s="1680">
        <f t="shared" si="47"/>
        <v>0</v>
      </c>
      <c r="N164" s="1680">
        <f t="shared" si="47"/>
        <v>0</v>
      </c>
      <c r="O164" s="1680">
        <f t="shared" si="47"/>
        <v>0</v>
      </c>
      <c r="P164" s="1680">
        <f t="shared" si="47"/>
        <v>0</v>
      </c>
      <c r="Q164" s="1680">
        <f t="shared" si="47"/>
        <v>0</v>
      </c>
      <c r="R164" s="1680">
        <f t="shared" si="47"/>
        <v>0</v>
      </c>
      <c r="S164" s="1680">
        <f t="shared" si="47"/>
        <v>0</v>
      </c>
      <c r="T164" s="1680">
        <f t="shared" si="47"/>
        <v>0</v>
      </c>
      <c r="U164" s="1680">
        <f t="shared" si="47"/>
        <v>0</v>
      </c>
      <c r="V164" s="1680">
        <f t="shared" si="47"/>
        <v>0</v>
      </c>
      <c r="W164" s="1680">
        <f t="shared" si="47"/>
        <v>0</v>
      </c>
      <c r="X164" s="1680">
        <f t="shared" si="47"/>
        <v>0</v>
      </c>
      <c r="Y164" s="1680">
        <f t="shared" si="47"/>
        <v>0</v>
      </c>
      <c r="Z164" s="1680">
        <f t="shared" si="47"/>
        <v>0</v>
      </c>
      <c r="AA164" s="1681">
        <f t="shared" si="47"/>
        <v>0</v>
      </c>
      <c r="AB164" s="1504"/>
    </row>
    <row r="165" spans="1:28" s="200" customFormat="1" ht="17.25" customHeight="1" outlineLevel="1" x14ac:dyDescent="0.35">
      <c r="A165" s="1368"/>
      <c r="B165" s="75" t="str">
        <f t="shared" si="46"/>
        <v xml:space="preserve">Front-end Fees </v>
      </c>
      <c r="C165" s="11"/>
      <c r="D165" s="11"/>
      <c r="E165" s="38"/>
      <c r="F165" s="38"/>
      <c r="G165" s="175"/>
      <c r="H165" s="1680">
        <f t="shared" si="47"/>
        <v>0</v>
      </c>
      <c r="I165" s="1680">
        <f t="shared" si="47"/>
        <v>0</v>
      </c>
      <c r="J165" s="1680">
        <f t="shared" si="47"/>
        <v>0</v>
      </c>
      <c r="K165" s="1680">
        <f t="shared" si="47"/>
        <v>0</v>
      </c>
      <c r="L165" s="1680">
        <f t="shared" si="47"/>
        <v>0</v>
      </c>
      <c r="M165" s="1680">
        <f t="shared" si="47"/>
        <v>0</v>
      </c>
      <c r="N165" s="1680">
        <f t="shared" si="47"/>
        <v>0</v>
      </c>
      <c r="O165" s="1680">
        <f t="shared" si="47"/>
        <v>0</v>
      </c>
      <c r="P165" s="1680">
        <f t="shared" si="47"/>
        <v>0</v>
      </c>
      <c r="Q165" s="1680">
        <f t="shared" si="47"/>
        <v>0</v>
      </c>
      <c r="R165" s="1680">
        <f t="shared" si="47"/>
        <v>0</v>
      </c>
      <c r="S165" s="1680">
        <f t="shared" si="47"/>
        <v>0</v>
      </c>
      <c r="T165" s="1680">
        <f t="shared" si="47"/>
        <v>0</v>
      </c>
      <c r="U165" s="1680">
        <f t="shared" si="47"/>
        <v>0</v>
      </c>
      <c r="V165" s="1680">
        <f t="shared" si="47"/>
        <v>0</v>
      </c>
      <c r="W165" s="1680">
        <f t="shared" si="47"/>
        <v>0</v>
      </c>
      <c r="X165" s="1680">
        <f t="shared" si="47"/>
        <v>0</v>
      </c>
      <c r="Y165" s="1680">
        <f t="shared" si="47"/>
        <v>0</v>
      </c>
      <c r="Z165" s="1680">
        <f t="shared" si="47"/>
        <v>0</v>
      </c>
      <c r="AA165" s="1681">
        <f t="shared" si="47"/>
        <v>0</v>
      </c>
      <c r="AB165" s="1504"/>
    </row>
    <row r="166" spans="1:28" s="200" customFormat="1" ht="17.25" customHeight="1" outlineLevel="1" x14ac:dyDescent="0.35">
      <c r="A166" s="1368"/>
      <c r="B166" s="75" t="str">
        <f t="shared" si="46"/>
        <v xml:space="preserve">Public Guarantee Fees </v>
      </c>
      <c r="C166" s="11"/>
      <c r="D166" s="11"/>
      <c r="E166" s="38"/>
      <c r="F166" s="38"/>
      <c r="G166" s="175"/>
      <c r="H166" s="1680">
        <f t="shared" si="47"/>
        <v>0</v>
      </c>
      <c r="I166" s="1680">
        <f t="shared" si="47"/>
        <v>0</v>
      </c>
      <c r="J166" s="1680">
        <f t="shared" si="47"/>
        <v>0</v>
      </c>
      <c r="K166" s="1680">
        <f t="shared" si="47"/>
        <v>0</v>
      </c>
      <c r="L166" s="1680">
        <f t="shared" si="47"/>
        <v>0</v>
      </c>
      <c r="M166" s="1680">
        <f t="shared" si="47"/>
        <v>0</v>
      </c>
      <c r="N166" s="1680">
        <f t="shared" si="47"/>
        <v>0</v>
      </c>
      <c r="O166" s="1680">
        <f t="shared" si="47"/>
        <v>0</v>
      </c>
      <c r="P166" s="1680">
        <f t="shared" si="47"/>
        <v>0</v>
      </c>
      <c r="Q166" s="1680">
        <f t="shared" si="47"/>
        <v>0</v>
      </c>
      <c r="R166" s="1680">
        <f t="shared" si="47"/>
        <v>0</v>
      </c>
      <c r="S166" s="1680">
        <f t="shared" si="47"/>
        <v>0</v>
      </c>
      <c r="T166" s="1680">
        <f t="shared" si="47"/>
        <v>0</v>
      </c>
      <c r="U166" s="1680">
        <f t="shared" si="47"/>
        <v>0</v>
      </c>
      <c r="V166" s="1680">
        <f t="shared" si="47"/>
        <v>0</v>
      </c>
      <c r="W166" s="1680">
        <f t="shared" si="47"/>
        <v>0</v>
      </c>
      <c r="X166" s="1680">
        <f t="shared" si="47"/>
        <v>0</v>
      </c>
      <c r="Y166" s="1680">
        <f t="shared" si="47"/>
        <v>0</v>
      </c>
      <c r="Z166" s="1680">
        <f t="shared" si="47"/>
        <v>0</v>
      </c>
      <c r="AA166" s="1681">
        <f t="shared" si="47"/>
        <v>0</v>
      </c>
      <c r="AB166" s="1504"/>
    </row>
    <row r="167" spans="1:28" s="200" customFormat="1" ht="17.25" customHeight="1" outlineLevel="1" x14ac:dyDescent="0.35">
      <c r="A167" s="1368"/>
      <c r="B167" s="75" t="str">
        <f t="shared" si="46"/>
        <v>Political Risk Insurance - Fees &amp; Annual Premium Payments</v>
      </c>
      <c r="C167" s="11"/>
      <c r="D167" s="11"/>
      <c r="E167" s="38"/>
      <c r="F167" s="38"/>
      <c r="G167" s="175"/>
      <c r="H167" s="1680">
        <f t="shared" si="47"/>
        <v>0</v>
      </c>
      <c r="I167" s="1680">
        <f t="shared" si="47"/>
        <v>0</v>
      </c>
      <c r="J167" s="1680">
        <f t="shared" si="47"/>
        <v>0</v>
      </c>
      <c r="K167" s="1680">
        <f t="shared" si="47"/>
        <v>0</v>
      </c>
      <c r="L167" s="1680">
        <f t="shared" si="47"/>
        <v>0</v>
      </c>
      <c r="M167" s="1680">
        <f t="shared" si="47"/>
        <v>0</v>
      </c>
      <c r="N167" s="1680">
        <f t="shared" si="47"/>
        <v>0</v>
      </c>
      <c r="O167" s="1680">
        <f t="shared" si="47"/>
        <v>0</v>
      </c>
      <c r="P167" s="1680">
        <f t="shared" si="47"/>
        <v>0</v>
      </c>
      <c r="Q167" s="1680">
        <f t="shared" si="47"/>
        <v>0</v>
      </c>
      <c r="R167" s="1680">
        <f t="shared" si="47"/>
        <v>0</v>
      </c>
      <c r="S167" s="1680">
        <f t="shared" si="47"/>
        <v>0</v>
      </c>
      <c r="T167" s="1680">
        <f t="shared" si="47"/>
        <v>0</v>
      </c>
      <c r="U167" s="1680">
        <f t="shared" si="47"/>
        <v>0</v>
      </c>
      <c r="V167" s="1680">
        <f t="shared" si="47"/>
        <v>0</v>
      </c>
      <c r="W167" s="1680">
        <f t="shared" si="47"/>
        <v>0</v>
      </c>
      <c r="X167" s="1680">
        <f t="shared" si="47"/>
        <v>0</v>
      </c>
      <c r="Y167" s="1680">
        <f t="shared" si="47"/>
        <v>0</v>
      </c>
      <c r="Z167" s="1680">
        <f t="shared" si="47"/>
        <v>0</v>
      </c>
      <c r="AA167" s="1681">
        <f t="shared" si="47"/>
        <v>0</v>
      </c>
      <c r="AB167" s="1504"/>
    </row>
    <row r="168" spans="1:28" s="200" customFormat="1" ht="9.75" customHeight="1" outlineLevel="1" x14ac:dyDescent="0.35">
      <c r="A168" s="1368"/>
      <c r="B168" s="75"/>
      <c r="C168" s="11"/>
      <c r="D168" s="11"/>
      <c r="E168" s="38"/>
      <c r="F168" s="38"/>
      <c r="G168" s="175"/>
      <c r="H168" s="1680"/>
      <c r="I168" s="1680"/>
      <c r="J168" s="1680"/>
      <c r="K168" s="1680"/>
      <c r="L168" s="1680"/>
      <c r="M168" s="1680"/>
      <c r="N168" s="1680"/>
      <c r="O168" s="1680"/>
      <c r="P168" s="1680"/>
      <c r="Q168" s="1680"/>
      <c r="R168" s="1680"/>
      <c r="S168" s="1680"/>
      <c r="T168" s="1680"/>
      <c r="U168" s="1680"/>
      <c r="V168" s="1680"/>
      <c r="W168" s="1680"/>
      <c r="X168" s="1680"/>
      <c r="Y168" s="1680"/>
      <c r="Z168" s="1680"/>
      <c r="AA168" s="1681"/>
      <c r="AB168" s="1504"/>
    </row>
    <row r="169" spans="1:28" s="200" customFormat="1" ht="17.25" customHeight="1" outlineLevel="1" x14ac:dyDescent="0.4">
      <c r="A169" s="1368"/>
      <c r="B169" s="82" t="s">
        <v>105</v>
      </c>
      <c r="C169" s="95"/>
      <c r="D169" s="95"/>
      <c r="E169" s="96"/>
      <c r="F169" s="96"/>
      <c r="G169" s="179"/>
      <c r="H169" s="1682">
        <f>H160+(SUM(H162:H167))</f>
        <v>0</v>
      </c>
      <c r="I169" s="1682">
        <f t="shared" ref="I169:AA169" si="48">I160+(SUM(I162:I167))</f>
        <v>0</v>
      </c>
      <c r="J169" s="1682">
        <f t="shared" si="48"/>
        <v>0</v>
      </c>
      <c r="K169" s="1682">
        <f t="shared" si="48"/>
        <v>0</v>
      </c>
      <c r="L169" s="1682">
        <f t="shared" si="48"/>
        <v>0</v>
      </c>
      <c r="M169" s="1682">
        <f t="shared" si="48"/>
        <v>0</v>
      </c>
      <c r="N169" s="1682">
        <f t="shared" si="48"/>
        <v>0</v>
      </c>
      <c r="O169" s="1682">
        <f t="shared" si="48"/>
        <v>0</v>
      </c>
      <c r="P169" s="1682">
        <f t="shared" si="48"/>
        <v>0</v>
      </c>
      <c r="Q169" s="1682">
        <f t="shared" si="48"/>
        <v>0</v>
      </c>
      <c r="R169" s="1682">
        <f t="shared" si="48"/>
        <v>0</v>
      </c>
      <c r="S169" s="1682">
        <f t="shared" si="48"/>
        <v>0</v>
      </c>
      <c r="T169" s="1682">
        <f t="shared" si="48"/>
        <v>0</v>
      </c>
      <c r="U169" s="1682">
        <f t="shared" si="48"/>
        <v>0</v>
      </c>
      <c r="V169" s="1682">
        <f t="shared" si="48"/>
        <v>0</v>
      </c>
      <c r="W169" s="1682">
        <f t="shared" si="48"/>
        <v>0</v>
      </c>
      <c r="X169" s="1682">
        <f t="shared" si="48"/>
        <v>0</v>
      </c>
      <c r="Y169" s="1682">
        <f t="shared" si="48"/>
        <v>0</v>
      </c>
      <c r="Z169" s="1682">
        <f t="shared" si="48"/>
        <v>0</v>
      </c>
      <c r="AA169" s="1683">
        <f t="shared" si="48"/>
        <v>0</v>
      </c>
      <c r="AB169" s="1504"/>
    </row>
    <row r="170" spans="1:28" s="200" customFormat="1" ht="6.75" customHeight="1" outlineLevel="1" x14ac:dyDescent="0.35">
      <c r="A170" s="1368"/>
      <c r="B170" s="75"/>
      <c r="C170" s="11"/>
      <c r="D170" s="11"/>
      <c r="E170" s="38"/>
      <c r="F170" s="38"/>
      <c r="G170" s="175"/>
      <c r="H170" s="1680"/>
      <c r="I170" s="1680"/>
      <c r="J170" s="1680"/>
      <c r="K170" s="1680"/>
      <c r="L170" s="1680"/>
      <c r="M170" s="1680"/>
      <c r="N170" s="1680"/>
      <c r="O170" s="1680"/>
      <c r="P170" s="1680"/>
      <c r="Q170" s="1680"/>
      <c r="R170" s="1680"/>
      <c r="S170" s="1680"/>
      <c r="T170" s="1680"/>
      <c r="U170" s="1680"/>
      <c r="V170" s="1680"/>
      <c r="W170" s="1680"/>
      <c r="X170" s="1680"/>
      <c r="Y170" s="1680"/>
      <c r="Z170" s="1680"/>
      <c r="AA170" s="1681"/>
      <c r="AB170" s="1504"/>
    </row>
    <row r="171" spans="1:28" s="200" customFormat="1" ht="17.25" customHeight="1" outlineLevel="1" x14ac:dyDescent="0.35">
      <c r="A171" s="1368"/>
      <c r="B171" s="75" t="s">
        <v>106</v>
      </c>
      <c r="C171" s="11"/>
      <c r="D171" s="11"/>
      <c r="E171" s="38"/>
      <c r="F171" s="38"/>
      <c r="G171" s="175"/>
      <c r="H171" s="1680">
        <f>IF(H169&lt;0,(-H169*'III. Inputs, Renewable Energy'!$U$18),(-'VI. LCOE, RE Grid Intercon'!H169*'III. Inputs, Renewable Energy'!$U$18))</f>
        <v>0</v>
      </c>
      <c r="I171" s="1680">
        <f>IF(I169&lt;0,(-I169*'III. Inputs, Renewable Energy'!$U$18),(-'VI. LCOE, RE Grid Intercon'!I169*'III. Inputs, Renewable Energy'!$U$18))</f>
        <v>0</v>
      </c>
      <c r="J171" s="1680">
        <f>IF(J169&lt;0,(-J169*'III. Inputs, Renewable Energy'!$U$18),(-'VI. LCOE, RE Grid Intercon'!J169*'III. Inputs, Renewable Energy'!$U$18))</f>
        <v>0</v>
      </c>
      <c r="K171" s="1680">
        <f>IF(K169&lt;0,(-K169*'III. Inputs, Renewable Energy'!$U$18),(-'VI. LCOE, RE Grid Intercon'!K169*'III. Inputs, Renewable Energy'!$U$18))</f>
        <v>0</v>
      </c>
      <c r="L171" s="1680">
        <f>IF(L169&lt;0,(-L169*'III. Inputs, Renewable Energy'!$U$18),(-'VI. LCOE, RE Grid Intercon'!L169*'III. Inputs, Renewable Energy'!$U$18))</f>
        <v>0</v>
      </c>
      <c r="M171" s="1680">
        <f>IF(M169&lt;0,(-M169*'III. Inputs, Renewable Energy'!$U$18),(-'VI. LCOE, RE Grid Intercon'!M169*'III. Inputs, Renewable Energy'!$U$18))</f>
        <v>0</v>
      </c>
      <c r="N171" s="1680">
        <f>IF(N169&lt;0,(-N169*'III. Inputs, Renewable Energy'!$U$18),(-'VI. LCOE, RE Grid Intercon'!N169*'III. Inputs, Renewable Energy'!$U$18))</f>
        <v>0</v>
      </c>
      <c r="O171" s="1680">
        <f>IF(O169&lt;0,(-O169*'III. Inputs, Renewable Energy'!$U$18),(-'VI. LCOE, RE Grid Intercon'!O169*'III. Inputs, Renewable Energy'!$U$18))</f>
        <v>0</v>
      </c>
      <c r="P171" s="1680">
        <f>IF(P169&lt;0,(-P169*'III. Inputs, Renewable Energy'!$U$18),(-'VI. LCOE, RE Grid Intercon'!P169*'III. Inputs, Renewable Energy'!$U$18))</f>
        <v>0</v>
      </c>
      <c r="Q171" s="1680">
        <f>IF(Q169&lt;0,(-Q169*'III. Inputs, Renewable Energy'!$U$18),(-'VI. LCOE, RE Grid Intercon'!Q169*'III. Inputs, Renewable Energy'!$U$18))</f>
        <v>0</v>
      </c>
      <c r="R171" s="1680">
        <f>IF(R169&lt;0,(-R169*'III. Inputs, Renewable Energy'!$U$18),(-'VI. LCOE, RE Grid Intercon'!R169*'III. Inputs, Renewable Energy'!$U$18))</f>
        <v>0</v>
      </c>
      <c r="S171" s="1680">
        <f>IF(S169&lt;0,(-S169*'III. Inputs, Renewable Energy'!$U$18),(-'VI. LCOE, RE Grid Intercon'!S169*'III. Inputs, Renewable Energy'!$U$18))</f>
        <v>0</v>
      </c>
      <c r="T171" s="1680">
        <f>IF(T169&lt;0,(-T169*'III. Inputs, Renewable Energy'!$U$18),(-'VI. LCOE, RE Grid Intercon'!T169*'III. Inputs, Renewable Energy'!$U$18))</f>
        <v>0</v>
      </c>
      <c r="U171" s="1680">
        <f>IF(U169&lt;0,(-U169*'III. Inputs, Renewable Energy'!$U$18),(-'VI. LCOE, RE Grid Intercon'!U169*'III. Inputs, Renewable Energy'!$U$18))</f>
        <v>0</v>
      </c>
      <c r="V171" s="1680">
        <f>IF(V169&lt;0,(-V169*'III. Inputs, Renewable Energy'!$U$18),(-'VI. LCOE, RE Grid Intercon'!V169*'III. Inputs, Renewable Energy'!$U$18))</f>
        <v>0</v>
      </c>
      <c r="W171" s="1680">
        <f>IF(W169&lt;0,(-W169*'III. Inputs, Renewable Energy'!$U$18),(-'VI. LCOE, RE Grid Intercon'!W169*'III. Inputs, Renewable Energy'!$U$18))</f>
        <v>0</v>
      </c>
      <c r="X171" s="1680">
        <f>IF(X169&lt;0,(-X169*'III. Inputs, Renewable Energy'!$U$18),(-'VI. LCOE, RE Grid Intercon'!X169*'III. Inputs, Renewable Energy'!$U$18))</f>
        <v>0</v>
      </c>
      <c r="Y171" s="1680">
        <f>IF(Y169&lt;0,(-Y169*'III. Inputs, Renewable Energy'!$U$18),(-'VI. LCOE, RE Grid Intercon'!Y169*'III. Inputs, Renewable Energy'!$U$18))</f>
        <v>0</v>
      </c>
      <c r="Z171" s="1680">
        <f>IF(Z169&lt;0,(-Z169*'III. Inputs, Renewable Energy'!$U$18),(-'VI. LCOE, RE Grid Intercon'!Z169*'III. Inputs, Renewable Energy'!$U$18))</f>
        <v>0</v>
      </c>
      <c r="AA171" s="1681">
        <f>IF(AA169&lt;0,(-AA169*'III. Inputs, Renewable Energy'!$U$18),(-'VI. LCOE, RE Grid Intercon'!AA169*'III. Inputs, Renewable Energy'!$U$18))</f>
        <v>0</v>
      </c>
      <c r="AB171" s="1504"/>
    </row>
    <row r="172" spans="1:28" s="200" customFormat="1" ht="6.75" customHeight="1" outlineLevel="1" x14ac:dyDescent="0.35">
      <c r="A172" s="1368"/>
      <c r="B172" s="83"/>
      <c r="C172" s="12"/>
      <c r="D172" s="12"/>
      <c r="E172" s="39"/>
      <c r="F172" s="39"/>
      <c r="G172" s="177"/>
      <c r="H172" s="1684"/>
      <c r="I172" s="1684"/>
      <c r="J172" s="1684"/>
      <c r="K172" s="1684"/>
      <c r="L172" s="1684"/>
      <c r="M172" s="1684"/>
      <c r="N172" s="1684"/>
      <c r="O172" s="1684"/>
      <c r="P172" s="1684"/>
      <c r="Q172" s="1684"/>
      <c r="R172" s="1684"/>
      <c r="S172" s="1684"/>
      <c r="T172" s="1684"/>
      <c r="U172" s="1684"/>
      <c r="V172" s="1684"/>
      <c r="W172" s="1684"/>
      <c r="X172" s="1684"/>
      <c r="Y172" s="1684"/>
      <c r="Z172" s="1684"/>
      <c r="AA172" s="1685"/>
      <c r="AB172" s="1504"/>
    </row>
    <row r="173" spans="1:28" s="200" customFormat="1" ht="17.25" customHeight="1" outlineLevel="1" x14ac:dyDescent="0.4">
      <c r="A173" s="1368"/>
      <c r="B173" s="82" t="s">
        <v>107</v>
      </c>
      <c r="C173" s="95"/>
      <c r="D173" s="95"/>
      <c r="E173" s="96"/>
      <c r="F173" s="96"/>
      <c r="G173" s="179"/>
      <c r="H173" s="1682">
        <f>H169+H171</f>
        <v>0</v>
      </c>
      <c r="I173" s="1682">
        <f t="shared" ref="I173:AA173" si="49">I169+I171</f>
        <v>0</v>
      </c>
      <c r="J173" s="1682">
        <f t="shared" si="49"/>
        <v>0</v>
      </c>
      <c r="K173" s="1682">
        <f t="shared" si="49"/>
        <v>0</v>
      </c>
      <c r="L173" s="1682">
        <f t="shared" si="49"/>
        <v>0</v>
      </c>
      <c r="M173" s="1682">
        <f t="shared" si="49"/>
        <v>0</v>
      </c>
      <c r="N173" s="1682">
        <f t="shared" si="49"/>
        <v>0</v>
      </c>
      <c r="O173" s="1682">
        <f t="shared" si="49"/>
        <v>0</v>
      </c>
      <c r="P173" s="1682">
        <f t="shared" si="49"/>
        <v>0</v>
      </c>
      <c r="Q173" s="1682">
        <f t="shared" si="49"/>
        <v>0</v>
      </c>
      <c r="R173" s="1682">
        <f t="shared" si="49"/>
        <v>0</v>
      </c>
      <c r="S173" s="1682">
        <f t="shared" si="49"/>
        <v>0</v>
      </c>
      <c r="T173" s="1682">
        <f t="shared" si="49"/>
        <v>0</v>
      </c>
      <c r="U173" s="1682">
        <f t="shared" si="49"/>
        <v>0</v>
      </c>
      <c r="V173" s="1682">
        <f t="shared" si="49"/>
        <v>0</v>
      </c>
      <c r="W173" s="1682">
        <f t="shared" si="49"/>
        <v>0</v>
      </c>
      <c r="X173" s="1682">
        <f t="shared" si="49"/>
        <v>0</v>
      </c>
      <c r="Y173" s="1682">
        <f t="shared" si="49"/>
        <v>0</v>
      </c>
      <c r="Z173" s="1682">
        <f t="shared" si="49"/>
        <v>0</v>
      </c>
      <c r="AA173" s="1683">
        <f t="shared" si="49"/>
        <v>0</v>
      </c>
      <c r="AB173" s="1504"/>
    </row>
    <row r="174" spans="1:28" s="200" customFormat="1" ht="17.25" customHeight="1" outlineLevel="1" x14ac:dyDescent="0.35">
      <c r="A174" s="1368"/>
      <c r="B174" s="75"/>
      <c r="C174" s="11"/>
      <c r="D174" s="11"/>
      <c r="E174" s="38"/>
      <c r="F174" s="38"/>
      <c r="G174" s="175"/>
      <c r="H174" s="176"/>
      <c r="I174" s="176"/>
      <c r="J174" s="176"/>
      <c r="K174" s="176"/>
      <c r="L174" s="176"/>
      <c r="M174" s="176"/>
      <c r="N174" s="176"/>
      <c r="O174" s="176"/>
      <c r="P174" s="176"/>
      <c r="Q174" s="176"/>
      <c r="R174" s="176"/>
      <c r="S174" s="176"/>
      <c r="T174" s="176"/>
      <c r="U174" s="176"/>
      <c r="V174" s="176"/>
      <c r="W174" s="176"/>
      <c r="X174" s="176"/>
      <c r="Y174" s="176"/>
      <c r="Z174" s="176"/>
      <c r="AA174" s="365"/>
      <c r="AB174" s="1504"/>
    </row>
    <row r="175" spans="1:28" s="200" customFormat="1" ht="17.25" customHeight="1" outlineLevel="1" x14ac:dyDescent="0.35">
      <c r="A175" s="1368"/>
      <c r="B175" s="75" t="s">
        <v>108</v>
      </c>
      <c r="C175" s="11"/>
      <c r="D175" s="11"/>
      <c r="E175" s="38"/>
      <c r="F175" s="38" t="s">
        <v>748</v>
      </c>
      <c r="G175" s="1672">
        <f>-'III. Inputs, Renewable Energy'!U293</f>
        <v>0</v>
      </c>
      <c r="H175" s="176"/>
      <c r="I175" s="176"/>
      <c r="J175" s="176"/>
      <c r="K175" s="176"/>
      <c r="L175" s="176"/>
      <c r="M175" s="176"/>
      <c r="N175" s="176"/>
      <c r="O175" s="176"/>
      <c r="P175" s="176"/>
      <c r="Q175" s="176"/>
      <c r="R175" s="176"/>
      <c r="S175" s="176"/>
      <c r="T175" s="176"/>
      <c r="U175" s="176"/>
      <c r="V175" s="176"/>
      <c r="W175" s="176"/>
      <c r="X175" s="176"/>
      <c r="Y175" s="176"/>
      <c r="Z175" s="176"/>
      <c r="AA175" s="365"/>
      <c r="AB175" s="1504"/>
    </row>
    <row r="176" spans="1:28" s="200" customFormat="1" ht="17.25" customHeight="1" outlineLevel="1" x14ac:dyDescent="0.35">
      <c r="A176" s="1368"/>
      <c r="B176" s="83" t="s">
        <v>109</v>
      </c>
      <c r="C176" s="12"/>
      <c r="D176" s="12"/>
      <c r="E176" s="39"/>
      <c r="F176" s="39" t="s">
        <v>748</v>
      </c>
      <c r="G176" s="1678">
        <f>-G175*'III. Inputs, Renewable Energy'!V34</f>
        <v>0</v>
      </c>
      <c r="H176" s="178"/>
      <c r="I176" s="178"/>
      <c r="J176" s="178"/>
      <c r="K176" s="178"/>
      <c r="L176" s="178"/>
      <c r="M176" s="178"/>
      <c r="N176" s="178"/>
      <c r="O176" s="178"/>
      <c r="P176" s="178"/>
      <c r="Q176" s="178"/>
      <c r="R176" s="178"/>
      <c r="S176" s="178"/>
      <c r="T176" s="178"/>
      <c r="U176" s="178"/>
      <c r="V176" s="178"/>
      <c r="W176" s="178"/>
      <c r="X176" s="178"/>
      <c r="Y176" s="178"/>
      <c r="Z176" s="178"/>
      <c r="AA176" s="366"/>
      <c r="AB176" s="1504"/>
    </row>
    <row r="177" spans="1:28" s="200" customFormat="1" ht="17.25" customHeight="1" outlineLevel="1" x14ac:dyDescent="0.35">
      <c r="A177" s="1368"/>
      <c r="B177" s="75" t="s">
        <v>110</v>
      </c>
      <c r="C177" s="11"/>
      <c r="D177" s="11"/>
      <c r="E177" s="38"/>
      <c r="F177" s="38" t="s">
        <v>748</v>
      </c>
      <c r="G177" s="1672">
        <f>G175+G176</f>
        <v>0</v>
      </c>
      <c r="H177" s="169"/>
      <c r="I177" s="169"/>
      <c r="J177" s="169"/>
      <c r="K177" s="169"/>
      <c r="L177" s="169"/>
      <c r="M177" s="169"/>
      <c r="N177" s="169"/>
      <c r="O177" s="169"/>
      <c r="P177" s="169"/>
      <c r="Q177" s="169"/>
      <c r="R177" s="169"/>
      <c r="S177" s="169"/>
      <c r="T177" s="169"/>
      <c r="U177" s="169"/>
      <c r="V177" s="169"/>
      <c r="W177" s="169"/>
      <c r="X177" s="169"/>
      <c r="Y177" s="169"/>
      <c r="Z177" s="169"/>
      <c r="AA177" s="367"/>
      <c r="AB177" s="1504"/>
    </row>
    <row r="178" spans="1:28" s="200" customFormat="1" ht="10.5" customHeight="1" outlineLevel="1" x14ac:dyDescent="0.35">
      <c r="A178" s="1368"/>
      <c r="B178" s="75"/>
      <c r="C178" s="11"/>
      <c r="D178" s="11"/>
      <c r="E178" s="38"/>
      <c r="F178" s="38"/>
      <c r="G178" s="169"/>
      <c r="H178" s="169"/>
      <c r="I178" s="169"/>
      <c r="J178" s="169"/>
      <c r="K178" s="169"/>
      <c r="L178" s="169"/>
      <c r="M178" s="169"/>
      <c r="N178" s="169"/>
      <c r="O178" s="169"/>
      <c r="P178" s="169"/>
      <c r="Q178" s="169"/>
      <c r="R178" s="169"/>
      <c r="S178" s="169"/>
      <c r="T178" s="169"/>
      <c r="U178" s="169"/>
      <c r="V178" s="169"/>
      <c r="W178" s="169"/>
      <c r="X178" s="169"/>
      <c r="Y178" s="169"/>
      <c r="Z178" s="169"/>
      <c r="AA178" s="367"/>
      <c r="AB178" s="1504"/>
    </row>
    <row r="179" spans="1:28" s="200" customFormat="1" ht="6.75" customHeight="1" outlineLevel="1" x14ac:dyDescent="0.35">
      <c r="A179" s="1368"/>
      <c r="B179" s="75"/>
      <c r="C179" s="11"/>
      <c r="D179" s="11"/>
      <c r="E179" s="38"/>
      <c r="F179" s="38"/>
      <c r="G179" s="169"/>
      <c r="H179" s="169"/>
      <c r="I179" s="169"/>
      <c r="J179" s="169"/>
      <c r="K179" s="169"/>
      <c r="L179" s="169"/>
      <c r="M179" s="169"/>
      <c r="N179" s="169"/>
      <c r="O179" s="169"/>
      <c r="P179" s="169"/>
      <c r="Q179" s="169"/>
      <c r="R179" s="169"/>
      <c r="S179" s="169"/>
      <c r="T179" s="169"/>
      <c r="U179" s="169"/>
      <c r="V179" s="169"/>
      <c r="W179" s="169"/>
      <c r="X179" s="169"/>
      <c r="Y179" s="169"/>
      <c r="Z179" s="169"/>
      <c r="AA179" s="367"/>
      <c r="AB179" s="1504"/>
    </row>
    <row r="180" spans="1:28" s="200" customFormat="1" ht="17.25" customHeight="1" outlineLevel="1" x14ac:dyDescent="0.35">
      <c r="A180" s="1368"/>
      <c r="B180" s="75" t="s">
        <v>111</v>
      </c>
      <c r="C180" s="11"/>
      <c r="D180" s="11"/>
      <c r="E180" s="38"/>
      <c r="F180" s="38"/>
      <c r="G180" s="169"/>
      <c r="H180" s="1672">
        <f>H173</f>
        <v>0</v>
      </c>
      <c r="I180" s="1672">
        <f t="shared" ref="I180:AA180" si="50">I173</f>
        <v>0</v>
      </c>
      <c r="J180" s="1672">
        <f t="shared" si="50"/>
        <v>0</v>
      </c>
      <c r="K180" s="1672">
        <f t="shared" si="50"/>
        <v>0</v>
      </c>
      <c r="L180" s="1672">
        <f t="shared" si="50"/>
        <v>0</v>
      </c>
      <c r="M180" s="1672">
        <f t="shared" si="50"/>
        <v>0</v>
      </c>
      <c r="N180" s="1672">
        <f t="shared" si="50"/>
        <v>0</v>
      </c>
      <c r="O180" s="1672">
        <f t="shared" si="50"/>
        <v>0</v>
      </c>
      <c r="P180" s="1672">
        <f t="shared" si="50"/>
        <v>0</v>
      </c>
      <c r="Q180" s="1672">
        <f t="shared" si="50"/>
        <v>0</v>
      </c>
      <c r="R180" s="1672">
        <f t="shared" si="50"/>
        <v>0</v>
      </c>
      <c r="S180" s="1672">
        <f t="shared" si="50"/>
        <v>0</v>
      </c>
      <c r="T180" s="1672">
        <f t="shared" si="50"/>
        <v>0</v>
      </c>
      <c r="U180" s="1672">
        <f t="shared" si="50"/>
        <v>0</v>
      </c>
      <c r="V180" s="1672">
        <f t="shared" si="50"/>
        <v>0</v>
      </c>
      <c r="W180" s="1672">
        <f t="shared" si="50"/>
        <v>0</v>
      </c>
      <c r="X180" s="1672">
        <f t="shared" si="50"/>
        <v>0</v>
      </c>
      <c r="Y180" s="1672">
        <f t="shared" si="50"/>
        <v>0</v>
      </c>
      <c r="Z180" s="1672">
        <f t="shared" si="50"/>
        <v>0</v>
      </c>
      <c r="AA180" s="1677">
        <f t="shared" si="50"/>
        <v>0</v>
      </c>
      <c r="AB180" s="1504"/>
    </row>
    <row r="181" spans="1:28" s="200" customFormat="1" ht="17.25" customHeight="1" outlineLevel="1" x14ac:dyDescent="0.35">
      <c r="A181" s="1368"/>
      <c r="B181" s="75" t="s">
        <v>112</v>
      </c>
      <c r="C181" s="11"/>
      <c r="D181" s="11"/>
      <c r="E181" s="38"/>
      <c r="F181" s="38" t="s">
        <v>748</v>
      </c>
      <c r="G181" s="169"/>
      <c r="H181" s="1672">
        <f t="shared" ref="H181:AA181" si="51">-H158</f>
        <v>0</v>
      </c>
      <c r="I181" s="1672">
        <f t="shared" si="51"/>
        <v>0</v>
      </c>
      <c r="J181" s="1672">
        <f t="shared" si="51"/>
        <v>0</v>
      </c>
      <c r="K181" s="1672">
        <f t="shared" si="51"/>
        <v>0</v>
      </c>
      <c r="L181" s="1672">
        <f t="shared" si="51"/>
        <v>0</v>
      </c>
      <c r="M181" s="1672">
        <f t="shared" si="51"/>
        <v>0</v>
      </c>
      <c r="N181" s="1672">
        <f t="shared" si="51"/>
        <v>0</v>
      </c>
      <c r="O181" s="1672">
        <f t="shared" si="51"/>
        <v>0</v>
      </c>
      <c r="P181" s="1672">
        <f t="shared" si="51"/>
        <v>0</v>
      </c>
      <c r="Q181" s="1672">
        <f t="shared" si="51"/>
        <v>0</v>
      </c>
      <c r="R181" s="1672">
        <f t="shared" si="51"/>
        <v>0</v>
      </c>
      <c r="S181" s="1672">
        <f t="shared" si="51"/>
        <v>0</v>
      </c>
      <c r="T181" s="1672">
        <f t="shared" si="51"/>
        <v>0</v>
      </c>
      <c r="U181" s="1672">
        <f t="shared" si="51"/>
        <v>0</v>
      </c>
      <c r="V181" s="1672">
        <f t="shared" si="51"/>
        <v>0</v>
      </c>
      <c r="W181" s="1672">
        <f t="shared" si="51"/>
        <v>0</v>
      </c>
      <c r="X181" s="1672">
        <f t="shared" si="51"/>
        <v>0</v>
      </c>
      <c r="Y181" s="1672">
        <f t="shared" si="51"/>
        <v>0</v>
      </c>
      <c r="Z181" s="1672">
        <f t="shared" si="51"/>
        <v>0</v>
      </c>
      <c r="AA181" s="1677">
        <f t="shared" si="51"/>
        <v>0</v>
      </c>
      <c r="AB181" s="1504"/>
    </row>
    <row r="182" spans="1:28" s="200" customFormat="1" ht="17.25" customHeight="1" outlineLevel="1" x14ac:dyDescent="0.35">
      <c r="A182" s="1368"/>
      <c r="B182" s="75"/>
      <c r="C182" s="11"/>
      <c r="D182" s="11"/>
      <c r="E182" s="38"/>
      <c r="F182" s="38"/>
      <c r="G182" s="169"/>
      <c r="H182" s="169"/>
      <c r="I182" s="169"/>
      <c r="J182" s="169"/>
      <c r="K182" s="169"/>
      <c r="L182" s="169"/>
      <c r="M182" s="169"/>
      <c r="N182" s="169"/>
      <c r="O182" s="169"/>
      <c r="P182" s="169"/>
      <c r="Q182" s="169"/>
      <c r="R182" s="169"/>
      <c r="S182" s="169"/>
      <c r="T182" s="169"/>
      <c r="U182" s="169"/>
      <c r="V182" s="169"/>
      <c r="W182" s="169"/>
      <c r="X182" s="169"/>
      <c r="Y182" s="169"/>
      <c r="Z182" s="169"/>
      <c r="AA182" s="367"/>
      <c r="AB182" s="1504"/>
    </row>
    <row r="183" spans="1:28" s="200" customFormat="1" ht="17.25" customHeight="1" outlineLevel="1" x14ac:dyDescent="0.35">
      <c r="A183" s="1368"/>
      <c r="B183" s="75" t="s">
        <v>113</v>
      </c>
      <c r="C183" s="11"/>
      <c r="D183" s="11"/>
      <c r="E183" s="38"/>
      <c r="F183" s="38" t="s">
        <v>748</v>
      </c>
      <c r="G183" s="169"/>
      <c r="H183" s="169"/>
      <c r="I183" s="169"/>
      <c r="J183" s="169"/>
      <c r="K183" s="169"/>
      <c r="L183" s="169"/>
      <c r="M183" s="169"/>
      <c r="N183" s="169"/>
      <c r="O183" s="169"/>
      <c r="P183" s="169"/>
      <c r="Q183" s="169"/>
      <c r="R183" s="169"/>
      <c r="S183" s="169"/>
      <c r="T183" s="169"/>
      <c r="U183" s="169"/>
      <c r="V183" s="169"/>
      <c r="W183" s="169"/>
      <c r="X183" s="169"/>
      <c r="Y183" s="169"/>
      <c r="Z183" s="169"/>
      <c r="AA183" s="367"/>
      <c r="AB183" s="1504"/>
    </row>
    <row r="184" spans="1:28" s="200" customFormat="1" ht="17.25" customHeight="1" outlineLevel="1" x14ac:dyDescent="0.35">
      <c r="A184" s="1368"/>
      <c r="B184" s="75" t="s">
        <v>114</v>
      </c>
      <c r="C184" s="11"/>
      <c r="D184" s="11"/>
      <c r="E184" s="38"/>
      <c r="F184" s="38" t="s">
        <v>748</v>
      </c>
      <c r="G184" s="169"/>
      <c r="H184" s="169"/>
      <c r="I184" s="169"/>
      <c r="J184" s="169"/>
      <c r="K184" s="169"/>
      <c r="L184" s="169"/>
      <c r="M184" s="169"/>
      <c r="N184" s="169"/>
      <c r="O184" s="169"/>
      <c r="P184" s="169"/>
      <c r="Q184" s="169"/>
      <c r="R184" s="169"/>
      <c r="S184" s="169"/>
      <c r="T184" s="169"/>
      <c r="U184" s="169"/>
      <c r="V184" s="169"/>
      <c r="W184" s="169"/>
      <c r="X184" s="169"/>
      <c r="Y184" s="169"/>
      <c r="Z184" s="169"/>
      <c r="AA184" s="367"/>
      <c r="AB184" s="1504"/>
    </row>
    <row r="185" spans="1:28" s="200" customFormat="1" ht="17.25" customHeight="1" outlineLevel="1" x14ac:dyDescent="0.35">
      <c r="A185" s="1368"/>
      <c r="B185" s="75" t="s">
        <v>115</v>
      </c>
      <c r="C185" s="11"/>
      <c r="D185" s="11"/>
      <c r="E185" s="38"/>
      <c r="F185" s="38" t="s">
        <v>748</v>
      </c>
      <c r="G185" s="1672"/>
      <c r="H185" s="1672">
        <f>-(H283+H304+H325)</f>
        <v>0</v>
      </c>
      <c r="I185" s="1672">
        <f t="shared" ref="I185:AA185" si="52">-(I283+I304+I325)</f>
        <v>0</v>
      </c>
      <c r="J185" s="1672">
        <f t="shared" si="52"/>
        <v>0</v>
      </c>
      <c r="K185" s="1672">
        <f t="shared" si="52"/>
        <v>0</v>
      </c>
      <c r="L185" s="1672">
        <f t="shared" si="52"/>
        <v>0</v>
      </c>
      <c r="M185" s="1672">
        <f t="shared" si="52"/>
        <v>0</v>
      </c>
      <c r="N185" s="1672">
        <f t="shared" si="52"/>
        <v>0</v>
      </c>
      <c r="O185" s="1672">
        <f t="shared" si="52"/>
        <v>0</v>
      </c>
      <c r="P185" s="1672">
        <f t="shared" si="52"/>
        <v>0</v>
      </c>
      <c r="Q185" s="1672">
        <f t="shared" si="52"/>
        <v>0</v>
      </c>
      <c r="R185" s="1672">
        <f t="shared" si="52"/>
        <v>0</v>
      </c>
      <c r="S185" s="1672">
        <f t="shared" si="52"/>
        <v>0</v>
      </c>
      <c r="T185" s="1672">
        <f t="shared" si="52"/>
        <v>0</v>
      </c>
      <c r="U185" s="1672">
        <f t="shared" si="52"/>
        <v>0</v>
      </c>
      <c r="V185" s="1672">
        <f t="shared" si="52"/>
        <v>0</v>
      </c>
      <c r="W185" s="1672">
        <f t="shared" si="52"/>
        <v>0</v>
      </c>
      <c r="X185" s="1672">
        <f t="shared" si="52"/>
        <v>0</v>
      </c>
      <c r="Y185" s="1672">
        <f t="shared" si="52"/>
        <v>0</v>
      </c>
      <c r="Z185" s="1672">
        <f t="shared" si="52"/>
        <v>0</v>
      </c>
      <c r="AA185" s="1677">
        <f t="shared" si="52"/>
        <v>0</v>
      </c>
      <c r="AB185" s="1504"/>
    </row>
    <row r="186" spans="1:28" s="200" customFormat="1" ht="17.25" customHeight="1" outlineLevel="1" x14ac:dyDescent="0.35">
      <c r="A186" s="1368"/>
      <c r="B186" s="83" t="s">
        <v>116</v>
      </c>
      <c r="C186" s="12"/>
      <c r="D186" s="12"/>
      <c r="E186" s="39"/>
      <c r="F186" s="39" t="s">
        <v>748</v>
      </c>
      <c r="G186" s="1678"/>
      <c r="H186" s="1678"/>
      <c r="I186" s="1678"/>
      <c r="J186" s="1678"/>
      <c r="K186" s="1678"/>
      <c r="L186" s="1678"/>
      <c r="M186" s="1678"/>
      <c r="N186" s="1678"/>
      <c r="O186" s="1678"/>
      <c r="P186" s="1678"/>
      <c r="Q186" s="1678"/>
      <c r="R186" s="1678"/>
      <c r="S186" s="1678"/>
      <c r="T186" s="1678"/>
      <c r="U186" s="1678"/>
      <c r="V186" s="1678"/>
      <c r="W186" s="1678"/>
      <c r="X186" s="1678"/>
      <c r="Y186" s="1678"/>
      <c r="Z186" s="1678"/>
      <c r="AA186" s="1679"/>
      <c r="AB186" s="1504"/>
    </row>
    <row r="187" spans="1:28" s="200" customFormat="1" ht="17.25" customHeight="1" outlineLevel="1" x14ac:dyDescent="0.35">
      <c r="A187" s="1368"/>
      <c r="B187" s="75" t="s">
        <v>117</v>
      </c>
      <c r="C187" s="11"/>
      <c r="D187" s="11"/>
      <c r="E187" s="38"/>
      <c r="F187" s="38" t="s">
        <v>748</v>
      </c>
      <c r="G187" s="1672">
        <f>G177</f>
        <v>0</v>
      </c>
      <c r="H187" s="1672">
        <f>H180+H181+H185</f>
        <v>0</v>
      </c>
      <c r="I187" s="1672">
        <f t="shared" ref="I187:AA187" si="53">I180+I181+I185</f>
        <v>0</v>
      </c>
      <c r="J187" s="1672">
        <f t="shared" si="53"/>
        <v>0</v>
      </c>
      <c r="K187" s="1672">
        <f t="shared" si="53"/>
        <v>0</v>
      </c>
      <c r="L187" s="1672">
        <f t="shared" si="53"/>
        <v>0</v>
      </c>
      <c r="M187" s="1672">
        <f t="shared" si="53"/>
        <v>0</v>
      </c>
      <c r="N187" s="1672">
        <f t="shared" si="53"/>
        <v>0</v>
      </c>
      <c r="O187" s="1672">
        <f t="shared" si="53"/>
        <v>0</v>
      </c>
      <c r="P187" s="1672">
        <f t="shared" si="53"/>
        <v>0</v>
      </c>
      <c r="Q187" s="1672">
        <f t="shared" si="53"/>
        <v>0</v>
      </c>
      <c r="R187" s="1672">
        <f t="shared" si="53"/>
        <v>0</v>
      </c>
      <c r="S187" s="1672">
        <f t="shared" si="53"/>
        <v>0</v>
      </c>
      <c r="T187" s="1672">
        <f t="shared" si="53"/>
        <v>0</v>
      </c>
      <c r="U187" s="1672">
        <f t="shared" si="53"/>
        <v>0</v>
      </c>
      <c r="V187" s="1672">
        <f t="shared" si="53"/>
        <v>0</v>
      </c>
      <c r="W187" s="1672">
        <f t="shared" si="53"/>
        <v>0</v>
      </c>
      <c r="X187" s="1672">
        <f t="shared" si="53"/>
        <v>0</v>
      </c>
      <c r="Y187" s="1672">
        <f t="shared" si="53"/>
        <v>0</v>
      </c>
      <c r="Z187" s="1672">
        <f t="shared" si="53"/>
        <v>0</v>
      </c>
      <c r="AA187" s="1677">
        <f t="shared" si="53"/>
        <v>0</v>
      </c>
      <c r="AB187" s="1504"/>
    </row>
    <row r="188" spans="1:28" s="200" customFormat="1" ht="7.5" customHeight="1" outlineLevel="1" x14ac:dyDescent="0.35">
      <c r="A188" s="1368"/>
      <c r="B188" s="75"/>
      <c r="C188" s="11"/>
      <c r="D188" s="11"/>
      <c r="E188" s="38"/>
      <c r="F188" s="38"/>
      <c r="G188" s="169"/>
      <c r="H188" s="169"/>
      <c r="I188" s="169"/>
      <c r="J188" s="169"/>
      <c r="K188" s="169"/>
      <c r="L188" s="169"/>
      <c r="M188" s="169"/>
      <c r="N188" s="169"/>
      <c r="O188" s="169"/>
      <c r="P188" s="169"/>
      <c r="Q188" s="169"/>
      <c r="R188" s="169"/>
      <c r="S188" s="169"/>
      <c r="T188" s="169"/>
      <c r="U188" s="169"/>
      <c r="V188" s="169"/>
      <c r="W188" s="169"/>
      <c r="X188" s="169"/>
      <c r="Y188" s="169"/>
      <c r="Z188" s="169"/>
      <c r="AA188" s="367"/>
      <c r="AB188" s="1504"/>
    </row>
    <row r="189" spans="1:28" s="200" customFormat="1" ht="17.25" customHeight="1" outlineLevel="1" x14ac:dyDescent="0.35">
      <c r="A189" s="1368"/>
      <c r="B189" s="75" t="s">
        <v>118</v>
      </c>
      <c r="C189" s="11"/>
      <c r="D189" s="11"/>
      <c r="E189" s="11"/>
      <c r="F189" s="11"/>
      <c r="G189" s="1672">
        <f>NPV($G$136,G187:AA187)</f>
        <v>0</v>
      </c>
      <c r="H189" s="169"/>
      <c r="I189" s="169"/>
      <c r="J189" s="169"/>
      <c r="K189" s="169"/>
      <c r="L189" s="169"/>
      <c r="M189" s="169"/>
      <c r="N189" s="169"/>
      <c r="O189" s="169"/>
      <c r="P189" s="169"/>
      <c r="Q189" s="169"/>
      <c r="R189" s="169"/>
      <c r="S189" s="169"/>
      <c r="T189" s="169"/>
      <c r="U189" s="169"/>
      <c r="V189" s="169"/>
      <c r="W189" s="169"/>
      <c r="X189" s="169"/>
      <c r="Y189" s="169"/>
      <c r="Z189" s="169"/>
      <c r="AA189" s="367"/>
      <c r="AB189" s="1504"/>
    </row>
    <row r="190" spans="1:28" s="200" customFormat="1" ht="5.25" customHeight="1" outlineLevel="1" thickBot="1" x14ac:dyDescent="0.4">
      <c r="A190" s="1368"/>
      <c r="B190" s="97"/>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1"/>
      <c r="AB190" s="1368"/>
    </row>
    <row r="191" spans="1:28" s="200" customFormat="1" x14ac:dyDescent="0.35">
      <c r="A191" s="1368"/>
      <c r="B191" s="1368"/>
      <c r="C191" s="1368"/>
      <c r="D191" s="1368"/>
      <c r="E191" s="1368"/>
      <c r="F191" s="1368"/>
      <c r="G191" s="1368"/>
      <c r="H191" s="1368"/>
      <c r="I191" s="1368"/>
      <c r="J191" s="1368"/>
      <c r="K191" s="1368"/>
      <c r="L191" s="1368"/>
      <c r="M191" s="1368"/>
      <c r="N191" s="1368"/>
      <c r="O191" s="1368"/>
      <c r="P191" s="1368"/>
      <c r="Q191" s="1368"/>
      <c r="R191" s="1368"/>
      <c r="S191" s="1368"/>
      <c r="T191" s="1368"/>
      <c r="U191" s="1368"/>
      <c r="V191" s="1368"/>
      <c r="W191" s="1368"/>
      <c r="X191" s="1368"/>
      <c r="Y191" s="1368"/>
      <c r="Z191" s="1368"/>
      <c r="AA191" s="1368"/>
      <c r="AB191" s="1368"/>
    </row>
    <row r="192" spans="1:28" s="200" customFormat="1" x14ac:dyDescent="0.35">
      <c r="A192" s="1368"/>
      <c r="B192" s="1368"/>
      <c r="C192" s="1368"/>
      <c r="D192" s="1368"/>
      <c r="E192" s="1368"/>
      <c r="F192" s="1368"/>
      <c r="G192" s="1368"/>
      <c r="H192" s="1368"/>
      <c r="I192" s="1368"/>
      <c r="J192" s="1368"/>
      <c r="K192" s="1368"/>
      <c r="L192" s="1368"/>
      <c r="M192" s="1368"/>
      <c r="N192" s="1368"/>
      <c r="O192" s="1368"/>
      <c r="P192" s="1368"/>
      <c r="Q192" s="1368"/>
      <c r="R192" s="1368"/>
      <c r="S192" s="1368"/>
      <c r="T192" s="1368"/>
      <c r="U192" s="1368"/>
      <c r="V192" s="1368"/>
      <c r="W192" s="1368"/>
      <c r="X192" s="1368"/>
      <c r="Y192" s="1368"/>
      <c r="Z192" s="1368"/>
      <c r="AA192" s="1368"/>
      <c r="AB192" s="1368"/>
    </row>
    <row r="193" spans="1:28" s="200" customFormat="1" x14ac:dyDescent="0.35">
      <c r="A193" s="1368"/>
      <c r="B193" s="1368"/>
      <c r="C193" s="1368"/>
      <c r="D193" s="1368"/>
      <c r="E193" s="1368"/>
      <c r="F193" s="1368"/>
      <c r="G193" s="1368"/>
      <c r="H193" s="1368"/>
      <c r="I193" s="1368"/>
      <c r="J193" s="1368"/>
      <c r="K193" s="1368"/>
      <c r="L193" s="1368"/>
      <c r="M193" s="1368"/>
      <c r="N193" s="1368"/>
      <c r="O193" s="1368"/>
      <c r="P193" s="1368"/>
      <c r="Q193" s="1368"/>
      <c r="R193" s="1368"/>
      <c r="S193" s="1368"/>
      <c r="T193" s="1368"/>
      <c r="U193" s="1368"/>
      <c r="V193" s="1368"/>
      <c r="W193" s="1368"/>
      <c r="X193" s="1368"/>
      <c r="Y193" s="1368"/>
      <c r="Z193" s="1368"/>
      <c r="AA193" s="1368"/>
      <c r="AB193" s="1368"/>
    </row>
    <row r="194" spans="1:28" s="199" customFormat="1" ht="12.75" customHeight="1" x14ac:dyDescent="0.4">
      <c r="A194" s="13" t="s">
        <v>225</v>
      </c>
      <c r="B194" s="13"/>
      <c r="C194" s="13"/>
      <c r="D194" s="13"/>
      <c r="E194" s="13"/>
      <c r="F194" s="13"/>
      <c r="G194" s="13"/>
      <c r="H194" s="13"/>
      <c r="I194" s="13"/>
      <c r="J194" s="14"/>
      <c r="K194" s="15"/>
      <c r="L194" s="15"/>
      <c r="M194" s="15"/>
      <c r="N194" s="15"/>
      <c r="O194" s="15"/>
      <c r="P194" s="15"/>
      <c r="Q194" s="15"/>
      <c r="R194" s="15"/>
      <c r="S194" s="15"/>
      <c r="T194" s="15"/>
      <c r="U194" s="15"/>
      <c r="V194" s="15"/>
      <c r="W194" s="15"/>
      <c r="X194" s="15"/>
      <c r="Y194" s="15"/>
      <c r="Z194" s="15"/>
      <c r="AA194" s="15"/>
      <c r="AB194" s="1363"/>
    </row>
    <row r="195" spans="1:28" s="200" customFormat="1" x14ac:dyDescent="0.35">
      <c r="A195" s="1368"/>
      <c r="B195" s="1368"/>
      <c r="C195" s="1368"/>
      <c r="D195" s="1368"/>
      <c r="E195" s="1368"/>
      <c r="F195" s="1368"/>
      <c r="G195" s="1368"/>
      <c r="H195" s="1368"/>
      <c r="I195" s="1368"/>
      <c r="J195" s="1368"/>
      <c r="K195" s="1368"/>
      <c r="L195" s="1368"/>
      <c r="M195" s="1368"/>
      <c r="N195" s="1368"/>
      <c r="O195" s="1368"/>
      <c r="P195" s="1368"/>
      <c r="Q195" s="1368"/>
      <c r="R195" s="1368"/>
      <c r="S195" s="1368"/>
      <c r="T195" s="1368"/>
      <c r="U195" s="1368"/>
      <c r="V195" s="1368"/>
      <c r="W195" s="1368"/>
      <c r="X195" s="1368"/>
      <c r="Y195" s="1368"/>
      <c r="Z195" s="1368"/>
      <c r="AA195" s="1368"/>
      <c r="AB195" s="1368"/>
    </row>
    <row r="196" spans="1:28" s="203" customFormat="1" ht="13.15" x14ac:dyDescent="0.4">
      <c r="A196" s="1364"/>
      <c r="B196" s="1501" t="s">
        <v>51</v>
      </c>
      <c r="C196" s="1483"/>
      <c r="D196" s="1483"/>
      <c r="E196" s="1484"/>
      <c r="F196" s="1484"/>
      <c r="G196" s="1484">
        <v>0</v>
      </c>
      <c r="H196" s="1484">
        <v>1</v>
      </c>
      <c r="I196" s="1484">
        <v>2</v>
      </c>
      <c r="J196" s="1484">
        <v>3</v>
      </c>
      <c r="K196" s="1484">
        <v>4</v>
      </c>
      <c r="L196" s="1484">
        <v>5</v>
      </c>
      <c r="M196" s="1484">
        <v>6</v>
      </c>
      <c r="N196" s="1484">
        <v>7</v>
      </c>
      <c r="O196" s="1484">
        <v>8</v>
      </c>
      <c r="P196" s="1484">
        <v>9</v>
      </c>
      <c r="Q196" s="1484">
        <v>10</v>
      </c>
      <c r="R196" s="1484">
        <v>11</v>
      </c>
      <c r="S196" s="1484">
        <v>12</v>
      </c>
      <c r="T196" s="1484">
        <v>13</v>
      </c>
      <c r="U196" s="1484">
        <v>14</v>
      </c>
      <c r="V196" s="1484">
        <v>15</v>
      </c>
      <c r="W196" s="1484">
        <v>16</v>
      </c>
      <c r="X196" s="1484">
        <v>17</v>
      </c>
      <c r="Y196" s="1484">
        <v>18</v>
      </c>
      <c r="Z196" s="1484">
        <v>19</v>
      </c>
      <c r="AA196" s="1484">
        <v>20</v>
      </c>
      <c r="AB196" s="1364"/>
    </row>
    <row r="197" spans="1:28" s="200" customFormat="1" ht="13.15" thickBot="1" x14ac:dyDescent="0.4">
      <c r="A197" s="1368"/>
      <c r="B197" s="1389"/>
      <c r="C197" s="1363"/>
      <c r="D197" s="1363"/>
      <c r="E197" s="1495"/>
      <c r="F197" s="1368"/>
      <c r="G197" s="1495"/>
      <c r="H197" s="1495"/>
      <c r="I197" s="1495"/>
      <c r="J197" s="1495"/>
      <c r="K197" s="1495"/>
      <c r="L197" s="1495"/>
      <c r="M197" s="1495"/>
      <c r="N197" s="1495"/>
      <c r="O197" s="1495"/>
      <c r="P197" s="1495"/>
      <c r="Q197" s="1495"/>
      <c r="R197" s="1495"/>
      <c r="S197" s="1495"/>
      <c r="T197" s="1495"/>
      <c r="U197" s="1495"/>
      <c r="V197" s="1495"/>
      <c r="W197" s="1495"/>
      <c r="X197" s="1495"/>
      <c r="Y197" s="1495"/>
      <c r="Z197" s="1495"/>
      <c r="AA197" s="1495"/>
      <c r="AB197" s="1368"/>
    </row>
    <row r="198" spans="1:28" s="200" customFormat="1" ht="13.15" x14ac:dyDescent="0.4">
      <c r="A198" s="1368"/>
      <c r="B198" s="40" t="s">
        <v>395</v>
      </c>
      <c r="C198" s="41"/>
      <c r="D198" s="41"/>
      <c r="E198" s="41"/>
      <c r="F198" s="41"/>
      <c r="G198" s="306"/>
      <c r="H198" s="306"/>
      <c r="I198" s="306"/>
      <c r="J198" s="306"/>
      <c r="K198" s="306"/>
      <c r="L198" s="306"/>
      <c r="M198" s="306"/>
      <c r="N198" s="306"/>
      <c r="O198" s="306"/>
      <c r="P198" s="306"/>
      <c r="Q198" s="306"/>
      <c r="R198" s="306"/>
      <c r="S198" s="306"/>
      <c r="T198" s="306"/>
      <c r="U198" s="306"/>
      <c r="V198" s="306"/>
      <c r="W198" s="306"/>
      <c r="X198" s="306"/>
      <c r="Y198" s="306"/>
      <c r="Z198" s="306"/>
      <c r="AA198" s="307"/>
      <c r="AB198" s="1368"/>
    </row>
    <row r="199" spans="1:28" s="200" customFormat="1" x14ac:dyDescent="0.35">
      <c r="A199" s="1368"/>
      <c r="B199" s="43"/>
      <c r="C199" s="44"/>
      <c r="D199" s="44"/>
      <c r="E199" s="44"/>
      <c r="F199" s="44"/>
      <c r="G199" s="308"/>
      <c r="H199" s="308"/>
      <c r="I199" s="308"/>
      <c r="J199" s="308"/>
      <c r="K199" s="308"/>
      <c r="L199" s="308"/>
      <c r="M199" s="308"/>
      <c r="N199" s="308"/>
      <c r="O199" s="308"/>
      <c r="P199" s="308"/>
      <c r="Q199" s="308"/>
      <c r="R199" s="308"/>
      <c r="S199" s="308"/>
      <c r="T199" s="308"/>
      <c r="U199" s="308"/>
      <c r="V199" s="308"/>
      <c r="W199" s="308"/>
      <c r="X199" s="308"/>
      <c r="Y199" s="308"/>
      <c r="Z199" s="308"/>
      <c r="AA199" s="309"/>
      <c r="AB199" s="1368"/>
    </row>
    <row r="200" spans="1:28" s="200" customFormat="1" ht="13.15" x14ac:dyDescent="0.4">
      <c r="A200" s="1368"/>
      <c r="B200" s="54" t="s">
        <v>220</v>
      </c>
      <c r="C200" s="44"/>
      <c r="D200" s="44"/>
      <c r="E200" s="44"/>
      <c r="F200" s="44"/>
      <c r="G200" s="308"/>
      <c r="H200" s="308"/>
      <c r="I200" s="308"/>
      <c r="J200" s="308"/>
      <c r="K200" s="308"/>
      <c r="L200" s="308"/>
      <c r="M200" s="308"/>
      <c r="N200" s="308"/>
      <c r="O200" s="308"/>
      <c r="P200" s="308"/>
      <c r="Q200" s="308"/>
      <c r="R200" s="308"/>
      <c r="S200" s="308"/>
      <c r="T200" s="308"/>
      <c r="U200" s="308"/>
      <c r="V200" s="308"/>
      <c r="W200" s="308"/>
      <c r="X200" s="308"/>
      <c r="Y200" s="308"/>
      <c r="Z200" s="308"/>
      <c r="AA200" s="309"/>
      <c r="AB200" s="1368"/>
    </row>
    <row r="201" spans="1:28" s="200" customFormat="1" x14ac:dyDescent="0.35">
      <c r="A201" s="1368"/>
      <c r="B201" s="43"/>
      <c r="C201" s="98" t="s">
        <v>61</v>
      </c>
      <c r="D201" s="37" t="s">
        <v>748</v>
      </c>
      <c r="E201" s="44"/>
      <c r="F201" s="44"/>
      <c r="G201" s="1686">
        <f>IF('III. Inputs, Renewable Energy'!$S$36&gt;0,IF('III. Inputs, Renewable Energy'!U288=0,0,((('III. Inputs, Renewable Energy'!U287+('III. Inputs, Renewable Energy'!U283*'III. Inputs, Renewable Energy'!U285*'III. Inputs, Renewable Energy'!U286))*('III. Inputs, Renewable Energy'!U14/'III. Inputs, Renewable Energy'!U288))*'III. Inputs, Renewable Energy'!S34*SUM('III. Inputs, Renewable Energy'!$S$36))),0)</f>
        <v>0</v>
      </c>
      <c r="H201" s="308"/>
      <c r="I201" s="308"/>
      <c r="J201" s="308"/>
      <c r="K201" s="308"/>
      <c r="L201" s="308"/>
      <c r="M201" s="308"/>
      <c r="N201" s="308"/>
      <c r="O201" s="308"/>
      <c r="P201" s="308"/>
      <c r="Q201" s="308"/>
      <c r="R201" s="308"/>
      <c r="S201" s="308"/>
      <c r="T201" s="308"/>
      <c r="U201" s="308"/>
      <c r="V201" s="308"/>
      <c r="W201" s="308"/>
      <c r="X201" s="308"/>
      <c r="Y201" s="308"/>
      <c r="Z201" s="308"/>
      <c r="AA201" s="309"/>
      <c r="AB201" s="1368"/>
    </row>
    <row r="202" spans="1:28" s="200" customFormat="1" x14ac:dyDescent="0.35">
      <c r="A202" s="1368"/>
      <c r="B202" s="43"/>
      <c r="C202" s="98" t="s">
        <v>62</v>
      </c>
      <c r="D202" s="37" t="s">
        <v>18</v>
      </c>
      <c r="E202" s="44"/>
      <c r="F202" s="44"/>
      <c r="G202" s="310">
        <f>SUM('III. Inputs, Renewable Energy'!$S$48)</f>
        <v>0</v>
      </c>
      <c r="H202" s="308"/>
      <c r="I202" s="308"/>
      <c r="J202" s="308"/>
      <c r="K202" s="308"/>
      <c r="L202" s="308"/>
      <c r="M202" s="308"/>
      <c r="N202" s="308"/>
      <c r="O202" s="308"/>
      <c r="P202" s="308"/>
      <c r="Q202" s="308"/>
      <c r="R202" s="308"/>
      <c r="S202" s="308"/>
      <c r="T202" s="308"/>
      <c r="U202" s="308"/>
      <c r="V202" s="308"/>
      <c r="W202" s="308"/>
      <c r="X202" s="308"/>
      <c r="Y202" s="308"/>
      <c r="Z202" s="308"/>
      <c r="AA202" s="309"/>
      <c r="AB202" s="1368"/>
    </row>
    <row r="203" spans="1:28" s="200" customFormat="1" x14ac:dyDescent="0.35">
      <c r="A203" s="1368"/>
      <c r="B203" s="43"/>
      <c r="C203" s="98" t="s">
        <v>63</v>
      </c>
      <c r="D203" s="37" t="s">
        <v>14</v>
      </c>
      <c r="E203" s="44"/>
      <c r="F203" s="44"/>
      <c r="G203" s="311">
        <f>SUM('III. Inputs, Renewable Energy'!$S$43)</f>
        <v>0</v>
      </c>
      <c r="H203" s="308"/>
      <c r="I203" s="308"/>
      <c r="J203" s="308"/>
      <c r="K203" s="308"/>
      <c r="L203" s="308"/>
      <c r="M203" s="308"/>
      <c r="N203" s="308"/>
      <c r="O203" s="308"/>
      <c r="P203" s="308"/>
      <c r="Q203" s="308"/>
      <c r="R203" s="308"/>
      <c r="S203" s="308"/>
      <c r="T203" s="308"/>
      <c r="U203" s="308"/>
      <c r="V203" s="308"/>
      <c r="W203" s="308"/>
      <c r="X203" s="308"/>
      <c r="Y203" s="308"/>
      <c r="Z203" s="308"/>
      <c r="AA203" s="309"/>
      <c r="AB203" s="1368"/>
    </row>
    <row r="204" spans="1:28" s="200" customFormat="1" x14ac:dyDescent="0.35">
      <c r="A204" s="1368"/>
      <c r="B204" s="43"/>
      <c r="C204" s="44"/>
      <c r="D204" s="44"/>
      <c r="E204" s="44"/>
      <c r="F204" s="44"/>
      <c r="G204" s="312"/>
      <c r="H204" s="312"/>
      <c r="I204" s="312"/>
      <c r="J204" s="312"/>
      <c r="K204" s="312"/>
      <c r="L204" s="312"/>
      <c r="M204" s="312"/>
      <c r="N204" s="312"/>
      <c r="O204" s="312"/>
      <c r="P204" s="312"/>
      <c r="Q204" s="312"/>
      <c r="R204" s="312"/>
      <c r="S204" s="312"/>
      <c r="T204" s="312"/>
      <c r="U204" s="312"/>
      <c r="V204" s="312"/>
      <c r="W204" s="312"/>
      <c r="X204" s="312"/>
      <c r="Y204" s="312"/>
      <c r="Z204" s="312"/>
      <c r="AA204" s="313"/>
      <c r="AB204" s="1504"/>
    </row>
    <row r="205" spans="1:28" s="200" customFormat="1" x14ac:dyDescent="0.35">
      <c r="A205" s="1368"/>
      <c r="B205" s="43"/>
      <c r="C205" s="99" t="s">
        <v>60</v>
      </c>
      <c r="D205" s="44"/>
      <c r="E205" s="44"/>
      <c r="F205" s="44"/>
      <c r="G205" s="312"/>
      <c r="H205" s="312"/>
      <c r="I205" s="312"/>
      <c r="J205" s="312"/>
      <c r="K205" s="312"/>
      <c r="L205" s="312"/>
      <c r="M205" s="312"/>
      <c r="N205" s="312"/>
      <c r="O205" s="312"/>
      <c r="P205" s="312"/>
      <c r="Q205" s="312"/>
      <c r="R205" s="312"/>
      <c r="S205" s="312"/>
      <c r="T205" s="312"/>
      <c r="U205" s="312"/>
      <c r="V205" s="312"/>
      <c r="W205" s="312"/>
      <c r="X205" s="312"/>
      <c r="Y205" s="312"/>
      <c r="Z205" s="312"/>
      <c r="AA205" s="313"/>
      <c r="AB205" s="1504"/>
    </row>
    <row r="206" spans="1:28" s="200" customFormat="1" x14ac:dyDescent="0.35">
      <c r="A206" s="1368"/>
      <c r="B206" s="43"/>
      <c r="C206" s="44" t="s">
        <v>66</v>
      </c>
      <c r="D206" s="44"/>
      <c r="E206" s="44"/>
      <c r="F206" s="44"/>
      <c r="G206" s="1686"/>
      <c r="H206" s="1686">
        <f>IF($G$201=0,0,IF(H$196&gt;$G$202,0,IPMT($G$203,H$196,$G$202,-$G$201)))</f>
        <v>0</v>
      </c>
      <c r="I206" s="1686">
        <f t="shared" ref="I206:AA206" si="54">IF($G$201=0,0,IF(I$196&gt;$G$202,0,IPMT($G$203,I$196,$G$202,-$G$201)))</f>
        <v>0</v>
      </c>
      <c r="J206" s="1686">
        <f t="shared" si="54"/>
        <v>0</v>
      </c>
      <c r="K206" s="1686">
        <f t="shared" si="54"/>
        <v>0</v>
      </c>
      <c r="L206" s="1686">
        <f t="shared" si="54"/>
        <v>0</v>
      </c>
      <c r="M206" s="1686">
        <f t="shared" si="54"/>
        <v>0</v>
      </c>
      <c r="N206" s="1686">
        <f t="shared" si="54"/>
        <v>0</v>
      </c>
      <c r="O206" s="1686">
        <f t="shared" si="54"/>
        <v>0</v>
      </c>
      <c r="P206" s="1686">
        <f t="shared" si="54"/>
        <v>0</v>
      </c>
      <c r="Q206" s="1686">
        <f t="shared" si="54"/>
        <v>0</v>
      </c>
      <c r="R206" s="1686">
        <f t="shared" si="54"/>
        <v>0</v>
      </c>
      <c r="S206" s="1686">
        <f t="shared" si="54"/>
        <v>0</v>
      </c>
      <c r="T206" s="1686">
        <f t="shared" si="54"/>
        <v>0</v>
      </c>
      <c r="U206" s="1686">
        <f t="shared" si="54"/>
        <v>0</v>
      </c>
      <c r="V206" s="1686">
        <f t="shared" si="54"/>
        <v>0</v>
      </c>
      <c r="W206" s="1686">
        <f t="shared" si="54"/>
        <v>0</v>
      </c>
      <c r="X206" s="1686">
        <f t="shared" si="54"/>
        <v>0</v>
      </c>
      <c r="Y206" s="1686">
        <f t="shared" si="54"/>
        <v>0</v>
      </c>
      <c r="Z206" s="1686">
        <f t="shared" si="54"/>
        <v>0</v>
      </c>
      <c r="AA206" s="1687">
        <f t="shared" si="54"/>
        <v>0</v>
      </c>
      <c r="AB206" s="1504"/>
    </row>
    <row r="207" spans="1:28" s="200" customFormat="1" x14ac:dyDescent="0.35">
      <c r="A207" s="1368"/>
      <c r="B207" s="43"/>
      <c r="C207" s="52" t="s">
        <v>65</v>
      </c>
      <c r="D207" s="52"/>
      <c r="E207" s="52"/>
      <c r="F207" s="52"/>
      <c r="G207" s="1688"/>
      <c r="H207" s="1688">
        <f>IF(G201=0,0, IF(H$196&gt;$G$202,0,PPMT($G$203,H$196,$G$202,-$G$201)))</f>
        <v>0</v>
      </c>
      <c r="I207" s="1688">
        <f>IF($G$201=0,0, IF(I$196&gt;$G$202,0,PPMT($G$203,I$196,$G$202,-$G$201)))</f>
        <v>0</v>
      </c>
      <c r="J207" s="1688">
        <f t="shared" ref="J207:AA207" si="55">IF($G$201=0,0, IF(J$196&gt;$G$202,0,PPMT($G$203,J$196,$G$202,-$G$201)))</f>
        <v>0</v>
      </c>
      <c r="K207" s="1688">
        <f t="shared" si="55"/>
        <v>0</v>
      </c>
      <c r="L207" s="1688">
        <f t="shared" si="55"/>
        <v>0</v>
      </c>
      <c r="M207" s="1688">
        <f t="shared" si="55"/>
        <v>0</v>
      </c>
      <c r="N207" s="1688">
        <f t="shared" si="55"/>
        <v>0</v>
      </c>
      <c r="O207" s="1688">
        <f t="shared" si="55"/>
        <v>0</v>
      </c>
      <c r="P207" s="1688">
        <f t="shared" si="55"/>
        <v>0</v>
      </c>
      <c r="Q207" s="1688">
        <f t="shared" si="55"/>
        <v>0</v>
      </c>
      <c r="R207" s="1688">
        <f t="shared" si="55"/>
        <v>0</v>
      </c>
      <c r="S207" s="1688">
        <f t="shared" si="55"/>
        <v>0</v>
      </c>
      <c r="T207" s="1688">
        <f t="shared" si="55"/>
        <v>0</v>
      </c>
      <c r="U207" s="1688">
        <f t="shared" si="55"/>
        <v>0</v>
      </c>
      <c r="V207" s="1688">
        <f t="shared" si="55"/>
        <v>0</v>
      </c>
      <c r="W207" s="1688">
        <f t="shared" si="55"/>
        <v>0</v>
      </c>
      <c r="X207" s="1688">
        <f t="shared" si="55"/>
        <v>0</v>
      </c>
      <c r="Y207" s="1688">
        <f t="shared" si="55"/>
        <v>0</v>
      </c>
      <c r="Z207" s="1688">
        <f t="shared" si="55"/>
        <v>0</v>
      </c>
      <c r="AA207" s="1689">
        <f t="shared" si="55"/>
        <v>0</v>
      </c>
      <c r="AB207" s="1504"/>
    </row>
    <row r="208" spans="1:28" s="200" customFormat="1" x14ac:dyDescent="0.35">
      <c r="A208" s="1368"/>
      <c r="B208" s="43"/>
      <c r="C208" s="44" t="s">
        <v>67</v>
      </c>
      <c r="D208" s="44"/>
      <c r="E208" s="44"/>
      <c r="F208" s="44"/>
      <c r="G208" s="1686"/>
      <c r="H208" s="1686">
        <f>SUM(H206:H207)</f>
        <v>0</v>
      </c>
      <c r="I208" s="1686">
        <f t="shared" ref="I208:AA208" si="56">SUM(I206:I207)</f>
        <v>0</v>
      </c>
      <c r="J208" s="1686">
        <f t="shared" si="56"/>
        <v>0</v>
      </c>
      <c r="K208" s="1686">
        <f t="shared" si="56"/>
        <v>0</v>
      </c>
      <c r="L208" s="1686">
        <f t="shared" si="56"/>
        <v>0</v>
      </c>
      <c r="M208" s="1686">
        <f t="shared" si="56"/>
        <v>0</v>
      </c>
      <c r="N208" s="1686">
        <f t="shared" si="56"/>
        <v>0</v>
      </c>
      <c r="O208" s="1686">
        <f t="shared" si="56"/>
        <v>0</v>
      </c>
      <c r="P208" s="1686">
        <f t="shared" si="56"/>
        <v>0</v>
      </c>
      <c r="Q208" s="1686">
        <f t="shared" si="56"/>
        <v>0</v>
      </c>
      <c r="R208" s="1686">
        <f t="shared" si="56"/>
        <v>0</v>
      </c>
      <c r="S208" s="1686">
        <f t="shared" si="56"/>
        <v>0</v>
      </c>
      <c r="T208" s="1686">
        <f t="shared" si="56"/>
        <v>0</v>
      </c>
      <c r="U208" s="1686">
        <f t="shared" si="56"/>
        <v>0</v>
      </c>
      <c r="V208" s="1686">
        <f t="shared" si="56"/>
        <v>0</v>
      </c>
      <c r="W208" s="1686">
        <f t="shared" si="56"/>
        <v>0</v>
      </c>
      <c r="X208" s="1686">
        <f t="shared" si="56"/>
        <v>0</v>
      </c>
      <c r="Y208" s="1686">
        <f t="shared" si="56"/>
        <v>0</v>
      </c>
      <c r="Z208" s="1686">
        <f t="shared" si="56"/>
        <v>0</v>
      </c>
      <c r="AA208" s="1687">
        <f t="shared" si="56"/>
        <v>0</v>
      </c>
      <c r="AB208" s="1504"/>
    </row>
    <row r="209" spans="1:28" s="200" customFormat="1" x14ac:dyDescent="0.35">
      <c r="A209" s="1368"/>
      <c r="B209" s="43"/>
      <c r="C209" s="44"/>
      <c r="D209" s="44"/>
      <c r="E209" s="44"/>
      <c r="F209" s="44"/>
      <c r="G209" s="1686"/>
      <c r="H209" s="1686"/>
      <c r="I209" s="1686"/>
      <c r="J209" s="1686"/>
      <c r="K209" s="1686"/>
      <c r="L209" s="1686"/>
      <c r="M209" s="1686"/>
      <c r="N209" s="1686"/>
      <c r="O209" s="1686"/>
      <c r="P209" s="1686"/>
      <c r="Q209" s="1686"/>
      <c r="R209" s="1686"/>
      <c r="S209" s="1686"/>
      <c r="T209" s="1686"/>
      <c r="U209" s="1686"/>
      <c r="V209" s="1686"/>
      <c r="W209" s="1686"/>
      <c r="X209" s="1686"/>
      <c r="Y209" s="1686"/>
      <c r="Z209" s="1686"/>
      <c r="AA209" s="1687"/>
      <c r="AB209" s="1504"/>
    </row>
    <row r="210" spans="1:28" s="200" customFormat="1" x14ac:dyDescent="0.35">
      <c r="A210" s="1368"/>
      <c r="B210" s="43"/>
      <c r="C210" s="100" t="s">
        <v>58</v>
      </c>
      <c r="D210" s="44"/>
      <c r="E210" s="44"/>
      <c r="F210" s="44"/>
      <c r="G210" s="1686"/>
      <c r="H210" s="1686"/>
      <c r="I210" s="1686"/>
      <c r="J210" s="1686"/>
      <c r="K210" s="1686"/>
      <c r="L210" s="1686"/>
      <c r="M210" s="1686"/>
      <c r="N210" s="1686"/>
      <c r="O210" s="1686"/>
      <c r="P210" s="1686"/>
      <c r="Q210" s="1686"/>
      <c r="R210" s="1686"/>
      <c r="S210" s="1686"/>
      <c r="T210" s="1686"/>
      <c r="U210" s="1686"/>
      <c r="V210" s="1686"/>
      <c r="W210" s="1686"/>
      <c r="X210" s="1686"/>
      <c r="Y210" s="1686"/>
      <c r="Z210" s="1686"/>
      <c r="AA210" s="1687"/>
      <c r="AB210" s="1504"/>
    </row>
    <row r="211" spans="1:28" s="200" customFormat="1" x14ac:dyDescent="0.35">
      <c r="A211" s="1368"/>
      <c r="B211" s="43"/>
      <c r="C211" s="44" t="s">
        <v>68</v>
      </c>
      <c r="D211" s="44"/>
      <c r="E211" s="44"/>
      <c r="F211" s="44"/>
      <c r="G211" s="1686">
        <v>0</v>
      </c>
      <c r="H211" s="1686">
        <f t="shared" ref="H211:AA211" si="57">G214</f>
        <v>0</v>
      </c>
      <c r="I211" s="1686">
        <f t="shared" si="57"/>
        <v>0</v>
      </c>
      <c r="J211" s="1686">
        <f t="shared" si="57"/>
        <v>0</v>
      </c>
      <c r="K211" s="1686">
        <f t="shared" si="57"/>
        <v>0</v>
      </c>
      <c r="L211" s="1686">
        <f t="shared" si="57"/>
        <v>0</v>
      </c>
      <c r="M211" s="1686">
        <f t="shared" si="57"/>
        <v>0</v>
      </c>
      <c r="N211" s="1686">
        <f t="shared" si="57"/>
        <v>0</v>
      </c>
      <c r="O211" s="1686">
        <f t="shared" si="57"/>
        <v>0</v>
      </c>
      <c r="P211" s="1686">
        <f t="shared" si="57"/>
        <v>0</v>
      </c>
      <c r="Q211" s="1686">
        <f t="shared" si="57"/>
        <v>0</v>
      </c>
      <c r="R211" s="1686">
        <f t="shared" si="57"/>
        <v>0</v>
      </c>
      <c r="S211" s="1686">
        <f t="shared" si="57"/>
        <v>0</v>
      </c>
      <c r="T211" s="1686">
        <f t="shared" si="57"/>
        <v>0</v>
      </c>
      <c r="U211" s="1686">
        <f t="shared" si="57"/>
        <v>0</v>
      </c>
      <c r="V211" s="1686">
        <f t="shared" si="57"/>
        <v>0</v>
      </c>
      <c r="W211" s="1686">
        <f t="shared" si="57"/>
        <v>0</v>
      </c>
      <c r="X211" s="1686">
        <f t="shared" si="57"/>
        <v>0</v>
      </c>
      <c r="Y211" s="1686">
        <f t="shared" si="57"/>
        <v>0</v>
      </c>
      <c r="Z211" s="1686">
        <f t="shared" si="57"/>
        <v>0</v>
      </c>
      <c r="AA211" s="1687">
        <f t="shared" si="57"/>
        <v>0</v>
      </c>
      <c r="AB211" s="1504"/>
    </row>
    <row r="212" spans="1:28" s="200" customFormat="1" x14ac:dyDescent="0.35">
      <c r="A212" s="1368"/>
      <c r="B212" s="43"/>
      <c r="C212" s="44" t="s">
        <v>69</v>
      </c>
      <c r="D212" s="44"/>
      <c r="E212" s="44"/>
      <c r="F212" s="44"/>
      <c r="G212" s="1686">
        <f>G201</f>
        <v>0</v>
      </c>
      <c r="H212" s="1686">
        <v>0</v>
      </c>
      <c r="I212" s="1686">
        <v>0</v>
      </c>
      <c r="J212" s="1686">
        <v>0</v>
      </c>
      <c r="K212" s="1686">
        <v>0</v>
      </c>
      <c r="L212" s="1686">
        <v>0</v>
      </c>
      <c r="M212" s="1686">
        <v>0</v>
      </c>
      <c r="N212" s="1686">
        <v>0</v>
      </c>
      <c r="O212" s="1686">
        <v>0</v>
      </c>
      <c r="P212" s="1686">
        <v>0</v>
      </c>
      <c r="Q212" s="1686">
        <v>0</v>
      </c>
      <c r="R212" s="1686">
        <v>0</v>
      </c>
      <c r="S212" s="1686">
        <v>0</v>
      </c>
      <c r="T212" s="1686">
        <v>0</v>
      </c>
      <c r="U212" s="1686">
        <v>0</v>
      </c>
      <c r="V212" s="1686">
        <v>0</v>
      </c>
      <c r="W212" s="1686">
        <v>0</v>
      </c>
      <c r="X212" s="1686">
        <v>0</v>
      </c>
      <c r="Y212" s="1686">
        <v>0</v>
      </c>
      <c r="Z212" s="1686">
        <v>0</v>
      </c>
      <c r="AA212" s="1687">
        <v>0</v>
      </c>
      <c r="AB212" s="1504"/>
    </row>
    <row r="213" spans="1:28" s="200" customFormat="1" x14ac:dyDescent="0.35">
      <c r="A213" s="1368"/>
      <c r="B213" s="43"/>
      <c r="C213" s="52" t="s">
        <v>70</v>
      </c>
      <c r="D213" s="52"/>
      <c r="E213" s="52"/>
      <c r="F213" s="52"/>
      <c r="G213" s="1688">
        <v>0</v>
      </c>
      <c r="H213" s="1688">
        <f t="shared" ref="H213:AA213" si="58">-H207</f>
        <v>0</v>
      </c>
      <c r="I213" s="1688">
        <f t="shared" si="58"/>
        <v>0</v>
      </c>
      <c r="J213" s="1688">
        <f t="shared" si="58"/>
        <v>0</v>
      </c>
      <c r="K213" s="1688">
        <f t="shared" si="58"/>
        <v>0</v>
      </c>
      <c r="L213" s="1688">
        <f t="shared" si="58"/>
        <v>0</v>
      </c>
      <c r="M213" s="1688">
        <f t="shared" si="58"/>
        <v>0</v>
      </c>
      <c r="N213" s="1688">
        <f t="shared" si="58"/>
        <v>0</v>
      </c>
      <c r="O213" s="1688">
        <f t="shared" si="58"/>
        <v>0</v>
      </c>
      <c r="P213" s="1688">
        <f t="shared" si="58"/>
        <v>0</v>
      </c>
      <c r="Q213" s="1688">
        <f t="shared" si="58"/>
        <v>0</v>
      </c>
      <c r="R213" s="1688">
        <f t="shared" si="58"/>
        <v>0</v>
      </c>
      <c r="S213" s="1688">
        <f t="shared" si="58"/>
        <v>0</v>
      </c>
      <c r="T213" s="1688">
        <f t="shared" si="58"/>
        <v>0</v>
      </c>
      <c r="U213" s="1688">
        <f t="shared" si="58"/>
        <v>0</v>
      </c>
      <c r="V213" s="1688">
        <f t="shared" si="58"/>
        <v>0</v>
      </c>
      <c r="W213" s="1688">
        <f t="shared" si="58"/>
        <v>0</v>
      </c>
      <c r="X213" s="1688">
        <f t="shared" si="58"/>
        <v>0</v>
      </c>
      <c r="Y213" s="1688">
        <f t="shared" si="58"/>
        <v>0</v>
      </c>
      <c r="Z213" s="1688">
        <f t="shared" si="58"/>
        <v>0</v>
      </c>
      <c r="AA213" s="1689">
        <f t="shared" si="58"/>
        <v>0</v>
      </c>
      <c r="AB213" s="1504"/>
    </row>
    <row r="214" spans="1:28" s="200" customFormat="1" x14ac:dyDescent="0.35">
      <c r="A214" s="1368"/>
      <c r="B214" s="43"/>
      <c r="C214" s="44" t="s">
        <v>59</v>
      </c>
      <c r="D214" s="44"/>
      <c r="E214" s="44"/>
      <c r="F214" s="44"/>
      <c r="G214" s="1686">
        <f t="shared" ref="G214:AA214" si="59">SUM(G211:G213)</f>
        <v>0</v>
      </c>
      <c r="H214" s="1686">
        <f t="shared" si="59"/>
        <v>0</v>
      </c>
      <c r="I214" s="1686">
        <f t="shared" si="59"/>
        <v>0</v>
      </c>
      <c r="J214" s="1686">
        <f t="shared" si="59"/>
        <v>0</v>
      </c>
      <c r="K214" s="1686">
        <f t="shared" si="59"/>
        <v>0</v>
      </c>
      <c r="L214" s="1686">
        <f t="shared" si="59"/>
        <v>0</v>
      </c>
      <c r="M214" s="1686">
        <f t="shared" si="59"/>
        <v>0</v>
      </c>
      <c r="N214" s="1686">
        <f t="shared" si="59"/>
        <v>0</v>
      </c>
      <c r="O214" s="1686">
        <f t="shared" si="59"/>
        <v>0</v>
      </c>
      <c r="P214" s="1686">
        <f t="shared" si="59"/>
        <v>0</v>
      </c>
      <c r="Q214" s="1686">
        <f t="shared" si="59"/>
        <v>0</v>
      </c>
      <c r="R214" s="1686">
        <f t="shared" si="59"/>
        <v>0</v>
      </c>
      <c r="S214" s="1686">
        <f t="shared" si="59"/>
        <v>0</v>
      </c>
      <c r="T214" s="1686">
        <f t="shared" si="59"/>
        <v>0</v>
      </c>
      <c r="U214" s="1686">
        <f t="shared" si="59"/>
        <v>0</v>
      </c>
      <c r="V214" s="1686">
        <f t="shared" si="59"/>
        <v>0</v>
      </c>
      <c r="W214" s="1686">
        <f t="shared" si="59"/>
        <v>0</v>
      </c>
      <c r="X214" s="1686">
        <f t="shared" si="59"/>
        <v>0</v>
      </c>
      <c r="Y214" s="1686">
        <f t="shared" si="59"/>
        <v>0</v>
      </c>
      <c r="Z214" s="1686">
        <f t="shared" si="59"/>
        <v>0</v>
      </c>
      <c r="AA214" s="1687">
        <f t="shared" si="59"/>
        <v>0</v>
      </c>
      <c r="AB214" s="1504"/>
    </row>
    <row r="215" spans="1:28" s="200" customFormat="1" x14ac:dyDescent="0.35">
      <c r="A215" s="1368"/>
      <c r="B215" s="43"/>
      <c r="C215" s="44"/>
      <c r="D215" s="44"/>
      <c r="E215" s="44"/>
      <c r="F215" s="44"/>
      <c r="G215" s="1686"/>
      <c r="H215" s="1686"/>
      <c r="I215" s="1686"/>
      <c r="J215" s="1686"/>
      <c r="K215" s="1686"/>
      <c r="L215" s="1686"/>
      <c r="M215" s="1686"/>
      <c r="N215" s="1686"/>
      <c r="O215" s="1686"/>
      <c r="P215" s="1686"/>
      <c r="Q215" s="1686"/>
      <c r="R215" s="1686"/>
      <c r="S215" s="1686"/>
      <c r="T215" s="1686"/>
      <c r="U215" s="1686"/>
      <c r="V215" s="1686"/>
      <c r="W215" s="1686"/>
      <c r="X215" s="1686"/>
      <c r="Y215" s="1686"/>
      <c r="Z215" s="1686"/>
      <c r="AA215" s="1687"/>
      <c r="AB215" s="1504"/>
    </row>
    <row r="216" spans="1:28" s="200" customFormat="1" x14ac:dyDescent="0.35">
      <c r="A216" s="1368"/>
      <c r="B216" s="43"/>
      <c r="C216" s="100" t="s">
        <v>64</v>
      </c>
      <c r="D216" s="44"/>
      <c r="E216" s="44"/>
      <c r="F216" s="44"/>
      <c r="G216" s="1686"/>
      <c r="H216" s="1686"/>
      <c r="I216" s="1686"/>
      <c r="J216" s="1686"/>
      <c r="K216" s="1686"/>
      <c r="L216" s="1686"/>
      <c r="M216" s="1686"/>
      <c r="N216" s="1686"/>
      <c r="O216" s="1686"/>
      <c r="P216" s="1686"/>
      <c r="Q216" s="1686"/>
      <c r="R216" s="1686"/>
      <c r="S216" s="1686"/>
      <c r="T216" s="1686"/>
      <c r="U216" s="1686"/>
      <c r="V216" s="1686"/>
      <c r="W216" s="1686"/>
      <c r="X216" s="1686"/>
      <c r="Y216" s="1686"/>
      <c r="Z216" s="1686"/>
      <c r="AA216" s="1687"/>
      <c r="AB216" s="1504"/>
    </row>
    <row r="217" spans="1:28" s="200" customFormat="1" x14ac:dyDescent="0.35">
      <c r="A217" s="1368"/>
      <c r="B217" s="43"/>
      <c r="C217" s="44" t="str">
        <f>'II. Inputs, Baseline Energy Mix'!E78</f>
        <v>Front-end Fee</v>
      </c>
      <c r="D217" s="44"/>
      <c r="E217" s="44"/>
      <c r="F217" s="44"/>
      <c r="G217" s="1686"/>
      <c r="H217" s="1686">
        <f>IF($G$201&gt;0, $G$201*'III. Inputs, Renewable Energy'!$S$53/10000,0)</f>
        <v>0</v>
      </c>
      <c r="I217" s="1686">
        <v>0</v>
      </c>
      <c r="J217" s="1686">
        <v>0</v>
      </c>
      <c r="K217" s="1686">
        <v>0</v>
      </c>
      <c r="L217" s="1686">
        <v>0</v>
      </c>
      <c r="M217" s="1686">
        <v>0</v>
      </c>
      <c r="N217" s="1686">
        <v>0</v>
      </c>
      <c r="O217" s="1686">
        <v>0</v>
      </c>
      <c r="P217" s="1686">
        <v>0</v>
      </c>
      <c r="Q217" s="1686">
        <v>0</v>
      </c>
      <c r="R217" s="1686">
        <v>0</v>
      </c>
      <c r="S217" s="1686">
        <v>0</v>
      </c>
      <c r="T217" s="1686">
        <v>0</v>
      </c>
      <c r="U217" s="1686">
        <v>0</v>
      </c>
      <c r="V217" s="1686">
        <v>0</v>
      </c>
      <c r="W217" s="1686">
        <v>0</v>
      </c>
      <c r="X217" s="1686">
        <v>0</v>
      </c>
      <c r="Y217" s="1686">
        <v>0</v>
      </c>
      <c r="Z217" s="1686">
        <v>0</v>
      </c>
      <c r="AA217" s="1687">
        <v>0</v>
      </c>
      <c r="AB217" s="1504"/>
    </row>
    <row r="218" spans="1:28" s="200" customFormat="1" x14ac:dyDescent="0.35">
      <c r="A218" s="1368"/>
      <c r="B218" s="43"/>
      <c r="C218" s="44"/>
      <c r="D218" s="44"/>
      <c r="E218" s="44"/>
      <c r="F218" s="44"/>
      <c r="G218" s="308"/>
      <c r="H218" s="308"/>
      <c r="I218" s="308"/>
      <c r="J218" s="308"/>
      <c r="K218" s="308"/>
      <c r="L218" s="308"/>
      <c r="M218" s="308"/>
      <c r="N218" s="308"/>
      <c r="O218" s="308"/>
      <c r="P218" s="308"/>
      <c r="Q218" s="308"/>
      <c r="R218" s="308"/>
      <c r="S218" s="308"/>
      <c r="T218" s="308"/>
      <c r="U218" s="308"/>
      <c r="V218" s="308"/>
      <c r="W218" s="308"/>
      <c r="X218" s="308"/>
      <c r="Y218" s="308"/>
      <c r="Z218" s="308"/>
      <c r="AA218" s="309"/>
      <c r="AB218" s="1368"/>
    </row>
    <row r="219" spans="1:28" s="200" customFormat="1" ht="13.15" x14ac:dyDescent="0.4">
      <c r="A219" s="1368"/>
      <c r="B219" s="54" t="s">
        <v>151</v>
      </c>
      <c r="C219" s="44"/>
      <c r="D219" s="44"/>
      <c r="E219" s="44"/>
      <c r="F219" s="44"/>
      <c r="G219" s="308"/>
      <c r="H219" s="308"/>
      <c r="I219" s="308"/>
      <c r="J219" s="308"/>
      <c r="K219" s="308"/>
      <c r="L219" s="308"/>
      <c r="M219" s="308"/>
      <c r="N219" s="308"/>
      <c r="O219" s="308"/>
      <c r="P219" s="308"/>
      <c r="Q219" s="308"/>
      <c r="R219" s="308"/>
      <c r="S219" s="308"/>
      <c r="T219" s="308"/>
      <c r="U219" s="308"/>
      <c r="V219" s="308"/>
      <c r="W219" s="308"/>
      <c r="X219" s="308"/>
      <c r="Y219" s="308"/>
      <c r="Z219" s="308"/>
      <c r="AA219" s="309"/>
      <c r="AB219" s="1368"/>
    </row>
    <row r="220" spans="1:28" s="200" customFormat="1" x14ac:dyDescent="0.35">
      <c r="A220" s="1368"/>
      <c r="B220" s="43"/>
      <c r="C220" s="98" t="s">
        <v>61</v>
      </c>
      <c r="D220" s="37" t="s">
        <v>748</v>
      </c>
      <c r="E220" s="44"/>
      <c r="F220" s="44"/>
      <c r="G220" s="1686">
        <f>IF('III. Inputs, Renewable Energy'!$S$37&gt;0,IF('III. Inputs, Renewable Energy'!U288=0,0,((('III. Inputs, Renewable Energy'!U287+('III. Inputs, Renewable Energy'!U283*'III. Inputs, Renewable Energy'!U285*'III. Inputs, Renewable Energy'!U286))*('III. Inputs, Renewable Energy'!U14/'III. Inputs, Renewable Energy'!U288))*'III. Inputs, Renewable Energy'!S34*SUM('III. Inputs, Renewable Energy'!$S$37))),0)</f>
        <v>0</v>
      </c>
      <c r="H220" s="308"/>
      <c r="I220" s="308"/>
      <c r="J220" s="308"/>
      <c r="K220" s="308"/>
      <c r="L220" s="308"/>
      <c r="M220" s="308"/>
      <c r="N220" s="308"/>
      <c r="O220" s="308"/>
      <c r="P220" s="308"/>
      <c r="Q220" s="308"/>
      <c r="R220" s="308"/>
      <c r="S220" s="308"/>
      <c r="T220" s="308"/>
      <c r="U220" s="308"/>
      <c r="V220" s="308"/>
      <c r="W220" s="308"/>
      <c r="X220" s="308"/>
      <c r="Y220" s="308"/>
      <c r="Z220" s="308"/>
      <c r="AA220" s="309"/>
      <c r="AB220" s="1368"/>
    </row>
    <row r="221" spans="1:28" s="200" customFormat="1" x14ac:dyDescent="0.35">
      <c r="A221" s="1368"/>
      <c r="B221" s="43"/>
      <c r="C221" s="98" t="s">
        <v>62</v>
      </c>
      <c r="D221" s="37" t="s">
        <v>18</v>
      </c>
      <c r="E221" s="44"/>
      <c r="F221" s="44"/>
      <c r="G221" s="310">
        <f>SUM('III. Inputs, Renewable Energy'!$S$49)</f>
        <v>0</v>
      </c>
      <c r="H221" s="308"/>
      <c r="I221" s="308"/>
      <c r="J221" s="308"/>
      <c r="K221" s="308"/>
      <c r="L221" s="308"/>
      <c r="M221" s="308"/>
      <c r="N221" s="308"/>
      <c r="O221" s="308"/>
      <c r="P221" s="308"/>
      <c r="Q221" s="308"/>
      <c r="R221" s="308"/>
      <c r="S221" s="308"/>
      <c r="T221" s="308"/>
      <c r="U221" s="308"/>
      <c r="V221" s="308"/>
      <c r="W221" s="308"/>
      <c r="X221" s="308"/>
      <c r="Y221" s="308"/>
      <c r="Z221" s="308"/>
      <c r="AA221" s="309"/>
      <c r="AB221" s="1368"/>
    </row>
    <row r="222" spans="1:28" s="200" customFormat="1" x14ac:dyDescent="0.35">
      <c r="A222" s="1368"/>
      <c r="B222" s="43"/>
      <c r="C222" s="98" t="s">
        <v>63</v>
      </c>
      <c r="D222" s="37" t="s">
        <v>14</v>
      </c>
      <c r="E222" s="44"/>
      <c r="F222" s="44"/>
      <c r="G222" s="311">
        <f>SUM('III. Inputs, Renewable Energy'!$S$44)</f>
        <v>0</v>
      </c>
      <c r="H222" s="308"/>
      <c r="I222" s="308"/>
      <c r="J222" s="308"/>
      <c r="K222" s="308"/>
      <c r="L222" s="308"/>
      <c r="M222" s="308"/>
      <c r="N222" s="308"/>
      <c r="O222" s="308"/>
      <c r="P222" s="308"/>
      <c r="Q222" s="308"/>
      <c r="R222" s="308"/>
      <c r="S222" s="308"/>
      <c r="T222" s="308"/>
      <c r="U222" s="308"/>
      <c r="V222" s="308"/>
      <c r="W222" s="308"/>
      <c r="X222" s="308"/>
      <c r="Y222" s="308"/>
      <c r="Z222" s="308"/>
      <c r="AA222" s="309"/>
      <c r="AB222" s="1368"/>
    </row>
    <row r="223" spans="1:28" s="200" customFormat="1" x14ac:dyDescent="0.35">
      <c r="A223" s="1368"/>
      <c r="B223" s="43"/>
      <c r="C223" s="98" t="s">
        <v>204</v>
      </c>
      <c r="D223" s="37" t="s">
        <v>14</v>
      </c>
      <c r="E223" s="44"/>
      <c r="F223" s="44"/>
      <c r="G223" s="314">
        <f>SUM('III. Inputs, Renewable Energy'!$S$222)</f>
        <v>0</v>
      </c>
      <c r="H223" s="308"/>
      <c r="I223" s="308"/>
      <c r="J223" s="308"/>
      <c r="K223" s="308"/>
      <c r="L223" s="308"/>
      <c r="M223" s="308"/>
      <c r="N223" s="308"/>
      <c r="O223" s="308"/>
      <c r="P223" s="308"/>
      <c r="Q223" s="308"/>
      <c r="R223" s="308"/>
      <c r="S223" s="308"/>
      <c r="T223" s="308"/>
      <c r="U223" s="308"/>
      <c r="V223" s="308"/>
      <c r="W223" s="308"/>
      <c r="X223" s="308"/>
      <c r="Y223" s="308"/>
      <c r="Z223" s="308"/>
      <c r="AA223" s="309"/>
      <c r="AB223" s="1368"/>
    </row>
    <row r="224" spans="1:28" s="200" customFormat="1" x14ac:dyDescent="0.35">
      <c r="A224" s="1368"/>
      <c r="B224" s="43"/>
      <c r="C224" s="98" t="s">
        <v>178</v>
      </c>
      <c r="D224" s="37" t="s">
        <v>18</v>
      </c>
      <c r="E224" s="44"/>
      <c r="F224" s="44"/>
      <c r="G224" s="315">
        <f>'III. Inputs, Renewable Energy'!$S$223</f>
        <v>0</v>
      </c>
      <c r="H224" s="308"/>
      <c r="I224" s="308"/>
      <c r="J224" s="308"/>
      <c r="K224" s="308"/>
      <c r="L224" s="308"/>
      <c r="M224" s="308"/>
      <c r="N224" s="308"/>
      <c r="O224" s="308"/>
      <c r="P224" s="308"/>
      <c r="Q224" s="308"/>
      <c r="R224" s="308"/>
      <c r="S224" s="308"/>
      <c r="T224" s="308"/>
      <c r="U224" s="308"/>
      <c r="V224" s="308"/>
      <c r="W224" s="308"/>
      <c r="X224" s="308"/>
      <c r="Y224" s="308"/>
      <c r="Z224" s="308"/>
      <c r="AA224" s="309"/>
      <c r="AB224" s="1368"/>
    </row>
    <row r="225" spans="1:28" s="200" customFormat="1" x14ac:dyDescent="0.35">
      <c r="A225" s="1368"/>
      <c r="B225" s="43"/>
      <c r="C225" s="44"/>
      <c r="D225" s="44"/>
      <c r="E225" s="44"/>
      <c r="F225" s="44"/>
      <c r="G225" s="308"/>
      <c r="H225" s="308"/>
      <c r="I225" s="308"/>
      <c r="J225" s="308"/>
      <c r="K225" s="308"/>
      <c r="L225" s="308"/>
      <c r="M225" s="308"/>
      <c r="N225" s="308"/>
      <c r="O225" s="308"/>
      <c r="P225" s="308"/>
      <c r="Q225" s="308"/>
      <c r="R225" s="308"/>
      <c r="S225" s="308"/>
      <c r="T225" s="308"/>
      <c r="U225" s="308"/>
      <c r="V225" s="308"/>
      <c r="W225" s="308"/>
      <c r="X225" s="308"/>
      <c r="Y225" s="308"/>
      <c r="Z225" s="308"/>
      <c r="AA225" s="309"/>
      <c r="AB225" s="1368"/>
    </row>
    <row r="226" spans="1:28" s="200" customFormat="1" x14ac:dyDescent="0.35">
      <c r="A226" s="1368"/>
      <c r="B226" s="43"/>
      <c r="C226" s="99" t="s">
        <v>60</v>
      </c>
      <c r="D226" s="44"/>
      <c r="E226" s="44"/>
      <c r="F226" s="44"/>
      <c r="G226" s="312"/>
      <c r="H226" s="312"/>
      <c r="I226" s="312"/>
      <c r="J226" s="312"/>
      <c r="K226" s="312"/>
      <c r="L226" s="312"/>
      <c r="M226" s="312"/>
      <c r="N226" s="312"/>
      <c r="O226" s="312"/>
      <c r="P226" s="312"/>
      <c r="Q226" s="312"/>
      <c r="R226" s="312"/>
      <c r="S226" s="312"/>
      <c r="T226" s="312"/>
      <c r="U226" s="312"/>
      <c r="V226" s="312"/>
      <c r="W226" s="312"/>
      <c r="X226" s="312"/>
      <c r="Y226" s="312"/>
      <c r="Z226" s="312"/>
      <c r="AA226" s="313"/>
      <c r="AB226" s="1504"/>
    </row>
    <row r="227" spans="1:28" s="200" customFormat="1" x14ac:dyDescent="0.35">
      <c r="A227" s="1368"/>
      <c r="B227" s="43"/>
      <c r="C227" s="44" t="s">
        <v>66</v>
      </c>
      <c r="D227" s="44"/>
      <c r="E227" s="44"/>
      <c r="F227" s="44"/>
      <c r="G227" s="1686"/>
      <c r="H227" s="1686">
        <f>IF($G$220=0,0,IF(H$196&gt;$G$221,0,IPMT($G$222,H$196,$G$221,-$G$220)))</f>
        <v>0</v>
      </c>
      <c r="I227" s="1686">
        <f t="shared" ref="I227:AA227" si="60">IF($G$220=0,0,IF(I$196&gt;$G$221,0,IPMT($G$222,I$196,$G$221,-$G$220)))</f>
        <v>0</v>
      </c>
      <c r="J227" s="1686">
        <f t="shared" si="60"/>
        <v>0</v>
      </c>
      <c r="K227" s="1686">
        <f t="shared" si="60"/>
        <v>0</v>
      </c>
      <c r="L227" s="1686">
        <f t="shared" si="60"/>
        <v>0</v>
      </c>
      <c r="M227" s="1686">
        <f t="shared" si="60"/>
        <v>0</v>
      </c>
      <c r="N227" s="1686">
        <f t="shared" si="60"/>
        <v>0</v>
      </c>
      <c r="O227" s="1686">
        <f t="shared" si="60"/>
        <v>0</v>
      </c>
      <c r="P227" s="1686">
        <f t="shared" si="60"/>
        <v>0</v>
      </c>
      <c r="Q227" s="1686">
        <f t="shared" si="60"/>
        <v>0</v>
      </c>
      <c r="R227" s="1686">
        <f t="shared" si="60"/>
        <v>0</v>
      </c>
      <c r="S227" s="1686">
        <f t="shared" si="60"/>
        <v>0</v>
      </c>
      <c r="T227" s="1686">
        <f t="shared" si="60"/>
        <v>0</v>
      </c>
      <c r="U227" s="1686">
        <f t="shared" si="60"/>
        <v>0</v>
      </c>
      <c r="V227" s="1686">
        <f t="shared" si="60"/>
        <v>0</v>
      </c>
      <c r="W227" s="1686">
        <f t="shared" si="60"/>
        <v>0</v>
      </c>
      <c r="X227" s="1686">
        <f t="shared" si="60"/>
        <v>0</v>
      </c>
      <c r="Y227" s="1686">
        <f t="shared" si="60"/>
        <v>0</v>
      </c>
      <c r="Z227" s="1686">
        <f t="shared" si="60"/>
        <v>0</v>
      </c>
      <c r="AA227" s="1687">
        <f t="shared" si="60"/>
        <v>0</v>
      </c>
      <c r="AB227" s="1504"/>
    </row>
    <row r="228" spans="1:28" s="200" customFormat="1" x14ac:dyDescent="0.35">
      <c r="A228" s="1368"/>
      <c r="B228" s="43"/>
      <c r="C228" s="52" t="s">
        <v>65</v>
      </c>
      <c r="D228" s="52"/>
      <c r="E228" s="52"/>
      <c r="F228" s="52"/>
      <c r="G228" s="1688"/>
      <c r="H228" s="1688">
        <f>IF($G$220=0,0,IF(H$196&gt;$G$221,0,PPMT($G$222,H$196,$G$221,-$G$220)))</f>
        <v>0</v>
      </c>
      <c r="I228" s="1688">
        <f t="shared" ref="I228:AA228" si="61">IF($G$220=0,0,IF(I$196&gt;$G$221,0,PPMT($G$222,I$196,$G$221,-$G$220)))</f>
        <v>0</v>
      </c>
      <c r="J228" s="1688">
        <f t="shared" si="61"/>
        <v>0</v>
      </c>
      <c r="K228" s="1688">
        <f t="shared" si="61"/>
        <v>0</v>
      </c>
      <c r="L228" s="1688">
        <f t="shared" si="61"/>
        <v>0</v>
      </c>
      <c r="M228" s="1688">
        <f t="shared" si="61"/>
        <v>0</v>
      </c>
      <c r="N228" s="1688">
        <f t="shared" si="61"/>
        <v>0</v>
      </c>
      <c r="O228" s="1688">
        <f t="shared" si="61"/>
        <v>0</v>
      </c>
      <c r="P228" s="1688">
        <f t="shared" si="61"/>
        <v>0</v>
      </c>
      <c r="Q228" s="1688">
        <f t="shared" si="61"/>
        <v>0</v>
      </c>
      <c r="R228" s="1688">
        <f t="shared" si="61"/>
        <v>0</v>
      </c>
      <c r="S228" s="1688">
        <f t="shared" si="61"/>
        <v>0</v>
      </c>
      <c r="T228" s="1688">
        <f t="shared" si="61"/>
        <v>0</v>
      </c>
      <c r="U228" s="1688">
        <f t="shared" si="61"/>
        <v>0</v>
      </c>
      <c r="V228" s="1688">
        <f t="shared" si="61"/>
        <v>0</v>
      </c>
      <c r="W228" s="1688">
        <f t="shared" si="61"/>
        <v>0</v>
      </c>
      <c r="X228" s="1688">
        <f t="shared" si="61"/>
        <v>0</v>
      </c>
      <c r="Y228" s="1688">
        <f t="shared" si="61"/>
        <v>0</v>
      </c>
      <c r="Z228" s="1688">
        <f t="shared" si="61"/>
        <v>0</v>
      </c>
      <c r="AA228" s="1689">
        <f t="shared" si="61"/>
        <v>0</v>
      </c>
      <c r="AB228" s="1504"/>
    </row>
    <row r="229" spans="1:28" s="200" customFormat="1" x14ac:dyDescent="0.35">
      <c r="A229" s="1368"/>
      <c r="B229" s="43"/>
      <c r="C229" s="44" t="s">
        <v>67</v>
      </c>
      <c r="D229" s="44"/>
      <c r="E229" s="44"/>
      <c r="F229" s="44"/>
      <c r="G229" s="1686"/>
      <c r="H229" s="1686">
        <f>SUM(H227:H228)</f>
        <v>0</v>
      </c>
      <c r="I229" s="1686">
        <f t="shared" ref="I229:AA229" si="62">SUM(I227:I228)</f>
        <v>0</v>
      </c>
      <c r="J229" s="1686">
        <f t="shared" si="62"/>
        <v>0</v>
      </c>
      <c r="K229" s="1686">
        <f t="shared" si="62"/>
        <v>0</v>
      </c>
      <c r="L229" s="1686">
        <f t="shared" si="62"/>
        <v>0</v>
      </c>
      <c r="M229" s="1686">
        <f t="shared" si="62"/>
        <v>0</v>
      </c>
      <c r="N229" s="1686">
        <f t="shared" si="62"/>
        <v>0</v>
      </c>
      <c r="O229" s="1686">
        <f t="shared" si="62"/>
        <v>0</v>
      </c>
      <c r="P229" s="1686">
        <f t="shared" si="62"/>
        <v>0</v>
      </c>
      <c r="Q229" s="1686">
        <f t="shared" si="62"/>
        <v>0</v>
      </c>
      <c r="R229" s="1686">
        <f t="shared" si="62"/>
        <v>0</v>
      </c>
      <c r="S229" s="1686">
        <f t="shared" si="62"/>
        <v>0</v>
      </c>
      <c r="T229" s="1686">
        <f t="shared" si="62"/>
        <v>0</v>
      </c>
      <c r="U229" s="1686">
        <f t="shared" si="62"/>
        <v>0</v>
      </c>
      <c r="V229" s="1686">
        <f t="shared" si="62"/>
        <v>0</v>
      </c>
      <c r="W229" s="1686">
        <f t="shared" si="62"/>
        <v>0</v>
      </c>
      <c r="X229" s="1686">
        <f t="shared" si="62"/>
        <v>0</v>
      </c>
      <c r="Y229" s="1686">
        <f t="shared" si="62"/>
        <v>0</v>
      </c>
      <c r="Z229" s="1686">
        <f t="shared" si="62"/>
        <v>0</v>
      </c>
      <c r="AA229" s="1687">
        <f t="shared" si="62"/>
        <v>0</v>
      </c>
      <c r="AB229" s="1504"/>
    </row>
    <row r="230" spans="1:28" s="200" customFormat="1" x14ac:dyDescent="0.35">
      <c r="A230" s="1368"/>
      <c r="B230" s="43"/>
      <c r="C230" s="44"/>
      <c r="D230" s="44"/>
      <c r="E230" s="44"/>
      <c r="F230" s="44"/>
      <c r="G230" s="1686"/>
      <c r="H230" s="1686"/>
      <c r="I230" s="1686"/>
      <c r="J230" s="1686"/>
      <c r="K230" s="1686"/>
      <c r="L230" s="1686"/>
      <c r="M230" s="1686"/>
      <c r="N230" s="1686"/>
      <c r="O230" s="1686"/>
      <c r="P230" s="1686"/>
      <c r="Q230" s="1686"/>
      <c r="R230" s="1686"/>
      <c r="S230" s="1686"/>
      <c r="T230" s="1686"/>
      <c r="U230" s="1686"/>
      <c r="V230" s="1686"/>
      <c r="W230" s="1686"/>
      <c r="X230" s="1686"/>
      <c r="Y230" s="1686"/>
      <c r="Z230" s="1686"/>
      <c r="AA230" s="1687"/>
      <c r="AB230" s="1504"/>
    </row>
    <row r="231" spans="1:28" s="200" customFormat="1" x14ac:dyDescent="0.35">
      <c r="A231" s="1368"/>
      <c r="B231" s="43"/>
      <c r="C231" s="100" t="s">
        <v>58</v>
      </c>
      <c r="D231" s="44"/>
      <c r="E231" s="44"/>
      <c r="F231" s="44"/>
      <c r="G231" s="1686"/>
      <c r="H231" s="1686"/>
      <c r="I231" s="1686"/>
      <c r="J231" s="1686"/>
      <c r="K231" s="1686"/>
      <c r="L231" s="1686"/>
      <c r="M231" s="1686"/>
      <c r="N231" s="1686"/>
      <c r="O231" s="1686"/>
      <c r="P231" s="1686"/>
      <c r="Q231" s="1686"/>
      <c r="R231" s="1686"/>
      <c r="S231" s="1686"/>
      <c r="T231" s="1686"/>
      <c r="U231" s="1686"/>
      <c r="V231" s="1686"/>
      <c r="W231" s="1686"/>
      <c r="X231" s="1686"/>
      <c r="Y231" s="1686"/>
      <c r="Z231" s="1686"/>
      <c r="AA231" s="1687"/>
      <c r="AB231" s="1504"/>
    </row>
    <row r="232" spans="1:28" s="200" customFormat="1" x14ac:dyDescent="0.35">
      <c r="A232" s="1368"/>
      <c r="B232" s="43"/>
      <c r="C232" s="44" t="s">
        <v>68</v>
      </c>
      <c r="D232" s="44"/>
      <c r="E232" s="44"/>
      <c r="F232" s="44"/>
      <c r="G232" s="1686">
        <v>0</v>
      </c>
      <c r="H232" s="1686">
        <f>G235</f>
        <v>0</v>
      </c>
      <c r="I232" s="1686">
        <f t="shared" ref="I232:AA232" si="63">H235</f>
        <v>0</v>
      </c>
      <c r="J232" s="1686">
        <f t="shared" si="63"/>
        <v>0</v>
      </c>
      <c r="K232" s="1686">
        <f t="shared" si="63"/>
        <v>0</v>
      </c>
      <c r="L232" s="1686">
        <f t="shared" si="63"/>
        <v>0</v>
      </c>
      <c r="M232" s="1686">
        <f t="shared" si="63"/>
        <v>0</v>
      </c>
      <c r="N232" s="1686">
        <f t="shared" si="63"/>
        <v>0</v>
      </c>
      <c r="O232" s="1686">
        <f t="shared" si="63"/>
        <v>0</v>
      </c>
      <c r="P232" s="1686">
        <f t="shared" si="63"/>
        <v>0</v>
      </c>
      <c r="Q232" s="1686">
        <f t="shared" si="63"/>
        <v>0</v>
      </c>
      <c r="R232" s="1686">
        <f t="shared" si="63"/>
        <v>0</v>
      </c>
      <c r="S232" s="1686">
        <f t="shared" si="63"/>
        <v>0</v>
      </c>
      <c r="T232" s="1686">
        <f t="shared" si="63"/>
        <v>0</v>
      </c>
      <c r="U232" s="1686">
        <f t="shared" si="63"/>
        <v>0</v>
      </c>
      <c r="V232" s="1686">
        <f t="shared" si="63"/>
        <v>0</v>
      </c>
      <c r="W232" s="1686">
        <f t="shared" si="63"/>
        <v>0</v>
      </c>
      <c r="X232" s="1686">
        <f t="shared" si="63"/>
        <v>0</v>
      </c>
      <c r="Y232" s="1686">
        <f t="shared" si="63"/>
        <v>0</v>
      </c>
      <c r="Z232" s="1686">
        <f t="shared" si="63"/>
        <v>0</v>
      </c>
      <c r="AA232" s="1687">
        <f t="shared" si="63"/>
        <v>0</v>
      </c>
      <c r="AB232" s="1504"/>
    </row>
    <row r="233" spans="1:28" s="200" customFormat="1" x14ac:dyDescent="0.35">
      <c r="A233" s="1368"/>
      <c r="B233" s="43"/>
      <c r="C233" s="44" t="s">
        <v>69</v>
      </c>
      <c r="D233" s="44"/>
      <c r="E233" s="44"/>
      <c r="F233" s="44"/>
      <c r="G233" s="1686">
        <f>G220</f>
        <v>0</v>
      </c>
      <c r="H233" s="1686">
        <v>0</v>
      </c>
      <c r="I233" s="1686">
        <v>0</v>
      </c>
      <c r="J233" s="1686">
        <v>0</v>
      </c>
      <c r="K233" s="1686">
        <v>0</v>
      </c>
      <c r="L233" s="1686">
        <v>0</v>
      </c>
      <c r="M233" s="1686">
        <v>0</v>
      </c>
      <c r="N233" s="1686">
        <v>0</v>
      </c>
      <c r="O233" s="1686">
        <v>0</v>
      </c>
      <c r="P233" s="1686">
        <v>0</v>
      </c>
      <c r="Q233" s="1686">
        <v>0</v>
      </c>
      <c r="R233" s="1686">
        <v>0</v>
      </c>
      <c r="S233" s="1686">
        <v>0</v>
      </c>
      <c r="T233" s="1686">
        <v>0</v>
      </c>
      <c r="U233" s="1686">
        <v>0</v>
      </c>
      <c r="V233" s="1686">
        <v>0</v>
      </c>
      <c r="W233" s="1686">
        <v>0</v>
      </c>
      <c r="X233" s="1686">
        <v>0</v>
      </c>
      <c r="Y233" s="1686">
        <v>0</v>
      </c>
      <c r="Z233" s="1686">
        <v>0</v>
      </c>
      <c r="AA233" s="1687">
        <v>0</v>
      </c>
      <c r="AB233" s="1504"/>
    </row>
    <row r="234" spans="1:28" s="200" customFormat="1" x14ac:dyDescent="0.35">
      <c r="A234" s="1368"/>
      <c r="B234" s="43"/>
      <c r="C234" s="52" t="s">
        <v>70</v>
      </c>
      <c r="D234" s="52"/>
      <c r="E234" s="52"/>
      <c r="F234" s="52"/>
      <c r="G234" s="1688">
        <v>0</v>
      </c>
      <c r="H234" s="1688">
        <f>-H228</f>
        <v>0</v>
      </c>
      <c r="I234" s="1688">
        <f t="shared" ref="I234:AA234" si="64">-I228</f>
        <v>0</v>
      </c>
      <c r="J234" s="1688">
        <f t="shared" si="64"/>
        <v>0</v>
      </c>
      <c r="K234" s="1688">
        <f t="shared" si="64"/>
        <v>0</v>
      </c>
      <c r="L234" s="1688">
        <f t="shared" si="64"/>
        <v>0</v>
      </c>
      <c r="M234" s="1688">
        <f t="shared" si="64"/>
        <v>0</v>
      </c>
      <c r="N234" s="1688">
        <f t="shared" si="64"/>
        <v>0</v>
      </c>
      <c r="O234" s="1688">
        <f t="shared" si="64"/>
        <v>0</v>
      </c>
      <c r="P234" s="1688">
        <f t="shared" si="64"/>
        <v>0</v>
      </c>
      <c r="Q234" s="1688">
        <f t="shared" si="64"/>
        <v>0</v>
      </c>
      <c r="R234" s="1688">
        <f t="shared" si="64"/>
        <v>0</v>
      </c>
      <c r="S234" s="1688">
        <f t="shared" si="64"/>
        <v>0</v>
      </c>
      <c r="T234" s="1688">
        <f t="shared" si="64"/>
        <v>0</v>
      </c>
      <c r="U234" s="1688">
        <f t="shared" si="64"/>
        <v>0</v>
      </c>
      <c r="V234" s="1688">
        <f t="shared" si="64"/>
        <v>0</v>
      </c>
      <c r="W234" s="1688">
        <f t="shared" si="64"/>
        <v>0</v>
      </c>
      <c r="X234" s="1688">
        <f t="shared" si="64"/>
        <v>0</v>
      </c>
      <c r="Y234" s="1688">
        <f t="shared" si="64"/>
        <v>0</v>
      </c>
      <c r="Z234" s="1688">
        <f t="shared" si="64"/>
        <v>0</v>
      </c>
      <c r="AA234" s="1689">
        <f t="shared" si="64"/>
        <v>0</v>
      </c>
      <c r="AB234" s="1504"/>
    </row>
    <row r="235" spans="1:28" s="200" customFormat="1" x14ac:dyDescent="0.35">
      <c r="A235" s="1368"/>
      <c r="B235" s="43"/>
      <c r="C235" s="44" t="s">
        <v>59</v>
      </c>
      <c r="D235" s="44"/>
      <c r="E235" s="44"/>
      <c r="F235" s="44"/>
      <c r="G235" s="1686">
        <f>SUM(G232:G234)</f>
        <v>0</v>
      </c>
      <c r="H235" s="1686">
        <f>SUM(H232:H234)</f>
        <v>0</v>
      </c>
      <c r="I235" s="1686">
        <f t="shared" ref="I235:AA235" si="65">SUM(I232:I234)</f>
        <v>0</v>
      </c>
      <c r="J235" s="1686">
        <f t="shared" si="65"/>
        <v>0</v>
      </c>
      <c r="K235" s="1686">
        <f t="shared" si="65"/>
        <v>0</v>
      </c>
      <c r="L235" s="1686">
        <f t="shared" si="65"/>
        <v>0</v>
      </c>
      <c r="M235" s="1686">
        <f t="shared" si="65"/>
        <v>0</v>
      </c>
      <c r="N235" s="1686">
        <f t="shared" si="65"/>
        <v>0</v>
      </c>
      <c r="O235" s="1686">
        <f t="shared" si="65"/>
        <v>0</v>
      </c>
      <c r="P235" s="1686">
        <f t="shared" si="65"/>
        <v>0</v>
      </c>
      <c r="Q235" s="1686">
        <f t="shared" si="65"/>
        <v>0</v>
      </c>
      <c r="R235" s="1686">
        <f t="shared" si="65"/>
        <v>0</v>
      </c>
      <c r="S235" s="1686">
        <f t="shared" si="65"/>
        <v>0</v>
      </c>
      <c r="T235" s="1686">
        <f t="shared" si="65"/>
        <v>0</v>
      </c>
      <c r="U235" s="1686">
        <f t="shared" si="65"/>
        <v>0</v>
      </c>
      <c r="V235" s="1686">
        <f t="shared" si="65"/>
        <v>0</v>
      </c>
      <c r="W235" s="1686">
        <f t="shared" si="65"/>
        <v>0</v>
      </c>
      <c r="X235" s="1686">
        <f t="shared" si="65"/>
        <v>0</v>
      </c>
      <c r="Y235" s="1686">
        <f t="shared" si="65"/>
        <v>0</v>
      </c>
      <c r="Z235" s="1686">
        <f t="shared" si="65"/>
        <v>0</v>
      </c>
      <c r="AA235" s="1687">
        <f t="shared" si="65"/>
        <v>0</v>
      </c>
      <c r="AB235" s="1504"/>
    </row>
    <row r="236" spans="1:28" s="200" customFormat="1" x14ac:dyDescent="0.35">
      <c r="A236" s="1368"/>
      <c r="B236" s="43"/>
      <c r="C236" s="44"/>
      <c r="D236" s="44"/>
      <c r="E236" s="44"/>
      <c r="F236" s="44"/>
      <c r="G236" s="1686"/>
      <c r="H236" s="1686"/>
      <c r="I236" s="1686"/>
      <c r="J236" s="1686"/>
      <c r="K236" s="1686"/>
      <c r="L236" s="1686"/>
      <c r="M236" s="1686"/>
      <c r="N236" s="1686"/>
      <c r="O236" s="1686"/>
      <c r="P236" s="1686"/>
      <c r="Q236" s="1686"/>
      <c r="R236" s="1686"/>
      <c r="S236" s="1686"/>
      <c r="T236" s="1686"/>
      <c r="U236" s="1686"/>
      <c r="V236" s="1686"/>
      <c r="W236" s="1686"/>
      <c r="X236" s="1686"/>
      <c r="Y236" s="1686"/>
      <c r="Z236" s="1686"/>
      <c r="AA236" s="1687"/>
      <c r="AB236" s="1504"/>
    </row>
    <row r="237" spans="1:28" s="200" customFormat="1" x14ac:dyDescent="0.35">
      <c r="A237" s="1368"/>
      <c r="B237" s="43"/>
      <c r="C237" s="100" t="s">
        <v>64</v>
      </c>
      <c r="D237" s="44"/>
      <c r="E237" s="44"/>
      <c r="F237" s="44"/>
      <c r="G237" s="1686"/>
      <c r="H237" s="1686"/>
      <c r="I237" s="1686"/>
      <c r="J237" s="1686"/>
      <c r="K237" s="1686"/>
      <c r="L237" s="1686"/>
      <c r="M237" s="1686"/>
      <c r="N237" s="1686"/>
      <c r="O237" s="1686"/>
      <c r="P237" s="1686"/>
      <c r="Q237" s="1686"/>
      <c r="R237" s="1686"/>
      <c r="S237" s="1686"/>
      <c r="T237" s="1686"/>
      <c r="U237" s="1686"/>
      <c r="V237" s="1686"/>
      <c r="W237" s="1686"/>
      <c r="X237" s="1686"/>
      <c r="Y237" s="1686"/>
      <c r="Z237" s="1686"/>
      <c r="AA237" s="1687"/>
      <c r="AB237" s="1504"/>
    </row>
    <row r="238" spans="1:28" s="200" customFormat="1" x14ac:dyDescent="0.35">
      <c r="A238" s="1368"/>
      <c r="B238" s="43"/>
      <c r="C238" s="44" t="s">
        <v>202</v>
      </c>
      <c r="D238" s="44"/>
      <c r="E238" s="44"/>
      <c r="F238" s="44"/>
      <c r="G238" s="1686"/>
      <c r="H238" s="1686">
        <f>IF($G$220&gt;0, $G$220*'III. Inputs, Renewable Energy'!$S$54/10000,0)</f>
        <v>0</v>
      </c>
      <c r="I238" s="1686">
        <v>0</v>
      </c>
      <c r="J238" s="1686">
        <v>0</v>
      </c>
      <c r="K238" s="1686">
        <v>0</v>
      </c>
      <c r="L238" s="1686">
        <v>0</v>
      </c>
      <c r="M238" s="1686">
        <v>0</v>
      </c>
      <c r="N238" s="1686">
        <v>0</v>
      </c>
      <c r="O238" s="1686">
        <v>0</v>
      </c>
      <c r="P238" s="1686">
        <v>0</v>
      </c>
      <c r="Q238" s="1686">
        <v>0</v>
      </c>
      <c r="R238" s="1686">
        <v>0</v>
      </c>
      <c r="S238" s="1686">
        <v>0</v>
      </c>
      <c r="T238" s="1686">
        <v>0</v>
      </c>
      <c r="U238" s="1686">
        <v>0</v>
      </c>
      <c r="V238" s="1686">
        <v>0</v>
      </c>
      <c r="W238" s="1686">
        <v>0</v>
      </c>
      <c r="X238" s="1686">
        <v>0</v>
      </c>
      <c r="Y238" s="1686">
        <v>0</v>
      </c>
      <c r="Z238" s="1686">
        <v>0</v>
      </c>
      <c r="AA238" s="1687">
        <v>0</v>
      </c>
      <c r="AB238" s="1504"/>
    </row>
    <row r="239" spans="1:28" s="200" customFormat="1" x14ac:dyDescent="0.35">
      <c r="A239" s="1368"/>
      <c r="B239" s="43"/>
      <c r="C239" s="44" t="str">
        <f>'III. Inputs, Renewable Energy'!$O$224</f>
        <v>Front-end Fee, Public Guarantee</v>
      </c>
      <c r="D239" s="44"/>
      <c r="E239" s="44"/>
      <c r="F239" s="44"/>
      <c r="G239" s="1686"/>
      <c r="H239" s="1686">
        <f>IF($G$223&gt;0, $G$220*$G$223*'III. Inputs, Renewable Energy'!$S$224/10000,0)</f>
        <v>0</v>
      </c>
      <c r="I239" s="1686">
        <v>0</v>
      </c>
      <c r="J239" s="1686">
        <v>0</v>
      </c>
      <c r="K239" s="1686">
        <v>0</v>
      </c>
      <c r="L239" s="1686">
        <v>0</v>
      </c>
      <c r="M239" s="1686">
        <v>0</v>
      </c>
      <c r="N239" s="1686">
        <v>0</v>
      </c>
      <c r="O239" s="1686">
        <v>0</v>
      </c>
      <c r="P239" s="1686">
        <v>0</v>
      </c>
      <c r="Q239" s="1686">
        <v>0</v>
      </c>
      <c r="R239" s="1686">
        <v>0</v>
      </c>
      <c r="S239" s="1686">
        <v>0</v>
      </c>
      <c r="T239" s="1686">
        <v>0</v>
      </c>
      <c r="U239" s="1686">
        <v>0</v>
      </c>
      <c r="V239" s="1686">
        <v>0</v>
      </c>
      <c r="W239" s="1686">
        <v>0</v>
      </c>
      <c r="X239" s="1686">
        <v>0</v>
      </c>
      <c r="Y239" s="1686">
        <v>0</v>
      </c>
      <c r="Z239" s="1686">
        <v>0</v>
      </c>
      <c r="AA239" s="1687">
        <v>0</v>
      </c>
      <c r="AB239" s="1504"/>
    </row>
    <row r="240" spans="1:28" s="200" customFormat="1" x14ac:dyDescent="0.35">
      <c r="A240" s="1368"/>
      <c r="B240" s="43"/>
      <c r="C240" s="44" t="str">
        <f>'III. Inputs, Renewable Energy'!$O$225</f>
        <v>Annual Guarantee Fee</v>
      </c>
      <c r="D240" s="44"/>
      <c r="E240" s="44"/>
      <c r="F240" s="44"/>
      <c r="G240" s="1686"/>
      <c r="H240" s="1686">
        <f>IF(H$196&gt;$G$224,0,((H232+H235)/2)*$G$223*'III. Inputs, Renewable Energy'!$S$225/10000)</f>
        <v>0</v>
      </c>
      <c r="I240" s="1686">
        <f>IF(I$196&gt;$G$224,0,((I232+I235)/2)*$G$223*'III. Inputs, Renewable Energy'!$S$225/10000)</f>
        <v>0</v>
      </c>
      <c r="J240" s="1686">
        <f>IF(J$196&gt;$G$224,0,((J232+J235)/2)*$G$223*'III. Inputs, Renewable Energy'!$S$225/10000)</f>
        <v>0</v>
      </c>
      <c r="K240" s="1686">
        <f>IF(K$196&gt;$G$224,0,((K232+K235)/2)*$G$223*'III. Inputs, Renewable Energy'!$S$225/10000)</f>
        <v>0</v>
      </c>
      <c r="L240" s="1686">
        <f>IF(L$196&gt;$G$224,0,((L232+L235)/2)*$G$223*'III. Inputs, Renewable Energy'!$S$225/10000)</f>
        <v>0</v>
      </c>
      <c r="M240" s="1686">
        <f>IF(M$196&gt;$G$224,0,((M232+M235)/2)*$G$223*'III. Inputs, Renewable Energy'!$S$225/10000)</f>
        <v>0</v>
      </c>
      <c r="N240" s="1686">
        <f>IF(N$196&gt;$G$224,0,((N232+N235)/2)*$G$223*'III. Inputs, Renewable Energy'!$S$225/10000)</f>
        <v>0</v>
      </c>
      <c r="O240" s="1686">
        <f>IF(O$196&gt;$G$224,0,((O232+O235)/2)*$G$223*'III. Inputs, Renewable Energy'!$S$225/10000)</f>
        <v>0</v>
      </c>
      <c r="P240" s="1686">
        <f>IF(P$196&gt;$G$224,0,((P232+P235)/2)*$G$223*'III. Inputs, Renewable Energy'!$S$225/10000)</f>
        <v>0</v>
      </c>
      <c r="Q240" s="1686">
        <f>IF(Q$196&gt;$G$224,0,((Q232+Q235)/2)*$G$223*'III. Inputs, Renewable Energy'!$S$225/10000)</f>
        <v>0</v>
      </c>
      <c r="R240" s="1686">
        <f>IF(R$196&gt;$G$224,0,((R232+R235)/2)*$G$223*'III. Inputs, Renewable Energy'!$S$225/10000)</f>
        <v>0</v>
      </c>
      <c r="S240" s="1686">
        <f>IF(S$196&gt;$G$224,0,((S232+S235)/2)*$G$223*'III. Inputs, Renewable Energy'!$S$225/10000)</f>
        <v>0</v>
      </c>
      <c r="T240" s="1686">
        <f>IF(T$196&gt;$G$224,0,((T232+T235)/2)*$G$223*'III. Inputs, Renewable Energy'!$S$225/10000)</f>
        <v>0</v>
      </c>
      <c r="U240" s="1686">
        <f>IF(U$196&gt;$G$224,0,((U232+U235)/2)*$G$223*'III. Inputs, Renewable Energy'!$S$225/10000)</f>
        <v>0</v>
      </c>
      <c r="V240" s="1686">
        <f>IF(V$196&gt;$G$224,0,((V232+V235)/2)*$G$223*'III. Inputs, Renewable Energy'!$S$225/10000)</f>
        <v>0</v>
      </c>
      <c r="W240" s="1686">
        <f>IF(W$196&gt;$G$224,0,((W232+W235)/2)*$G$223*'III. Inputs, Renewable Energy'!$S$225/10000)</f>
        <v>0</v>
      </c>
      <c r="X240" s="1686">
        <f>IF(X$196&gt;$G$224,0,((X232+X235)/2)*$G$223*'III. Inputs, Renewable Energy'!$S$225/10000)</f>
        <v>0</v>
      </c>
      <c r="Y240" s="1686">
        <f>IF(Y$196&gt;$G$224,0,((Y232+Y235)/2)*$G$223*'III. Inputs, Renewable Energy'!$S$225/10000)</f>
        <v>0</v>
      </c>
      <c r="Z240" s="1686">
        <f>IF(Z$196&gt;$G$224,0,((Z232+Z235)/2)*$G$223*'III. Inputs, Renewable Energy'!$S$225/10000)</f>
        <v>0</v>
      </c>
      <c r="AA240" s="1687">
        <f>IF(AA$196&gt;$G$224,0,((AA232+AA235)/2)*$G$223*'III. Inputs, Renewable Energy'!$S$225/10000)</f>
        <v>0</v>
      </c>
      <c r="AB240" s="1504"/>
    </row>
    <row r="241" spans="1:28" s="200" customFormat="1" x14ac:dyDescent="0.35">
      <c r="A241" s="1368"/>
      <c r="B241" s="43"/>
      <c r="C241" s="44"/>
      <c r="D241" s="44"/>
      <c r="E241" s="44"/>
      <c r="F241" s="44"/>
      <c r="G241" s="1686"/>
      <c r="H241" s="1686"/>
      <c r="I241" s="1686"/>
      <c r="J241" s="1686"/>
      <c r="K241" s="1686"/>
      <c r="L241" s="1686"/>
      <c r="M241" s="1686"/>
      <c r="N241" s="1686"/>
      <c r="O241" s="1686"/>
      <c r="P241" s="1686"/>
      <c r="Q241" s="1686"/>
      <c r="R241" s="1686"/>
      <c r="S241" s="1686"/>
      <c r="T241" s="1686"/>
      <c r="U241" s="1686"/>
      <c r="V241" s="1686"/>
      <c r="W241" s="1686"/>
      <c r="X241" s="1686"/>
      <c r="Y241" s="1686"/>
      <c r="Z241" s="1686"/>
      <c r="AA241" s="1687"/>
      <c r="AB241" s="1368"/>
    </row>
    <row r="242" spans="1:28" s="200" customFormat="1" ht="13.15" x14ac:dyDescent="0.4">
      <c r="A242" s="1368"/>
      <c r="B242" s="54" t="s">
        <v>152</v>
      </c>
      <c r="C242" s="44"/>
      <c r="D242" s="44"/>
      <c r="E242" s="44"/>
      <c r="F242" s="44"/>
      <c r="G242" s="1686"/>
      <c r="H242" s="1686"/>
      <c r="I242" s="1686"/>
      <c r="J242" s="1686"/>
      <c r="K242" s="1686"/>
      <c r="L242" s="1686"/>
      <c r="M242" s="1686"/>
      <c r="N242" s="1686"/>
      <c r="O242" s="1686"/>
      <c r="P242" s="1686"/>
      <c r="Q242" s="1686"/>
      <c r="R242" s="1686"/>
      <c r="S242" s="1686"/>
      <c r="T242" s="1686"/>
      <c r="U242" s="1686"/>
      <c r="V242" s="1686"/>
      <c r="W242" s="1686"/>
      <c r="X242" s="1686"/>
      <c r="Y242" s="1686"/>
      <c r="Z242" s="1686"/>
      <c r="AA242" s="1687"/>
      <c r="AB242" s="1368"/>
    </row>
    <row r="243" spans="1:28" s="200" customFormat="1" x14ac:dyDescent="0.35">
      <c r="A243" s="1368"/>
      <c r="B243" s="43"/>
      <c r="C243" s="98" t="s">
        <v>61</v>
      </c>
      <c r="D243" s="44"/>
      <c r="E243" s="44"/>
      <c r="F243" s="44"/>
      <c r="G243" s="1686">
        <f>IF('III. Inputs, Renewable Energy'!$S$38&gt;0,((('III. Inputs, Renewable Energy'!U287+('III. Inputs, Renewable Energy'!U283*'III. Inputs, Renewable Energy'!U285*'III. Inputs, Renewable Energy'!U286))*('III. Inputs, Renewable Energy'!U14/'III. Inputs, Renewable Energy'!U288))*'III. Inputs, Renewable Energy'!S34*SUM('III. Inputs, Renewable Energy'!$S$38)),0)</f>
        <v>0</v>
      </c>
      <c r="H243" s="1686"/>
      <c r="I243" s="1686"/>
      <c r="J243" s="1686"/>
      <c r="K243" s="1686"/>
      <c r="L243" s="1686"/>
      <c r="M243" s="1686"/>
      <c r="N243" s="1686"/>
      <c r="O243" s="1686"/>
      <c r="P243" s="1686"/>
      <c r="Q243" s="1686"/>
      <c r="R243" s="1686"/>
      <c r="S243" s="1686"/>
      <c r="T243" s="1686"/>
      <c r="U243" s="1686"/>
      <c r="V243" s="1686"/>
      <c r="W243" s="1686"/>
      <c r="X243" s="1686"/>
      <c r="Y243" s="1686"/>
      <c r="Z243" s="1686"/>
      <c r="AA243" s="1687"/>
      <c r="AB243" s="1368"/>
    </row>
    <row r="244" spans="1:28" s="200" customFormat="1" x14ac:dyDescent="0.35">
      <c r="A244" s="1368"/>
      <c r="B244" s="43"/>
      <c r="C244" s="98" t="s">
        <v>62</v>
      </c>
      <c r="D244" s="44"/>
      <c r="E244" s="44"/>
      <c r="F244" s="44"/>
      <c r="G244" s="315">
        <f>SUM('III. Inputs, Renewable Energy'!S50)</f>
        <v>11</v>
      </c>
      <c r="H244" s="308"/>
      <c r="I244" s="308"/>
      <c r="J244" s="308"/>
      <c r="K244" s="308"/>
      <c r="L244" s="308"/>
      <c r="M244" s="308"/>
      <c r="N244" s="308"/>
      <c r="O244" s="308"/>
      <c r="P244" s="308"/>
      <c r="Q244" s="308"/>
      <c r="R244" s="308"/>
      <c r="S244" s="308"/>
      <c r="T244" s="308"/>
      <c r="U244" s="308"/>
      <c r="V244" s="308"/>
      <c r="W244" s="308"/>
      <c r="X244" s="308"/>
      <c r="Y244" s="308"/>
      <c r="Z244" s="308"/>
      <c r="AA244" s="309"/>
      <c r="AB244" s="1368"/>
    </row>
    <row r="245" spans="1:28" s="200" customFormat="1" x14ac:dyDescent="0.35">
      <c r="A245" s="1368"/>
      <c r="B245" s="43"/>
      <c r="C245" s="98" t="s">
        <v>63</v>
      </c>
      <c r="D245" s="44"/>
      <c r="E245" s="44"/>
      <c r="F245" s="44"/>
      <c r="G245" s="314">
        <f>SUM('III. Inputs, Renewable Energy'!S45)</f>
        <v>0.08</v>
      </c>
      <c r="H245" s="308"/>
      <c r="I245" s="308"/>
      <c r="J245" s="308"/>
      <c r="K245" s="308"/>
      <c r="L245" s="308"/>
      <c r="M245" s="308"/>
      <c r="N245" s="308"/>
      <c r="O245" s="308"/>
      <c r="P245" s="308"/>
      <c r="Q245" s="308"/>
      <c r="R245" s="308"/>
      <c r="S245" s="308"/>
      <c r="T245" s="308"/>
      <c r="U245" s="308"/>
      <c r="V245" s="308"/>
      <c r="W245" s="308"/>
      <c r="X245" s="308"/>
      <c r="Y245" s="308"/>
      <c r="Z245" s="308"/>
      <c r="AA245" s="309"/>
      <c r="AB245" s="1368"/>
    </row>
    <row r="246" spans="1:28" s="200" customFormat="1" x14ac:dyDescent="0.35">
      <c r="A246" s="1368"/>
      <c r="B246" s="43"/>
      <c r="C246" s="44"/>
      <c r="D246" s="44"/>
      <c r="E246" s="44"/>
      <c r="F246" s="44"/>
      <c r="G246" s="308"/>
      <c r="H246" s="308"/>
      <c r="I246" s="308"/>
      <c r="J246" s="308"/>
      <c r="K246" s="308"/>
      <c r="L246" s="308"/>
      <c r="M246" s="308"/>
      <c r="N246" s="308"/>
      <c r="O246" s="308"/>
      <c r="P246" s="308"/>
      <c r="Q246" s="308"/>
      <c r="R246" s="308"/>
      <c r="S246" s="308"/>
      <c r="T246" s="308"/>
      <c r="U246" s="308"/>
      <c r="V246" s="308"/>
      <c r="W246" s="308"/>
      <c r="X246" s="308"/>
      <c r="Y246" s="308"/>
      <c r="Z246" s="308"/>
      <c r="AA246" s="309"/>
      <c r="AB246" s="1368"/>
    </row>
    <row r="247" spans="1:28" s="200" customFormat="1" x14ac:dyDescent="0.35">
      <c r="A247" s="1368"/>
      <c r="B247" s="43"/>
      <c r="C247" s="99" t="s">
        <v>60</v>
      </c>
      <c r="D247" s="44"/>
      <c r="E247" s="44"/>
      <c r="F247" s="44"/>
      <c r="G247" s="308"/>
      <c r="H247" s="308"/>
      <c r="I247" s="308"/>
      <c r="J247" s="308"/>
      <c r="K247" s="308"/>
      <c r="L247" s="308"/>
      <c r="M247" s="308"/>
      <c r="N247" s="308"/>
      <c r="O247" s="308"/>
      <c r="P247" s="308"/>
      <c r="Q247" s="308"/>
      <c r="R247" s="308"/>
      <c r="S247" s="308"/>
      <c r="T247" s="308"/>
      <c r="U247" s="308"/>
      <c r="V247" s="308"/>
      <c r="W247" s="308"/>
      <c r="X247" s="308"/>
      <c r="Y247" s="308"/>
      <c r="Z247" s="308"/>
      <c r="AA247" s="309"/>
      <c r="AB247" s="1368"/>
    </row>
    <row r="248" spans="1:28" s="200" customFormat="1" x14ac:dyDescent="0.35">
      <c r="A248" s="1368"/>
      <c r="B248" s="43"/>
      <c r="C248" s="44" t="s">
        <v>66</v>
      </c>
      <c r="D248" s="44"/>
      <c r="E248" s="44"/>
      <c r="F248" s="44"/>
      <c r="G248" s="1686"/>
      <c r="H248" s="1686">
        <f t="shared" ref="H248:AA248" si="66">IF(H$196&gt;$G$244,0,IPMT($G$245,H$196,$G$244,-$G$243))</f>
        <v>0</v>
      </c>
      <c r="I248" s="1686">
        <f t="shared" si="66"/>
        <v>0</v>
      </c>
      <c r="J248" s="1686">
        <f t="shared" si="66"/>
        <v>0</v>
      </c>
      <c r="K248" s="1686">
        <f t="shared" si="66"/>
        <v>0</v>
      </c>
      <c r="L248" s="1686">
        <f t="shared" si="66"/>
        <v>0</v>
      </c>
      <c r="M248" s="1686">
        <f t="shared" si="66"/>
        <v>0</v>
      </c>
      <c r="N248" s="1686">
        <f t="shared" si="66"/>
        <v>0</v>
      </c>
      <c r="O248" s="1686">
        <f t="shared" si="66"/>
        <v>0</v>
      </c>
      <c r="P248" s="1686">
        <f t="shared" si="66"/>
        <v>0</v>
      </c>
      <c r="Q248" s="1686">
        <f t="shared" si="66"/>
        <v>0</v>
      </c>
      <c r="R248" s="1686">
        <f t="shared" si="66"/>
        <v>0</v>
      </c>
      <c r="S248" s="1686">
        <f t="shared" si="66"/>
        <v>0</v>
      </c>
      <c r="T248" s="1686">
        <f t="shared" si="66"/>
        <v>0</v>
      </c>
      <c r="U248" s="1686">
        <f t="shared" si="66"/>
        <v>0</v>
      </c>
      <c r="V248" s="1686">
        <f t="shared" si="66"/>
        <v>0</v>
      </c>
      <c r="W248" s="1686">
        <f t="shared" si="66"/>
        <v>0</v>
      </c>
      <c r="X248" s="1686">
        <f t="shared" si="66"/>
        <v>0</v>
      </c>
      <c r="Y248" s="1686">
        <f t="shared" si="66"/>
        <v>0</v>
      </c>
      <c r="Z248" s="1686">
        <f t="shared" si="66"/>
        <v>0</v>
      </c>
      <c r="AA248" s="1687">
        <f t="shared" si="66"/>
        <v>0</v>
      </c>
      <c r="AB248" s="1368"/>
    </row>
    <row r="249" spans="1:28" s="200" customFormat="1" x14ac:dyDescent="0.35">
      <c r="A249" s="1368"/>
      <c r="B249" s="43"/>
      <c r="C249" s="52" t="s">
        <v>65</v>
      </c>
      <c r="D249" s="52"/>
      <c r="E249" s="52"/>
      <c r="F249" s="52"/>
      <c r="G249" s="1688"/>
      <c r="H249" s="1688">
        <f t="shared" ref="H249:AA249" si="67">IF(H$196&gt;$G$244,0,PPMT($G$245,H$196,$G$244,-$G$243))</f>
        <v>0</v>
      </c>
      <c r="I249" s="1688">
        <f t="shared" si="67"/>
        <v>0</v>
      </c>
      <c r="J249" s="1688">
        <f t="shared" si="67"/>
        <v>0</v>
      </c>
      <c r="K249" s="1688">
        <f t="shared" si="67"/>
        <v>0</v>
      </c>
      <c r="L249" s="1688">
        <f t="shared" si="67"/>
        <v>0</v>
      </c>
      <c r="M249" s="1688">
        <f t="shared" si="67"/>
        <v>0</v>
      </c>
      <c r="N249" s="1688">
        <f t="shared" si="67"/>
        <v>0</v>
      </c>
      <c r="O249" s="1688">
        <f t="shared" si="67"/>
        <v>0</v>
      </c>
      <c r="P249" s="1688">
        <f t="shared" si="67"/>
        <v>0</v>
      </c>
      <c r="Q249" s="1688">
        <f t="shared" si="67"/>
        <v>0</v>
      </c>
      <c r="R249" s="1688">
        <f t="shared" si="67"/>
        <v>0</v>
      </c>
      <c r="S249" s="1688">
        <f t="shared" si="67"/>
        <v>0</v>
      </c>
      <c r="T249" s="1688">
        <f t="shared" si="67"/>
        <v>0</v>
      </c>
      <c r="U249" s="1688">
        <f t="shared" si="67"/>
        <v>0</v>
      </c>
      <c r="V249" s="1688">
        <f t="shared" si="67"/>
        <v>0</v>
      </c>
      <c r="W249" s="1688">
        <f t="shared" si="67"/>
        <v>0</v>
      </c>
      <c r="X249" s="1688">
        <f t="shared" si="67"/>
        <v>0</v>
      </c>
      <c r="Y249" s="1688">
        <f t="shared" si="67"/>
        <v>0</v>
      </c>
      <c r="Z249" s="1688">
        <f t="shared" si="67"/>
        <v>0</v>
      </c>
      <c r="AA249" s="1689">
        <f t="shared" si="67"/>
        <v>0</v>
      </c>
      <c r="AB249" s="1368"/>
    </row>
    <row r="250" spans="1:28" s="200" customFormat="1" x14ac:dyDescent="0.35">
      <c r="A250" s="1368"/>
      <c r="B250" s="43"/>
      <c r="C250" s="44" t="s">
        <v>67</v>
      </c>
      <c r="D250" s="44"/>
      <c r="E250" s="44"/>
      <c r="F250" s="44"/>
      <c r="G250" s="1686"/>
      <c r="H250" s="1686">
        <f>SUM(H248:H249)</f>
        <v>0</v>
      </c>
      <c r="I250" s="1686">
        <f t="shared" ref="I250:AA250" si="68">SUM(I248:I249)</f>
        <v>0</v>
      </c>
      <c r="J250" s="1686">
        <f t="shared" si="68"/>
        <v>0</v>
      </c>
      <c r="K250" s="1686">
        <f t="shared" si="68"/>
        <v>0</v>
      </c>
      <c r="L250" s="1686">
        <f t="shared" si="68"/>
        <v>0</v>
      </c>
      <c r="M250" s="1686">
        <f t="shared" si="68"/>
        <v>0</v>
      </c>
      <c r="N250" s="1686">
        <f t="shared" si="68"/>
        <v>0</v>
      </c>
      <c r="O250" s="1686">
        <f t="shared" si="68"/>
        <v>0</v>
      </c>
      <c r="P250" s="1686">
        <f t="shared" si="68"/>
        <v>0</v>
      </c>
      <c r="Q250" s="1686">
        <f t="shared" si="68"/>
        <v>0</v>
      </c>
      <c r="R250" s="1686">
        <f t="shared" si="68"/>
        <v>0</v>
      </c>
      <c r="S250" s="1686">
        <f t="shared" si="68"/>
        <v>0</v>
      </c>
      <c r="T250" s="1686">
        <f t="shared" si="68"/>
        <v>0</v>
      </c>
      <c r="U250" s="1686">
        <f t="shared" si="68"/>
        <v>0</v>
      </c>
      <c r="V250" s="1686">
        <f t="shared" si="68"/>
        <v>0</v>
      </c>
      <c r="W250" s="1686">
        <f t="shared" si="68"/>
        <v>0</v>
      </c>
      <c r="X250" s="1686">
        <f t="shared" si="68"/>
        <v>0</v>
      </c>
      <c r="Y250" s="1686">
        <f t="shared" si="68"/>
        <v>0</v>
      </c>
      <c r="Z250" s="1686">
        <f t="shared" si="68"/>
        <v>0</v>
      </c>
      <c r="AA250" s="1687">
        <f t="shared" si="68"/>
        <v>0</v>
      </c>
      <c r="AB250" s="1368"/>
    </row>
    <row r="251" spans="1:28" s="200" customFormat="1" x14ac:dyDescent="0.35">
      <c r="A251" s="1368"/>
      <c r="B251" s="43"/>
      <c r="C251" s="44"/>
      <c r="D251" s="44"/>
      <c r="E251" s="44"/>
      <c r="F251" s="44"/>
      <c r="G251" s="1686"/>
      <c r="H251" s="1686"/>
      <c r="I251" s="1686"/>
      <c r="J251" s="1686"/>
      <c r="K251" s="1686"/>
      <c r="L251" s="1686"/>
      <c r="M251" s="1686"/>
      <c r="N251" s="1686"/>
      <c r="O251" s="1686"/>
      <c r="P251" s="1686"/>
      <c r="Q251" s="1686"/>
      <c r="R251" s="1686"/>
      <c r="S251" s="1686"/>
      <c r="T251" s="1686"/>
      <c r="U251" s="1686"/>
      <c r="V251" s="1686"/>
      <c r="W251" s="1686"/>
      <c r="X251" s="1686"/>
      <c r="Y251" s="1686"/>
      <c r="Z251" s="1686"/>
      <c r="AA251" s="1687"/>
      <c r="AB251" s="1368"/>
    </row>
    <row r="252" spans="1:28" s="200" customFormat="1" x14ac:dyDescent="0.35">
      <c r="A252" s="1368"/>
      <c r="B252" s="43"/>
      <c r="C252" s="100" t="s">
        <v>58</v>
      </c>
      <c r="D252" s="44"/>
      <c r="E252" s="44"/>
      <c r="F252" s="44"/>
      <c r="G252" s="1686"/>
      <c r="H252" s="1686"/>
      <c r="I252" s="1686"/>
      <c r="J252" s="1686"/>
      <c r="K252" s="1686"/>
      <c r="L252" s="1686"/>
      <c r="M252" s="1686"/>
      <c r="N252" s="1686"/>
      <c r="O252" s="1686"/>
      <c r="P252" s="1686"/>
      <c r="Q252" s="1686"/>
      <c r="R252" s="1686"/>
      <c r="S252" s="1686"/>
      <c r="T252" s="1686"/>
      <c r="U252" s="1686"/>
      <c r="V252" s="1686"/>
      <c r="W252" s="1686"/>
      <c r="X252" s="1686"/>
      <c r="Y252" s="1686"/>
      <c r="Z252" s="1686"/>
      <c r="AA252" s="1687"/>
      <c r="AB252" s="1368"/>
    </row>
    <row r="253" spans="1:28" s="200" customFormat="1" x14ac:dyDescent="0.35">
      <c r="A253" s="1368"/>
      <c r="B253" s="43"/>
      <c r="C253" s="44" t="s">
        <v>68</v>
      </c>
      <c r="D253" s="44"/>
      <c r="E253" s="44"/>
      <c r="F253" s="44"/>
      <c r="G253" s="1686">
        <v>0</v>
      </c>
      <c r="H253" s="1686">
        <f>G256</f>
        <v>0</v>
      </c>
      <c r="I253" s="1686">
        <f t="shared" ref="I253:AA253" si="69">H256</f>
        <v>0</v>
      </c>
      <c r="J253" s="1686">
        <f t="shared" si="69"/>
        <v>0</v>
      </c>
      <c r="K253" s="1686">
        <f t="shared" si="69"/>
        <v>0</v>
      </c>
      <c r="L253" s="1686">
        <f t="shared" si="69"/>
        <v>0</v>
      </c>
      <c r="M253" s="1686">
        <f t="shared" si="69"/>
        <v>0</v>
      </c>
      <c r="N253" s="1686">
        <f t="shared" si="69"/>
        <v>0</v>
      </c>
      <c r="O253" s="1686">
        <f t="shared" si="69"/>
        <v>0</v>
      </c>
      <c r="P253" s="1686">
        <f t="shared" si="69"/>
        <v>0</v>
      </c>
      <c r="Q253" s="1686">
        <f t="shared" si="69"/>
        <v>0</v>
      </c>
      <c r="R253" s="1686">
        <f t="shared" si="69"/>
        <v>0</v>
      </c>
      <c r="S253" s="1686">
        <f t="shared" si="69"/>
        <v>0</v>
      </c>
      <c r="T253" s="1686">
        <f t="shared" si="69"/>
        <v>0</v>
      </c>
      <c r="U253" s="1686">
        <f t="shared" si="69"/>
        <v>0</v>
      </c>
      <c r="V253" s="1686">
        <f t="shared" si="69"/>
        <v>0</v>
      </c>
      <c r="W253" s="1686">
        <f t="shared" si="69"/>
        <v>0</v>
      </c>
      <c r="X253" s="1686">
        <f t="shared" si="69"/>
        <v>0</v>
      </c>
      <c r="Y253" s="1686">
        <f t="shared" si="69"/>
        <v>0</v>
      </c>
      <c r="Z253" s="1686">
        <f t="shared" si="69"/>
        <v>0</v>
      </c>
      <c r="AA253" s="1687">
        <f t="shared" si="69"/>
        <v>0</v>
      </c>
      <c r="AB253" s="1368"/>
    </row>
    <row r="254" spans="1:28" s="200" customFormat="1" x14ac:dyDescent="0.35">
      <c r="A254" s="1368"/>
      <c r="B254" s="43"/>
      <c r="C254" s="44" t="s">
        <v>69</v>
      </c>
      <c r="D254" s="44"/>
      <c r="E254" s="44"/>
      <c r="F254" s="44"/>
      <c r="G254" s="1686">
        <f>G243</f>
        <v>0</v>
      </c>
      <c r="H254" s="1686">
        <v>0</v>
      </c>
      <c r="I254" s="1686">
        <v>0</v>
      </c>
      <c r="J254" s="1686">
        <v>0</v>
      </c>
      <c r="K254" s="1686">
        <v>0</v>
      </c>
      <c r="L254" s="1686">
        <v>0</v>
      </c>
      <c r="M254" s="1686">
        <v>0</v>
      </c>
      <c r="N254" s="1686">
        <v>0</v>
      </c>
      <c r="O254" s="1686">
        <v>0</v>
      </c>
      <c r="P254" s="1686">
        <v>0</v>
      </c>
      <c r="Q254" s="1686">
        <v>0</v>
      </c>
      <c r="R254" s="1686">
        <v>0</v>
      </c>
      <c r="S254" s="1686">
        <v>0</v>
      </c>
      <c r="T254" s="1686">
        <v>0</v>
      </c>
      <c r="U254" s="1686">
        <v>0</v>
      </c>
      <c r="V254" s="1686">
        <v>0</v>
      </c>
      <c r="W254" s="1686">
        <v>0</v>
      </c>
      <c r="X254" s="1686">
        <v>0</v>
      </c>
      <c r="Y254" s="1686">
        <v>0</v>
      </c>
      <c r="Z254" s="1686">
        <v>0</v>
      </c>
      <c r="AA254" s="1687">
        <v>0</v>
      </c>
      <c r="AB254" s="1368"/>
    </row>
    <row r="255" spans="1:28" s="200" customFormat="1" x14ac:dyDescent="0.35">
      <c r="A255" s="1368"/>
      <c r="B255" s="43"/>
      <c r="C255" s="52" t="s">
        <v>70</v>
      </c>
      <c r="D255" s="52"/>
      <c r="E255" s="52"/>
      <c r="F255" s="52"/>
      <c r="G255" s="1688">
        <v>0</v>
      </c>
      <c r="H255" s="1688">
        <f>-H249</f>
        <v>0</v>
      </c>
      <c r="I255" s="1688">
        <f t="shared" ref="I255:AA255" si="70">-I249</f>
        <v>0</v>
      </c>
      <c r="J255" s="1688">
        <f t="shared" si="70"/>
        <v>0</v>
      </c>
      <c r="K255" s="1688">
        <f t="shared" si="70"/>
        <v>0</v>
      </c>
      <c r="L255" s="1688">
        <f t="shared" si="70"/>
        <v>0</v>
      </c>
      <c r="M255" s="1688">
        <f t="shared" si="70"/>
        <v>0</v>
      </c>
      <c r="N255" s="1688">
        <f t="shared" si="70"/>
        <v>0</v>
      </c>
      <c r="O255" s="1688">
        <f t="shared" si="70"/>
        <v>0</v>
      </c>
      <c r="P255" s="1688">
        <f t="shared" si="70"/>
        <v>0</v>
      </c>
      <c r="Q255" s="1688">
        <f t="shared" si="70"/>
        <v>0</v>
      </c>
      <c r="R255" s="1688">
        <f t="shared" si="70"/>
        <v>0</v>
      </c>
      <c r="S255" s="1688">
        <f t="shared" si="70"/>
        <v>0</v>
      </c>
      <c r="T255" s="1688">
        <f t="shared" si="70"/>
        <v>0</v>
      </c>
      <c r="U255" s="1688">
        <f t="shared" si="70"/>
        <v>0</v>
      </c>
      <c r="V255" s="1688">
        <f t="shared" si="70"/>
        <v>0</v>
      </c>
      <c r="W255" s="1688">
        <f t="shared" si="70"/>
        <v>0</v>
      </c>
      <c r="X255" s="1688">
        <f t="shared" si="70"/>
        <v>0</v>
      </c>
      <c r="Y255" s="1688">
        <f t="shared" si="70"/>
        <v>0</v>
      </c>
      <c r="Z255" s="1688">
        <f t="shared" si="70"/>
        <v>0</v>
      </c>
      <c r="AA255" s="1689">
        <f t="shared" si="70"/>
        <v>0</v>
      </c>
      <c r="AB255" s="1368"/>
    </row>
    <row r="256" spans="1:28" s="200" customFormat="1" x14ac:dyDescent="0.35">
      <c r="A256" s="1368"/>
      <c r="B256" s="43"/>
      <c r="C256" s="44" t="s">
        <v>59</v>
      </c>
      <c r="D256" s="44"/>
      <c r="E256" s="44"/>
      <c r="F256" s="44"/>
      <c r="G256" s="1686">
        <f>SUM(G253:G255)</f>
        <v>0</v>
      </c>
      <c r="H256" s="1686">
        <f>SUM(H253:H255)</f>
        <v>0</v>
      </c>
      <c r="I256" s="1686">
        <f t="shared" ref="I256:AA256" si="71">SUM(I253:I255)</f>
        <v>0</v>
      </c>
      <c r="J256" s="1686">
        <f t="shared" si="71"/>
        <v>0</v>
      </c>
      <c r="K256" s="1686">
        <f t="shared" si="71"/>
        <v>0</v>
      </c>
      <c r="L256" s="1686">
        <f t="shared" si="71"/>
        <v>0</v>
      </c>
      <c r="M256" s="1686">
        <f t="shared" si="71"/>
        <v>0</v>
      </c>
      <c r="N256" s="1686">
        <f t="shared" si="71"/>
        <v>0</v>
      </c>
      <c r="O256" s="1686">
        <f t="shared" si="71"/>
        <v>0</v>
      </c>
      <c r="P256" s="1686">
        <f t="shared" si="71"/>
        <v>0</v>
      </c>
      <c r="Q256" s="1686">
        <f t="shared" si="71"/>
        <v>0</v>
      </c>
      <c r="R256" s="1686">
        <f t="shared" si="71"/>
        <v>0</v>
      </c>
      <c r="S256" s="1686">
        <f t="shared" si="71"/>
        <v>0</v>
      </c>
      <c r="T256" s="1686">
        <f t="shared" si="71"/>
        <v>0</v>
      </c>
      <c r="U256" s="1686">
        <f t="shared" si="71"/>
        <v>0</v>
      </c>
      <c r="V256" s="1686">
        <f t="shared" si="71"/>
        <v>0</v>
      </c>
      <c r="W256" s="1686">
        <f t="shared" si="71"/>
        <v>0</v>
      </c>
      <c r="X256" s="1686">
        <f t="shared" si="71"/>
        <v>0</v>
      </c>
      <c r="Y256" s="1686">
        <f t="shared" si="71"/>
        <v>0</v>
      </c>
      <c r="Z256" s="1686">
        <f t="shared" si="71"/>
        <v>0</v>
      </c>
      <c r="AA256" s="1687">
        <f t="shared" si="71"/>
        <v>0</v>
      </c>
      <c r="AB256" s="1368"/>
    </row>
    <row r="257" spans="1:28" s="200" customFormat="1" x14ac:dyDescent="0.35">
      <c r="A257" s="1368"/>
      <c r="B257" s="43"/>
      <c r="C257" s="44"/>
      <c r="D257" s="44"/>
      <c r="E257" s="44"/>
      <c r="F257" s="44"/>
      <c r="G257" s="1686"/>
      <c r="H257" s="1686"/>
      <c r="I257" s="1686"/>
      <c r="J257" s="1686"/>
      <c r="K257" s="1686"/>
      <c r="L257" s="1686"/>
      <c r="M257" s="1686"/>
      <c r="N257" s="1686"/>
      <c r="O257" s="1686"/>
      <c r="P257" s="1686"/>
      <c r="Q257" s="1686"/>
      <c r="R257" s="1686"/>
      <c r="S257" s="1686"/>
      <c r="T257" s="1686"/>
      <c r="U257" s="1686"/>
      <c r="V257" s="1686"/>
      <c r="W257" s="1686"/>
      <c r="X257" s="1686"/>
      <c r="Y257" s="1686"/>
      <c r="Z257" s="1686"/>
      <c r="AA257" s="1687"/>
      <c r="AB257" s="1368"/>
    </row>
    <row r="258" spans="1:28" s="200" customFormat="1" x14ac:dyDescent="0.35">
      <c r="A258" s="1368"/>
      <c r="B258" s="43"/>
      <c r="C258" s="100" t="s">
        <v>64</v>
      </c>
      <c r="D258" s="44"/>
      <c r="E258" s="44"/>
      <c r="F258" s="44"/>
      <c r="G258" s="1686"/>
      <c r="H258" s="1686"/>
      <c r="I258" s="1686"/>
      <c r="J258" s="1686"/>
      <c r="K258" s="1686"/>
      <c r="L258" s="1686"/>
      <c r="M258" s="1686"/>
      <c r="N258" s="1686"/>
      <c r="O258" s="1686"/>
      <c r="P258" s="1686"/>
      <c r="Q258" s="1686"/>
      <c r="R258" s="1686"/>
      <c r="S258" s="1686"/>
      <c r="T258" s="1686"/>
      <c r="U258" s="1686"/>
      <c r="V258" s="1686"/>
      <c r="W258" s="1686"/>
      <c r="X258" s="1686"/>
      <c r="Y258" s="1686"/>
      <c r="Z258" s="1686"/>
      <c r="AA258" s="1687"/>
      <c r="AB258" s="1368"/>
    </row>
    <row r="259" spans="1:28" s="200" customFormat="1" x14ac:dyDescent="0.35">
      <c r="A259" s="1368"/>
      <c r="B259" s="43"/>
      <c r="C259" s="44" t="s">
        <v>201</v>
      </c>
      <c r="D259" s="44"/>
      <c r="E259" s="44"/>
      <c r="F259" s="44"/>
      <c r="G259" s="1686"/>
      <c r="H259" s="1686">
        <f>IF($G$243&gt;0, $G$243*'III. Inputs, Renewable Energy'!$S$55/10000,0)</f>
        <v>0</v>
      </c>
      <c r="I259" s="1686">
        <v>0</v>
      </c>
      <c r="J259" s="1686">
        <v>0</v>
      </c>
      <c r="K259" s="1686">
        <v>0</v>
      </c>
      <c r="L259" s="1686">
        <v>0</v>
      </c>
      <c r="M259" s="1686">
        <v>0</v>
      </c>
      <c r="N259" s="1686">
        <v>0</v>
      </c>
      <c r="O259" s="1686">
        <v>0</v>
      </c>
      <c r="P259" s="1686">
        <v>0</v>
      </c>
      <c r="Q259" s="1686">
        <v>0</v>
      </c>
      <c r="R259" s="1686">
        <v>0</v>
      </c>
      <c r="S259" s="1686">
        <v>0</v>
      </c>
      <c r="T259" s="1686">
        <v>0</v>
      </c>
      <c r="U259" s="1686">
        <v>0</v>
      </c>
      <c r="V259" s="1686">
        <v>0</v>
      </c>
      <c r="W259" s="1686">
        <v>0</v>
      </c>
      <c r="X259" s="1686">
        <v>0</v>
      </c>
      <c r="Y259" s="1686">
        <v>0</v>
      </c>
      <c r="Z259" s="1686">
        <v>0</v>
      </c>
      <c r="AA259" s="1687">
        <v>0</v>
      </c>
      <c r="AB259" s="1368"/>
    </row>
    <row r="260" spans="1:28" s="200" customFormat="1" x14ac:dyDescent="0.35">
      <c r="A260" s="1368"/>
      <c r="B260" s="43"/>
      <c r="C260" s="44"/>
      <c r="D260" s="44"/>
      <c r="E260" s="44"/>
      <c r="F260" s="44"/>
      <c r="G260" s="308"/>
      <c r="H260" s="308"/>
      <c r="I260" s="308"/>
      <c r="J260" s="308"/>
      <c r="K260" s="308"/>
      <c r="L260" s="308"/>
      <c r="M260" s="308"/>
      <c r="N260" s="308"/>
      <c r="O260" s="308"/>
      <c r="P260" s="308"/>
      <c r="Q260" s="308"/>
      <c r="R260" s="308"/>
      <c r="S260" s="308"/>
      <c r="T260" s="308"/>
      <c r="U260" s="308"/>
      <c r="V260" s="308"/>
      <c r="W260" s="308"/>
      <c r="X260" s="308"/>
      <c r="Y260" s="308"/>
      <c r="Z260" s="308"/>
      <c r="AA260" s="309"/>
      <c r="AB260" s="1368"/>
    </row>
    <row r="261" spans="1:28" s="200" customFormat="1" x14ac:dyDescent="0.35">
      <c r="A261" s="1368"/>
      <c r="B261" s="43"/>
      <c r="C261" s="44"/>
      <c r="D261" s="44"/>
      <c r="E261" s="44"/>
      <c r="F261" s="44"/>
      <c r="G261" s="308"/>
      <c r="H261" s="308"/>
      <c r="I261" s="308"/>
      <c r="J261" s="308"/>
      <c r="K261" s="308"/>
      <c r="L261" s="308"/>
      <c r="M261" s="308"/>
      <c r="N261" s="308"/>
      <c r="O261" s="308"/>
      <c r="P261" s="308"/>
      <c r="Q261" s="308"/>
      <c r="R261" s="308"/>
      <c r="S261" s="308"/>
      <c r="T261" s="308"/>
      <c r="U261" s="308"/>
      <c r="V261" s="308"/>
      <c r="W261" s="308"/>
      <c r="X261" s="308"/>
      <c r="Y261" s="308"/>
      <c r="Z261" s="308"/>
      <c r="AA261" s="309"/>
      <c r="AB261" s="1368"/>
    </row>
    <row r="262" spans="1:28" s="200" customFormat="1" ht="13.15" x14ac:dyDescent="0.4">
      <c r="A262" s="1368"/>
      <c r="B262" s="54" t="s">
        <v>79</v>
      </c>
      <c r="C262" s="44"/>
      <c r="D262" s="44"/>
      <c r="E262" s="44"/>
      <c r="F262" s="44"/>
      <c r="G262" s="308"/>
      <c r="H262" s="308"/>
      <c r="I262" s="308"/>
      <c r="J262" s="308"/>
      <c r="K262" s="308"/>
      <c r="L262" s="308"/>
      <c r="M262" s="308"/>
      <c r="N262" s="308"/>
      <c r="O262" s="308"/>
      <c r="P262" s="308"/>
      <c r="Q262" s="308"/>
      <c r="R262" s="308"/>
      <c r="S262" s="308"/>
      <c r="T262" s="308"/>
      <c r="U262" s="308"/>
      <c r="V262" s="308"/>
      <c r="W262" s="308"/>
      <c r="X262" s="308"/>
      <c r="Y262" s="308"/>
      <c r="Z262" s="308"/>
      <c r="AA262" s="309"/>
      <c r="AB262" s="1368"/>
    </row>
    <row r="263" spans="1:28" s="200" customFormat="1" x14ac:dyDescent="0.35">
      <c r="A263" s="1368"/>
      <c r="B263" s="43"/>
      <c r="C263" s="98" t="s">
        <v>77</v>
      </c>
      <c r="D263" s="44"/>
      <c r="E263" s="44"/>
      <c r="F263" s="1662">
        <f>'III. Inputs, Renewable Energy'!U293*'III. Inputs, Renewable Energy'!S33*'III. Inputs, Renewable Energy'!S227</f>
        <v>0</v>
      </c>
      <c r="G263" s="308"/>
      <c r="H263" s="308"/>
      <c r="I263" s="308"/>
      <c r="J263" s="308"/>
      <c r="K263" s="308"/>
      <c r="L263" s="308"/>
      <c r="M263" s="308"/>
      <c r="N263" s="308"/>
      <c r="O263" s="308"/>
      <c r="P263" s="308"/>
      <c r="Q263" s="308"/>
      <c r="R263" s="308"/>
      <c r="S263" s="308"/>
      <c r="T263" s="308"/>
      <c r="U263" s="308"/>
      <c r="V263" s="308"/>
      <c r="W263" s="308"/>
      <c r="X263" s="308"/>
      <c r="Y263" s="308"/>
      <c r="Z263" s="308"/>
      <c r="AA263" s="309"/>
      <c r="AB263" s="1368"/>
    </row>
    <row r="264" spans="1:28" s="200" customFormat="1" x14ac:dyDescent="0.35">
      <c r="A264" s="1368"/>
      <c r="B264" s="43"/>
      <c r="C264" s="98" t="str">
        <f>'III. Inputs, Renewable Energy'!N228</f>
        <v xml:space="preserve">Term of Political Risk Insurance </v>
      </c>
      <c r="D264" s="44"/>
      <c r="E264" s="44"/>
      <c r="F264" s="56">
        <f>'III. Inputs, Renewable Energy'!S228</f>
        <v>0</v>
      </c>
      <c r="G264" s="308"/>
      <c r="H264" s="308"/>
      <c r="I264" s="308"/>
      <c r="J264" s="308"/>
      <c r="K264" s="308"/>
      <c r="L264" s="308"/>
      <c r="M264" s="308"/>
      <c r="N264" s="308"/>
      <c r="O264" s="308"/>
      <c r="P264" s="308"/>
      <c r="Q264" s="308"/>
      <c r="R264" s="308"/>
      <c r="S264" s="308"/>
      <c r="T264" s="308"/>
      <c r="U264" s="308"/>
      <c r="V264" s="308"/>
      <c r="W264" s="308"/>
      <c r="X264" s="308"/>
      <c r="Y264" s="308"/>
      <c r="Z264" s="308"/>
      <c r="AA264" s="309"/>
      <c r="AB264" s="1368"/>
    </row>
    <row r="265" spans="1:28" s="200" customFormat="1" x14ac:dyDescent="0.35">
      <c r="A265" s="1368"/>
      <c r="B265" s="43"/>
      <c r="C265" s="98" t="str">
        <f>'III. Inputs, Renewable Energy'!N229</f>
        <v xml:space="preserve">Front-end Fee </v>
      </c>
      <c r="D265" s="44"/>
      <c r="E265" s="44"/>
      <c r="F265" s="56">
        <f>'III. Inputs, Renewable Energy'!S229</f>
        <v>0</v>
      </c>
      <c r="G265" s="308"/>
      <c r="H265" s="308"/>
      <c r="I265" s="308"/>
      <c r="J265" s="308"/>
      <c r="K265" s="308"/>
      <c r="L265" s="308"/>
      <c r="M265" s="308"/>
      <c r="N265" s="308"/>
      <c r="O265" s="308"/>
      <c r="P265" s="308"/>
      <c r="Q265" s="308"/>
      <c r="R265" s="308"/>
      <c r="S265" s="308"/>
      <c r="T265" s="308"/>
      <c r="U265" s="308"/>
      <c r="V265" s="308"/>
      <c r="W265" s="308"/>
      <c r="X265" s="308"/>
      <c r="Y265" s="308"/>
      <c r="Z265" s="308"/>
      <c r="AA265" s="309"/>
      <c r="AB265" s="1368"/>
    </row>
    <row r="266" spans="1:28" s="200" customFormat="1" x14ac:dyDescent="0.35">
      <c r="A266" s="1368"/>
      <c r="B266" s="43"/>
      <c r="C266" s="98" t="str">
        <f>'III. Inputs, Renewable Energy'!N230</f>
        <v xml:space="preserve">Annual Political Risk Insurance Premium </v>
      </c>
      <c r="D266" s="44"/>
      <c r="E266" s="44"/>
      <c r="F266" s="56">
        <f>'III. Inputs, Renewable Energy'!S230</f>
        <v>0</v>
      </c>
      <c r="G266" s="308"/>
      <c r="H266" s="308"/>
      <c r="I266" s="308"/>
      <c r="J266" s="308"/>
      <c r="K266" s="308"/>
      <c r="L266" s="308"/>
      <c r="M266" s="308"/>
      <c r="N266" s="308"/>
      <c r="O266" s="308"/>
      <c r="P266" s="308"/>
      <c r="Q266" s="308"/>
      <c r="R266" s="308"/>
      <c r="S266" s="308"/>
      <c r="T266" s="308"/>
      <c r="U266" s="308"/>
      <c r="V266" s="308"/>
      <c r="W266" s="308"/>
      <c r="X266" s="308"/>
      <c r="Y266" s="308"/>
      <c r="Z266" s="308"/>
      <c r="AA266" s="309"/>
      <c r="AB266" s="1368"/>
    </row>
    <row r="267" spans="1:28" s="200" customFormat="1" x14ac:dyDescent="0.35">
      <c r="A267" s="1368"/>
      <c r="B267" s="43"/>
      <c r="C267" s="44"/>
      <c r="D267" s="44"/>
      <c r="E267" s="44"/>
      <c r="F267" s="44"/>
      <c r="G267" s="308"/>
      <c r="H267" s="308"/>
      <c r="I267" s="308"/>
      <c r="J267" s="308"/>
      <c r="K267" s="308"/>
      <c r="L267" s="308"/>
      <c r="M267" s="308"/>
      <c r="N267" s="308"/>
      <c r="O267" s="308"/>
      <c r="P267" s="308"/>
      <c r="Q267" s="308"/>
      <c r="R267" s="308"/>
      <c r="S267" s="308"/>
      <c r="T267" s="308"/>
      <c r="U267" s="308"/>
      <c r="V267" s="308"/>
      <c r="W267" s="308"/>
      <c r="X267" s="308"/>
      <c r="Y267" s="308"/>
      <c r="Z267" s="308"/>
      <c r="AA267" s="309"/>
      <c r="AB267" s="1368"/>
    </row>
    <row r="268" spans="1:28" s="200" customFormat="1" x14ac:dyDescent="0.35">
      <c r="A268" s="1368"/>
      <c r="B268" s="43"/>
      <c r="C268" s="100" t="s">
        <v>64</v>
      </c>
      <c r="D268" s="44"/>
      <c r="E268" s="44"/>
      <c r="F268" s="44"/>
      <c r="G268" s="308"/>
      <c r="H268" s="308"/>
      <c r="I268" s="308"/>
      <c r="J268" s="308"/>
      <c r="K268" s="308"/>
      <c r="L268" s="308"/>
      <c r="M268" s="308"/>
      <c r="N268" s="308"/>
      <c r="O268" s="308"/>
      <c r="P268" s="308"/>
      <c r="Q268" s="308"/>
      <c r="R268" s="308"/>
      <c r="S268" s="308"/>
      <c r="T268" s="308"/>
      <c r="U268" s="308"/>
      <c r="V268" s="308"/>
      <c r="W268" s="308"/>
      <c r="X268" s="308"/>
      <c r="Y268" s="308"/>
      <c r="Z268" s="308"/>
      <c r="AA268" s="309"/>
      <c r="AB268" s="1368"/>
    </row>
    <row r="269" spans="1:28" s="200" customFormat="1" x14ac:dyDescent="0.35">
      <c r="A269" s="1368"/>
      <c r="B269" s="43"/>
      <c r="C269" s="44" t="str">
        <f>'III. Inputs, Renewable Energy'!N229</f>
        <v xml:space="preserve">Front-end Fee </v>
      </c>
      <c r="D269" s="44"/>
      <c r="E269" s="44"/>
      <c r="F269" s="44"/>
      <c r="G269" s="308"/>
      <c r="H269" s="1686">
        <f>IF(F263&gt;0, F263*F265/10000, 0)</f>
        <v>0</v>
      </c>
      <c r="I269" s="1686">
        <v>0</v>
      </c>
      <c r="J269" s="1686">
        <v>0</v>
      </c>
      <c r="K269" s="1686">
        <v>0</v>
      </c>
      <c r="L269" s="1686">
        <v>0</v>
      </c>
      <c r="M269" s="1686">
        <v>0</v>
      </c>
      <c r="N269" s="1686">
        <v>0</v>
      </c>
      <c r="O269" s="1686">
        <v>0</v>
      </c>
      <c r="P269" s="1686">
        <v>0</v>
      </c>
      <c r="Q269" s="1686">
        <v>0</v>
      </c>
      <c r="R269" s="1686">
        <v>0</v>
      </c>
      <c r="S269" s="1686">
        <v>0</v>
      </c>
      <c r="T269" s="1686">
        <v>0</v>
      </c>
      <c r="U269" s="1686">
        <v>0</v>
      </c>
      <c r="V269" s="1686">
        <v>0</v>
      </c>
      <c r="W269" s="1686">
        <v>0</v>
      </c>
      <c r="X269" s="1686">
        <v>0</v>
      </c>
      <c r="Y269" s="1686">
        <v>0</v>
      </c>
      <c r="Z269" s="1686">
        <v>0</v>
      </c>
      <c r="AA269" s="1687">
        <v>0</v>
      </c>
      <c r="AB269" s="1368"/>
    </row>
    <row r="270" spans="1:28" s="200" customFormat="1" x14ac:dyDescent="0.35">
      <c r="A270" s="1368"/>
      <c r="B270" s="43"/>
      <c r="C270" s="52" t="str">
        <f>'III. Inputs, Renewable Energy'!N230</f>
        <v xml:space="preserve">Annual Political Risk Insurance Premium </v>
      </c>
      <c r="D270" s="52"/>
      <c r="E270" s="52"/>
      <c r="F270" s="52"/>
      <c r="G270" s="316"/>
      <c r="H270" s="1688">
        <f>IF(H196&gt;$F$264,0,($F$263*$F$266/10000))</f>
        <v>0</v>
      </c>
      <c r="I270" s="1688">
        <f t="shared" ref="I270:AA270" si="72">IF(I196&gt;$F$264,0,($F$263*$F$266/10000))</f>
        <v>0</v>
      </c>
      <c r="J270" s="1688">
        <f t="shared" si="72"/>
        <v>0</v>
      </c>
      <c r="K270" s="1688">
        <f t="shared" si="72"/>
        <v>0</v>
      </c>
      <c r="L270" s="1688">
        <f t="shared" si="72"/>
        <v>0</v>
      </c>
      <c r="M270" s="1688">
        <f t="shared" si="72"/>
        <v>0</v>
      </c>
      <c r="N270" s="1688">
        <f t="shared" si="72"/>
        <v>0</v>
      </c>
      <c r="O270" s="1688">
        <f t="shared" si="72"/>
        <v>0</v>
      </c>
      <c r="P270" s="1688">
        <f t="shared" si="72"/>
        <v>0</v>
      </c>
      <c r="Q270" s="1688">
        <f t="shared" si="72"/>
        <v>0</v>
      </c>
      <c r="R270" s="1688">
        <f t="shared" si="72"/>
        <v>0</v>
      </c>
      <c r="S270" s="1688">
        <f t="shared" si="72"/>
        <v>0</v>
      </c>
      <c r="T270" s="1688">
        <f t="shared" si="72"/>
        <v>0</v>
      </c>
      <c r="U270" s="1688">
        <f t="shared" si="72"/>
        <v>0</v>
      </c>
      <c r="V270" s="1688">
        <f t="shared" si="72"/>
        <v>0</v>
      </c>
      <c r="W270" s="1688">
        <f t="shared" si="72"/>
        <v>0</v>
      </c>
      <c r="X270" s="1688">
        <f t="shared" si="72"/>
        <v>0</v>
      </c>
      <c r="Y270" s="1688">
        <f t="shared" si="72"/>
        <v>0</v>
      </c>
      <c r="Z270" s="1688">
        <f t="shared" si="72"/>
        <v>0</v>
      </c>
      <c r="AA270" s="1689">
        <f t="shared" si="72"/>
        <v>0</v>
      </c>
      <c r="AB270" s="1368"/>
    </row>
    <row r="271" spans="1:28" s="200" customFormat="1" x14ac:dyDescent="0.35">
      <c r="A271" s="1368"/>
      <c r="B271" s="43"/>
      <c r="C271" s="44" t="s">
        <v>78</v>
      </c>
      <c r="D271" s="44"/>
      <c r="E271" s="44"/>
      <c r="F271" s="44"/>
      <c r="G271" s="308"/>
      <c r="H271" s="1686">
        <f>H269+H270</f>
        <v>0</v>
      </c>
      <c r="I271" s="1686">
        <f t="shared" ref="I271:AA271" si="73">I269+I270</f>
        <v>0</v>
      </c>
      <c r="J271" s="1686">
        <f t="shared" si="73"/>
        <v>0</v>
      </c>
      <c r="K271" s="1686">
        <f t="shared" si="73"/>
        <v>0</v>
      </c>
      <c r="L271" s="1686">
        <f t="shared" si="73"/>
        <v>0</v>
      </c>
      <c r="M271" s="1686">
        <f t="shared" si="73"/>
        <v>0</v>
      </c>
      <c r="N271" s="1686">
        <f t="shared" si="73"/>
        <v>0</v>
      </c>
      <c r="O271" s="1686">
        <f t="shared" si="73"/>
        <v>0</v>
      </c>
      <c r="P271" s="1686">
        <f t="shared" si="73"/>
        <v>0</v>
      </c>
      <c r="Q271" s="1686">
        <f t="shared" si="73"/>
        <v>0</v>
      </c>
      <c r="R271" s="1686">
        <f t="shared" si="73"/>
        <v>0</v>
      </c>
      <c r="S271" s="1686">
        <f t="shared" si="73"/>
        <v>0</v>
      </c>
      <c r="T271" s="1686">
        <f t="shared" si="73"/>
        <v>0</v>
      </c>
      <c r="U271" s="1686">
        <f t="shared" si="73"/>
        <v>0</v>
      </c>
      <c r="V271" s="1686">
        <f t="shared" si="73"/>
        <v>0</v>
      </c>
      <c r="W271" s="1686">
        <f t="shared" si="73"/>
        <v>0</v>
      </c>
      <c r="X271" s="1686">
        <f t="shared" si="73"/>
        <v>0</v>
      </c>
      <c r="Y271" s="1686">
        <f t="shared" si="73"/>
        <v>0</v>
      </c>
      <c r="Z271" s="1686">
        <f t="shared" si="73"/>
        <v>0</v>
      </c>
      <c r="AA271" s="1687">
        <f t="shared" si="73"/>
        <v>0</v>
      </c>
      <c r="AB271" s="1368"/>
    </row>
    <row r="272" spans="1:28" s="200" customFormat="1" ht="13.15" thickBot="1" x14ac:dyDescent="0.4">
      <c r="A272" s="1368"/>
      <c r="B272" s="71"/>
      <c r="C272" s="63"/>
      <c r="D272" s="63"/>
      <c r="E272" s="63"/>
      <c r="F272" s="63"/>
      <c r="G272" s="317"/>
      <c r="H272" s="317"/>
      <c r="I272" s="317"/>
      <c r="J272" s="317"/>
      <c r="K272" s="317"/>
      <c r="L272" s="317"/>
      <c r="M272" s="317"/>
      <c r="N272" s="317"/>
      <c r="O272" s="317"/>
      <c r="P272" s="317"/>
      <c r="Q272" s="317"/>
      <c r="R272" s="317"/>
      <c r="S272" s="317"/>
      <c r="T272" s="317"/>
      <c r="U272" s="317"/>
      <c r="V272" s="317"/>
      <c r="W272" s="317"/>
      <c r="X272" s="317"/>
      <c r="Y272" s="317"/>
      <c r="Z272" s="317"/>
      <c r="AA272" s="318"/>
      <c r="AB272" s="1368"/>
    </row>
    <row r="273" spans="1:28" s="203" customFormat="1" ht="13.5" thickBot="1" x14ac:dyDescent="0.45">
      <c r="A273" s="1364"/>
      <c r="B273" s="1364"/>
      <c r="C273" s="1364"/>
      <c r="D273" s="1364"/>
      <c r="E273" s="1364"/>
      <c r="F273" s="1364"/>
      <c r="G273" s="1508"/>
      <c r="H273" s="1508"/>
      <c r="I273" s="1508"/>
      <c r="J273" s="1508"/>
      <c r="K273" s="1508"/>
      <c r="L273" s="1508"/>
      <c r="M273" s="1508"/>
      <c r="N273" s="1508"/>
      <c r="O273" s="1508"/>
      <c r="P273" s="1508"/>
      <c r="Q273" s="1508"/>
      <c r="R273" s="1508"/>
      <c r="S273" s="1508"/>
      <c r="T273" s="1508"/>
      <c r="U273" s="1508"/>
      <c r="V273" s="1508"/>
      <c r="W273" s="1508"/>
      <c r="X273" s="1508"/>
      <c r="Y273" s="1508"/>
      <c r="Z273" s="1508"/>
      <c r="AA273" s="1508"/>
      <c r="AB273" s="1364"/>
    </row>
    <row r="274" spans="1:28" s="200" customFormat="1" ht="13.15" x14ac:dyDescent="0.4">
      <c r="A274" s="1368"/>
      <c r="B274" s="101" t="s">
        <v>397</v>
      </c>
      <c r="C274" s="102"/>
      <c r="D274" s="102"/>
      <c r="E274" s="102"/>
      <c r="F274" s="102"/>
      <c r="G274" s="319"/>
      <c r="H274" s="319"/>
      <c r="I274" s="319"/>
      <c r="J274" s="319"/>
      <c r="K274" s="319"/>
      <c r="L274" s="319"/>
      <c r="M274" s="319"/>
      <c r="N274" s="319"/>
      <c r="O274" s="319"/>
      <c r="P274" s="319"/>
      <c r="Q274" s="319"/>
      <c r="R274" s="319"/>
      <c r="S274" s="319"/>
      <c r="T274" s="319"/>
      <c r="U274" s="319"/>
      <c r="V274" s="319"/>
      <c r="W274" s="319"/>
      <c r="X274" s="319"/>
      <c r="Y274" s="319"/>
      <c r="Z274" s="319"/>
      <c r="AA274" s="320"/>
      <c r="AB274" s="1368"/>
    </row>
    <row r="275" spans="1:28" s="200" customFormat="1" ht="13.15" x14ac:dyDescent="0.4">
      <c r="A275" s="1368"/>
      <c r="B275" s="103"/>
      <c r="C275" s="104"/>
      <c r="D275" s="104"/>
      <c r="E275" s="104"/>
      <c r="F275" s="104"/>
      <c r="G275" s="321"/>
      <c r="H275" s="321"/>
      <c r="I275" s="321"/>
      <c r="J275" s="321"/>
      <c r="K275" s="321"/>
      <c r="L275" s="321"/>
      <c r="M275" s="321"/>
      <c r="N275" s="321"/>
      <c r="O275" s="321"/>
      <c r="P275" s="321"/>
      <c r="Q275" s="321"/>
      <c r="R275" s="321"/>
      <c r="S275" s="321"/>
      <c r="T275" s="321"/>
      <c r="U275" s="321"/>
      <c r="V275" s="321"/>
      <c r="W275" s="321"/>
      <c r="X275" s="321"/>
      <c r="Y275" s="321"/>
      <c r="Z275" s="321"/>
      <c r="AA275" s="322"/>
      <c r="AB275" s="1368"/>
    </row>
    <row r="276" spans="1:28" s="200" customFormat="1" ht="13.15" x14ac:dyDescent="0.4">
      <c r="A276" s="1368"/>
      <c r="B276" s="103" t="s">
        <v>220</v>
      </c>
      <c r="C276" s="104"/>
      <c r="D276" s="104"/>
      <c r="E276" s="104"/>
      <c r="F276" s="104"/>
      <c r="G276" s="321"/>
      <c r="H276" s="321"/>
      <c r="I276" s="321"/>
      <c r="J276" s="321"/>
      <c r="K276" s="321"/>
      <c r="L276" s="321"/>
      <c r="M276" s="321"/>
      <c r="N276" s="321"/>
      <c r="O276" s="321"/>
      <c r="P276" s="321"/>
      <c r="Q276" s="321"/>
      <c r="R276" s="321"/>
      <c r="S276" s="321"/>
      <c r="T276" s="321"/>
      <c r="U276" s="321"/>
      <c r="V276" s="321"/>
      <c r="W276" s="321"/>
      <c r="X276" s="321"/>
      <c r="Y276" s="321"/>
      <c r="Z276" s="321"/>
      <c r="AA276" s="322"/>
      <c r="AB276" s="1368"/>
    </row>
    <row r="277" spans="1:28" s="200" customFormat="1" x14ac:dyDescent="0.35">
      <c r="A277" s="1368"/>
      <c r="B277" s="105"/>
      <c r="C277" s="106" t="s">
        <v>61</v>
      </c>
      <c r="D277" s="107" t="s">
        <v>748</v>
      </c>
      <c r="E277" s="104"/>
      <c r="F277" s="104"/>
      <c r="G277" s="1690">
        <f>IF('III. Inputs, Renewable Energy'!$V$36&gt;0,IF('III. Inputs, Renewable Energy'!U288=0,0,((('III. Inputs, Renewable Energy'!U287+('III. Inputs, Renewable Energy'!U283*'III. Inputs, Renewable Energy'!U285*'III. Inputs, Renewable Energy'!U286))*('III. Inputs, Renewable Energy'!U14/'III. Inputs, Renewable Energy'!U288))*'III. Inputs, Renewable Energy'!V34*SUM('III. Inputs, Renewable Energy'!$V$36))),0)</f>
        <v>0</v>
      </c>
      <c r="H277" s="321"/>
      <c r="I277" s="321"/>
      <c r="J277" s="321"/>
      <c r="K277" s="321"/>
      <c r="L277" s="321"/>
      <c r="M277" s="321"/>
      <c r="N277" s="321"/>
      <c r="O277" s="321"/>
      <c r="P277" s="321"/>
      <c r="Q277" s="321"/>
      <c r="R277" s="321"/>
      <c r="S277" s="321"/>
      <c r="T277" s="321"/>
      <c r="U277" s="321"/>
      <c r="V277" s="321"/>
      <c r="W277" s="321"/>
      <c r="X277" s="321"/>
      <c r="Y277" s="321"/>
      <c r="Z277" s="321"/>
      <c r="AA277" s="322"/>
      <c r="AB277" s="1368"/>
    </row>
    <row r="278" spans="1:28" s="200" customFormat="1" x14ac:dyDescent="0.35">
      <c r="A278" s="1368"/>
      <c r="B278" s="105"/>
      <c r="C278" s="106" t="s">
        <v>62</v>
      </c>
      <c r="D278" s="107" t="s">
        <v>18</v>
      </c>
      <c r="E278" s="104"/>
      <c r="F278" s="104"/>
      <c r="G278" s="323">
        <f>SUM('III. Inputs, Renewable Energy'!$V$48)</f>
        <v>20</v>
      </c>
      <c r="H278" s="321"/>
      <c r="I278" s="321"/>
      <c r="J278" s="321"/>
      <c r="K278" s="321"/>
      <c r="L278" s="321"/>
      <c r="M278" s="321"/>
      <c r="N278" s="321"/>
      <c r="O278" s="321"/>
      <c r="P278" s="321"/>
      <c r="Q278" s="321"/>
      <c r="R278" s="321"/>
      <c r="S278" s="321"/>
      <c r="T278" s="321"/>
      <c r="U278" s="321"/>
      <c r="V278" s="321"/>
      <c r="W278" s="321"/>
      <c r="X278" s="321"/>
      <c r="Y278" s="321"/>
      <c r="Z278" s="321"/>
      <c r="AA278" s="322"/>
      <c r="AB278" s="1368"/>
    </row>
    <row r="279" spans="1:28" s="200" customFormat="1" x14ac:dyDescent="0.35">
      <c r="A279" s="1368"/>
      <c r="B279" s="105"/>
      <c r="C279" s="106" t="s">
        <v>63</v>
      </c>
      <c r="D279" s="107" t="s">
        <v>14</v>
      </c>
      <c r="E279" s="104"/>
      <c r="F279" s="104"/>
      <c r="G279" s="324">
        <f>SUM('III. Inputs, Renewable Energy'!$V$43)</f>
        <v>0.04</v>
      </c>
      <c r="H279" s="321"/>
      <c r="I279" s="321"/>
      <c r="J279" s="321"/>
      <c r="K279" s="321"/>
      <c r="L279" s="321"/>
      <c r="M279" s="321"/>
      <c r="N279" s="321"/>
      <c r="O279" s="321"/>
      <c r="P279" s="321"/>
      <c r="Q279" s="321"/>
      <c r="R279" s="321"/>
      <c r="S279" s="321"/>
      <c r="T279" s="321"/>
      <c r="U279" s="321"/>
      <c r="V279" s="321"/>
      <c r="W279" s="321"/>
      <c r="X279" s="321"/>
      <c r="Y279" s="321"/>
      <c r="Z279" s="321"/>
      <c r="AA279" s="322"/>
      <c r="AB279" s="1368"/>
    </row>
    <row r="280" spans="1:28" s="200" customFormat="1" x14ac:dyDescent="0.35">
      <c r="A280" s="1368"/>
      <c r="B280" s="105"/>
      <c r="C280" s="104"/>
      <c r="D280" s="104"/>
      <c r="E280" s="104"/>
      <c r="F280" s="104"/>
      <c r="G280" s="321"/>
      <c r="H280" s="321"/>
      <c r="I280" s="321"/>
      <c r="J280" s="321"/>
      <c r="K280" s="321"/>
      <c r="L280" s="321"/>
      <c r="M280" s="321"/>
      <c r="N280" s="321"/>
      <c r="O280" s="321"/>
      <c r="P280" s="321"/>
      <c r="Q280" s="321"/>
      <c r="R280" s="321"/>
      <c r="S280" s="321"/>
      <c r="T280" s="321"/>
      <c r="U280" s="321"/>
      <c r="V280" s="321"/>
      <c r="W280" s="321"/>
      <c r="X280" s="321"/>
      <c r="Y280" s="321"/>
      <c r="Z280" s="321"/>
      <c r="AA280" s="322"/>
      <c r="AB280" s="1368"/>
    </row>
    <row r="281" spans="1:28" s="200" customFormat="1" x14ac:dyDescent="0.35">
      <c r="A281" s="1368"/>
      <c r="B281" s="105"/>
      <c r="C281" s="108" t="s">
        <v>60</v>
      </c>
      <c r="D281" s="104"/>
      <c r="E281" s="104"/>
      <c r="F281" s="104"/>
      <c r="G281" s="321"/>
      <c r="H281" s="321"/>
      <c r="I281" s="321"/>
      <c r="J281" s="321"/>
      <c r="K281" s="321"/>
      <c r="L281" s="321"/>
      <c r="M281" s="321"/>
      <c r="N281" s="321"/>
      <c r="O281" s="321"/>
      <c r="P281" s="321"/>
      <c r="Q281" s="321"/>
      <c r="R281" s="321"/>
      <c r="S281" s="321"/>
      <c r="T281" s="321"/>
      <c r="U281" s="321"/>
      <c r="V281" s="321"/>
      <c r="W281" s="321"/>
      <c r="X281" s="321"/>
      <c r="Y281" s="321"/>
      <c r="Z281" s="321"/>
      <c r="AA281" s="322"/>
      <c r="AB281" s="1368"/>
    </row>
    <row r="282" spans="1:28" s="200" customFormat="1" x14ac:dyDescent="0.35">
      <c r="A282" s="1368"/>
      <c r="B282" s="105"/>
      <c r="C282" s="104" t="s">
        <v>66</v>
      </c>
      <c r="D282" s="104"/>
      <c r="E282" s="104"/>
      <c r="F282" s="104"/>
      <c r="G282" s="1690"/>
      <c r="H282" s="1690">
        <f>IF($G$277=0,0,IF(H$196&gt;$G$278,0,IPMT($G$279,H$196,$G$278,-$G$277)))</f>
        <v>0</v>
      </c>
      <c r="I282" s="1690">
        <f t="shared" ref="I282:AA282" si="74">IF($G$277=0,0,IF(I$196&gt;$G$278,0,IPMT($G$279,I$196,$G$278,-$G$277)))</f>
        <v>0</v>
      </c>
      <c r="J282" s="1690">
        <f t="shared" si="74"/>
        <v>0</v>
      </c>
      <c r="K282" s="1690">
        <f t="shared" si="74"/>
        <v>0</v>
      </c>
      <c r="L282" s="1690">
        <f t="shared" si="74"/>
        <v>0</v>
      </c>
      <c r="M282" s="1690">
        <f t="shared" si="74"/>
        <v>0</v>
      </c>
      <c r="N282" s="1690">
        <f t="shared" si="74"/>
        <v>0</v>
      </c>
      <c r="O282" s="1690">
        <f t="shared" si="74"/>
        <v>0</v>
      </c>
      <c r="P282" s="1690">
        <f t="shared" si="74"/>
        <v>0</v>
      </c>
      <c r="Q282" s="1690">
        <f t="shared" si="74"/>
        <v>0</v>
      </c>
      <c r="R282" s="1690">
        <f t="shared" si="74"/>
        <v>0</v>
      </c>
      <c r="S282" s="1690">
        <f t="shared" si="74"/>
        <v>0</v>
      </c>
      <c r="T282" s="1690">
        <f t="shared" si="74"/>
        <v>0</v>
      </c>
      <c r="U282" s="1690">
        <f t="shared" si="74"/>
        <v>0</v>
      </c>
      <c r="V282" s="1690">
        <f t="shared" si="74"/>
        <v>0</v>
      </c>
      <c r="W282" s="1690">
        <f t="shared" si="74"/>
        <v>0</v>
      </c>
      <c r="X282" s="1690">
        <f t="shared" si="74"/>
        <v>0</v>
      </c>
      <c r="Y282" s="1690">
        <f t="shared" si="74"/>
        <v>0</v>
      </c>
      <c r="Z282" s="1690">
        <f t="shared" si="74"/>
        <v>0</v>
      </c>
      <c r="AA282" s="1691">
        <f t="shared" si="74"/>
        <v>0</v>
      </c>
      <c r="AB282" s="1368"/>
    </row>
    <row r="283" spans="1:28" s="200" customFormat="1" x14ac:dyDescent="0.35">
      <c r="A283" s="1368"/>
      <c r="B283" s="105"/>
      <c r="C283" s="109" t="s">
        <v>65</v>
      </c>
      <c r="D283" s="109"/>
      <c r="E283" s="109"/>
      <c r="F283" s="109"/>
      <c r="G283" s="1692"/>
      <c r="H283" s="1692">
        <f>IF($G$277=0,0,IF(H$196&gt;$G$278,0,PPMT($G$279,H$196,$G$278,-$G$277)))</f>
        <v>0</v>
      </c>
      <c r="I283" s="1692">
        <f t="shared" ref="I283:AA283" si="75">IF($G$277=0,0,IF(I$196&gt;$G$278,0,PPMT($G$279,I$196,$G$278,-$G$277)))</f>
        <v>0</v>
      </c>
      <c r="J283" s="1692">
        <f t="shared" si="75"/>
        <v>0</v>
      </c>
      <c r="K283" s="1692">
        <f t="shared" si="75"/>
        <v>0</v>
      </c>
      <c r="L283" s="1692">
        <f t="shared" si="75"/>
        <v>0</v>
      </c>
      <c r="M283" s="1692">
        <f t="shared" si="75"/>
        <v>0</v>
      </c>
      <c r="N283" s="1692">
        <f t="shared" si="75"/>
        <v>0</v>
      </c>
      <c r="O283" s="1692">
        <f t="shared" si="75"/>
        <v>0</v>
      </c>
      <c r="P283" s="1692">
        <f t="shared" si="75"/>
        <v>0</v>
      </c>
      <c r="Q283" s="1692">
        <f t="shared" si="75"/>
        <v>0</v>
      </c>
      <c r="R283" s="1692">
        <f t="shared" si="75"/>
        <v>0</v>
      </c>
      <c r="S283" s="1692">
        <f t="shared" si="75"/>
        <v>0</v>
      </c>
      <c r="T283" s="1692">
        <f t="shared" si="75"/>
        <v>0</v>
      </c>
      <c r="U283" s="1692">
        <f t="shared" si="75"/>
        <v>0</v>
      </c>
      <c r="V283" s="1692">
        <f t="shared" si="75"/>
        <v>0</v>
      </c>
      <c r="W283" s="1692">
        <f t="shared" si="75"/>
        <v>0</v>
      </c>
      <c r="X283" s="1692">
        <f t="shared" si="75"/>
        <v>0</v>
      </c>
      <c r="Y283" s="1692">
        <f t="shared" si="75"/>
        <v>0</v>
      </c>
      <c r="Z283" s="1692">
        <f t="shared" si="75"/>
        <v>0</v>
      </c>
      <c r="AA283" s="1693">
        <f t="shared" si="75"/>
        <v>0</v>
      </c>
      <c r="AB283" s="1368"/>
    </row>
    <row r="284" spans="1:28" s="200" customFormat="1" x14ac:dyDescent="0.35">
      <c r="A284" s="1368"/>
      <c r="B284" s="105"/>
      <c r="C284" s="104" t="s">
        <v>67</v>
      </c>
      <c r="D284" s="104"/>
      <c r="E284" s="104"/>
      <c r="F284" s="104"/>
      <c r="G284" s="1690"/>
      <c r="H284" s="1690">
        <f>SUM(H282:H283)</f>
        <v>0</v>
      </c>
      <c r="I284" s="1690">
        <f t="shared" ref="I284:AA284" si="76">SUM(I282:I283)</f>
        <v>0</v>
      </c>
      <c r="J284" s="1690">
        <f t="shared" si="76"/>
        <v>0</v>
      </c>
      <c r="K284" s="1690">
        <f t="shared" si="76"/>
        <v>0</v>
      </c>
      <c r="L284" s="1690">
        <f t="shared" si="76"/>
        <v>0</v>
      </c>
      <c r="M284" s="1690">
        <f t="shared" si="76"/>
        <v>0</v>
      </c>
      <c r="N284" s="1690">
        <f t="shared" si="76"/>
        <v>0</v>
      </c>
      <c r="O284" s="1690">
        <f t="shared" si="76"/>
        <v>0</v>
      </c>
      <c r="P284" s="1690">
        <f t="shared" si="76"/>
        <v>0</v>
      </c>
      <c r="Q284" s="1690">
        <f t="shared" si="76"/>
        <v>0</v>
      </c>
      <c r="R284" s="1690">
        <f t="shared" si="76"/>
        <v>0</v>
      </c>
      <c r="S284" s="1690">
        <f t="shared" si="76"/>
        <v>0</v>
      </c>
      <c r="T284" s="1690">
        <f t="shared" si="76"/>
        <v>0</v>
      </c>
      <c r="U284" s="1690">
        <f t="shared" si="76"/>
        <v>0</v>
      </c>
      <c r="V284" s="1690">
        <f t="shared" si="76"/>
        <v>0</v>
      </c>
      <c r="W284" s="1690">
        <f t="shared" si="76"/>
        <v>0</v>
      </c>
      <c r="X284" s="1690">
        <f t="shared" si="76"/>
        <v>0</v>
      </c>
      <c r="Y284" s="1690">
        <f t="shared" si="76"/>
        <v>0</v>
      </c>
      <c r="Z284" s="1690">
        <f t="shared" si="76"/>
        <v>0</v>
      </c>
      <c r="AA284" s="1691">
        <f t="shared" si="76"/>
        <v>0</v>
      </c>
      <c r="AB284" s="1368"/>
    </row>
    <row r="285" spans="1:28" s="200" customFormat="1" x14ac:dyDescent="0.35">
      <c r="A285" s="1368"/>
      <c r="B285" s="105"/>
      <c r="C285" s="104"/>
      <c r="D285" s="104"/>
      <c r="E285" s="104"/>
      <c r="F285" s="104"/>
      <c r="G285" s="1690"/>
      <c r="H285" s="1690"/>
      <c r="I285" s="1690"/>
      <c r="J285" s="1690"/>
      <c r="K285" s="1690"/>
      <c r="L285" s="1690"/>
      <c r="M285" s="1690"/>
      <c r="N285" s="1690"/>
      <c r="O285" s="1690"/>
      <c r="P285" s="1690"/>
      <c r="Q285" s="1690"/>
      <c r="R285" s="1690"/>
      <c r="S285" s="1690"/>
      <c r="T285" s="1690"/>
      <c r="U285" s="1690"/>
      <c r="V285" s="1690"/>
      <c r="W285" s="1690"/>
      <c r="X285" s="1690"/>
      <c r="Y285" s="1690"/>
      <c r="Z285" s="1690"/>
      <c r="AA285" s="1691"/>
      <c r="AB285" s="1368"/>
    </row>
    <row r="286" spans="1:28" s="200" customFormat="1" x14ac:dyDescent="0.35">
      <c r="A286" s="1368"/>
      <c r="B286" s="105"/>
      <c r="C286" s="110" t="s">
        <v>58</v>
      </c>
      <c r="D286" s="104"/>
      <c r="E286" s="104"/>
      <c r="F286" s="104"/>
      <c r="G286" s="1690"/>
      <c r="H286" s="1690"/>
      <c r="I286" s="1690"/>
      <c r="J286" s="1690"/>
      <c r="K286" s="1690"/>
      <c r="L286" s="1690"/>
      <c r="M286" s="1690"/>
      <c r="N286" s="1690"/>
      <c r="O286" s="1690"/>
      <c r="P286" s="1690"/>
      <c r="Q286" s="1690"/>
      <c r="R286" s="1690"/>
      <c r="S286" s="1690"/>
      <c r="T286" s="1690"/>
      <c r="U286" s="1690"/>
      <c r="V286" s="1690"/>
      <c r="W286" s="1690"/>
      <c r="X286" s="1690"/>
      <c r="Y286" s="1690"/>
      <c r="Z286" s="1690"/>
      <c r="AA286" s="1691"/>
      <c r="AB286" s="1368"/>
    </row>
    <row r="287" spans="1:28" s="200" customFormat="1" x14ac:dyDescent="0.35">
      <c r="A287" s="1368"/>
      <c r="B287" s="105"/>
      <c r="C287" s="104" t="s">
        <v>68</v>
      </c>
      <c r="D287" s="104"/>
      <c r="E287" s="104"/>
      <c r="F287" s="104"/>
      <c r="G287" s="1690">
        <v>0</v>
      </c>
      <c r="H287" s="1690">
        <f t="shared" ref="H287:AA287" si="77">G290</f>
        <v>0</v>
      </c>
      <c r="I287" s="1690">
        <f t="shared" si="77"/>
        <v>0</v>
      </c>
      <c r="J287" s="1690">
        <f t="shared" si="77"/>
        <v>0</v>
      </c>
      <c r="K287" s="1690">
        <f t="shared" si="77"/>
        <v>0</v>
      </c>
      <c r="L287" s="1690">
        <f t="shared" si="77"/>
        <v>0</v>
      </c>
      <c r="M287" s="1690">
        <f t="shared" si="77"/>
        <v>0</v>
      </c>
      <c r="N287" s="1690">
        <f t="shared" si="77"/>
        <v>0</v>
      </c>
      <c r="O287" s="1690">
        <f t="shared" si="77"/>
        <v>0</v>
      </c>
      <c r="P287" s="1690">
        <f t="shared" si="77"/>
        <v>0</v>
      </c>
      <c r="Q287" s="1690">
        <f t="shared" si="77"/>
        <v>0</v>
      </c>
      <c r="R287" s="1690">
        <f t="shared" si="77"/>
        <v>0</v>
      </c>
      <c r="S287" s="1690">
        <f t="shared" si="77"/>
        <v>0</v>
      </c>
      <c r="T287" s="1690">
        <f t="shared" si="77"/>
        <v>0</v>
      </c>
      <c r="U287" s="1690">
        <f t="shared" si="77"/>
        <v>0</v>
      </c>
      <c r="V287" s="1690">
        <f t="shared" si="77"/>
        <v>0</v>
      </c>
      <c r="W287" s="1690">
        <f t="shared" si="77"/>
        <v>0</v>
      </c>
      <c r="X287" s="1690">
        <f t="shared" si="77"/>
        <v>0</v>
      </c>
      <c r="Y287" s="1690">
        <f t="shared" si="77"/>
        <v>0</v>
      </c>
      <c r="Z287" s="1690">
        <f t="shared" si="77"/>
        <v>0</v>
      </c>
      <c r="AA287" s="1691">
        <f t="shared" si="77"/>
        <v>0</v>
      </c>
      <c r="AB287" s="1368"/>
    </row>
    <row r="288" spans="1:28" s="200" customFormat="1" x14ac:dyDescent="0.35">
      <c r="A288" s="1368"/>
      <c r="B288" s="105"/>
      <c r="C288" s="104" t="s">
        <v>69</v>
      </c>
      <c r="D288" s="104"/>
      <c r="E288" s="104"/>
      <c r="F288" s="104"/>
      <c r="G288" s="1690">
        <f>G277</f>
        <v>0</v>
      </c>
      <c r="H288" s="1690">
        <v>0</v>
      </c>
      <c r="I288" s="1690">
        <v>0</v>
      </c>
      <c r="J288" s="1690">
        <v>0</v>
      </c>
      <c r="K288" s="1690">
        <v>0</v>
      </c>
      <c r="L288" s="1690">
        <v>0</v>
      </c>
      <c r="M288" s="1690">
        <v>0</v>
      </c>
      <c r="N288" s="1690">
        <v>0</v>
      </c>
      <c r="O288" s="1690">
        <v>0</v>
      </c>
      <c r="P288" s="1690">
        <v>0</v>
      </c>
      <c r="Q288" s="1690">
        <v>0</v>
      </c>
      <c r="R288" s="1690">
        <v>0</v>
      </c>
      <c r="S288" s="1690">
        <v>0</v>
      </c>
      <c r="T288" s="1690">
        <v>0</v>
      </c>
      <c r="U288" s="1690">
        <v>0</v>
      </c>
      <c r="V288" s="1690">
        <v>0</v>
      </c>
      <c r="W288" s="1690">
        <v>0</v>
      </c>
      <c r="X288" s="1690">
        <v>0</v>
      </c>
      <c r="Y288" s="1690">
        <v>0</v>
      </c>
      <c r="Z288" s="1690">
        <v>0</v>
      </c>
      <c r="AA288" s="1691">
        <v>0</v>
      </c>
      <c r="AB288" s="1368"/>
    </row>
    <row r="289" spans="1:28" s="200" customFormat="1" x14ac:dyDescent="0.35">
      <c r="A289" s="1368"/>
      <c r="B289" s="105"/>
      <c r="C289" s="109" t="s">
        <v>70</v>
      </c>
      <c r="D289" s="109"/>
      <c r="E289" s="109"/>
      <c r="F289" s="109"/>
      <c r="G289" s="1692">
        <v>0</v>
      </c>
      <c r="H289" s="1692">
        <f t="shared" ref="H289:AA289" si="78">-H283</f>
        <v>0</v>
      </c>
      <c r="I289" s="1692">
        <f t="shared" si="78"/>
        <v>0</v>
      </c>
      <c r="J289" s="1692">
        <f t="shared" si="78"/>
        <v>0</v>
      </c>
      <c r="K289" s="1692">
        <f t="shared" si="78"/>
        <v>0</v>
      </c>
      <c r="L289" s="1692">
        <f t="shared" si="78"/>
        <v>0</v>
      </c>
      <c r="M289" s="1692">
        <f t="shared" si="78"/>
        <v>0</v>
      </c>
      <c r="N289" s="1692">
        <f t="shared" si="78"/>
        <v>0</v>
      </c>
      <c r="O289" s="1692">
        <f t="shared" si="78"/>
        <v>0</v>
      </c>
      <c r="P289" s="1692">
        <f t="shared" si="78"/>
        <v>0</v>
      </c>
      <c r="Q289" s="1692">
        <f t="shared" si="78"/>
        <v>0</v>
      </c>
      <c r="R289" s="1692">
        <f t="shared" si="78"/>
        <v>0</v>
      </c>
      <c r="S289" s="1692">
        <f t="shared" si="78"/>
        <v>0</v>
      </c>
      <c r="T289" s="1692">
        <f t="shared" si="78"/>
        <v>0</v>
      </c>
      <c r="U289" s="1692">
        <f t="shared" si="78"/>
        <v>0</v>
      </c>
      <c r="V289" s="1692">
        <f t="shared" si="78"/>
        <v>0</v>
      </c>
      <c r="W289" s="1692">
        <f t="shared" si="78"/>
        <v>0</v>
      </c>
      <c r="X289" s="1692">
        <f t="shared" si="78"/>
        <v>0</v>
      </c>
      <c r="Y289" s="1692">
        <f t="shared" si="78"/>
        <v>0</v>
      </c>
      <c r="Z289" s="1692">
        <f t="shared" si="78"/>
        <v>0</v>
      </c>
      <c r="AA289" s="1693">
        <f t="shared" si="78"/>
        <v>0</v>
      </c>
      <c r="AB289" s="1368"/>
    </row>
    <row r="290" spans="1:28" s="200" customFormat="1" x14ac:dyDescent="0.35">
      <c r="A290" s="1368"/>
      <c r="B290" s="105"/>
      <c r="C290" s="104" t="s">
        <v>59</v>
      </c>
      <c r="D290" s="104"/>
      <c r="E290" s="104"/>
      <c r="F290" s="104"/>
      <c r="G290" s="1690">
        <f t="shared" ref="G290:AA290" si="79">SUM(G287:G289)</f>
        <v>0</v>
      </c>
      <c r="H290" s="1690">
        <f t="shared" si="79"/>
        <v>0</v>
      </c>
      <c r="I290" s="1690">
        <f t="shared" si="79"/>
        <v>0</v>
      </c>
      <c r="J290" s="1690">
        <f t="shared" si="79"/>
        <v>0</v>
      </c>
      <c r="K290" s="1690">
        <f t="shared" si="79"/>
        <v>0</v>
      </c>
      <c r="L290" s="1690">
        <f t="shared" si="79"/>
        <v>0</v>
      </c>
      <c r="M290" s="1690">
        <f t="shared" si="79"/>
        <v>0</v>
      </c>
      <c r="N290" s="1690">
        <f t="shared" si="79"/>
        <v>0</v>
      </c>
      <c r="O290" s="1690">
        <f t="shared" si="79"/>
        <v>0</v>
      </c>
      <c r="P290" s="1690">
        <f t="shared" si="79"/>
        <v>0</v>
      </c>
      <c r="Q290" s="1690">
        <f t="shared" si="79"/>
        <v>0</v>
      </c>
      <c r="R290" s="1690">
        <f t="shared" si="79"/>
        <v>0</v>
      </c>
      <c r="S290" s="1690">
        <f t="shared" si="79"/>
        <v>0</v>
      </c>
      <c r="T290" s="1690">
        <f t="shared" si="79"/>
        <v>0</v>
      </c>
      <c r="U290" s="1690">
        <f t="shared" si="79"/>
        <v>0</v>
      </c>
      <c r="V290" s="1690">
        <f t="shared" si="79"/>
        <v>0</v>
      </c>
      <c r="W290" s="1690">
        <f t="shared" si="79"/>
        <v>0</v>
      </c>
      <c r="X290" s="1690">
        <f t="shared" si="79"/>
        <v>0</v>
      </c>
      <c r="Y290" s="1690">
        <f t="shared" si="79"/>
        <v>0</v>
      </c>
      <c r="Z290" s="1690">
        <f t="shared" si="79"/>
        <v>0</v>
      </c>
      <c r="AA290" s="1691">
        <f t="shared" si="79"/>
        <v>0</v>
      </c>
      <c r="AB290" s="1368"/>
    </row>
    <row r="291" spans="1:28" s="200" customFormat="1" x14ac:dyDescent="0.35">
      <c r="A291" s="1368"/>
      <c r="B291" s="105"/>
      <c r="C291" s="104"/>
      <c r="D291" s="104"/>
      <c r="E291" s="104"/>
      <c r="F291" s="104"/>
      <c r="G291" s="1690"/>
      <c r="H291" s="1690"/>
      <c r="I291" s="1690"/>
      <c r="J291" s="1690"/>
      <c r="K291" s="1690"/>
      <c r="L291" s="1690"/>
      <c r="M291" s="1690"/>
      <c r="N291" s="1690"/>
      <c r="O291" s="1690"/>
      <c r="P291" s="1690"/>
      <c r="Q291" s="1690"/>
      <c r="R291" s="1690"/>
      <c r="S291" s="1690"/>
      <c r="T291" s="1690"/>
      <c r="U291" s="1690"/>
      <c r="V291" s="1690"/>
      <c r="W291" s="1690"/>
      <c r="X291" s="1690"/>
      <c r="Y291" s="1690"/>
      <c r="Z291" s="1690"/>
      <c r="AA291" s="1691"/>
      <c r="AB291" s="1368"/>
    </row>
    <row r="292" spans="1:28" s="200" customFormat="1" x14ac:dyDescent="0.35">
      <c r="A292" s="1368"/>
      <c r="B292" s="105"/>
      <c r="C292" s="110" t="s">
        <v>64</v>
      </c>
      <c r="D292" s="104"/>
      <c r="E292" s="104"/>
      <c r="F292" s="104"/>
      <c r="G292" s="1690"/>
      <c r="H292" s="1690"/>
      <c r="I292" s="1690"/>
      <c r="J292" s="1690"/>
      <c r="K292" s="1690"/>
      <c r="L292" s="1690"/>
      <c r="M292" s="1690"/>
      <c r="N292" s="1690"/>
      <c r="O292" s="1690"/>
      <c r="P292" s="1690"/>
      <c r="Q292" s="1690"/>
      <c r="R292" s="1690"/>
      <c r="S292" s="1690"/>
      <c r="T292" s="1690"/>
      <c r="U292" s="1690"/>
      <c r="V292" s="1690"/>
      <c r="W292" s="1690"/>
      <c r="X292" s="1690"/>
      <c r="Y292" s="1690"/>
      <c r="Z292" s="1690"/>
      <c r="AA292" s="1691"/>
      <c r="AB292" s="1368"/>
    </row>
    <row r="293" spans="1:28" s="200" customFormat="1" x14ac:dyDescent="0.35">
      <c r="A293" s="1368"/>
      <c r="B293" s="105"/>
      <c r="C293" s="104" t="s">
        <v>203</v>
      </c>
      <c r="D293" s="104"/>
      <c r="E293" s="104"/>
      <c r="F293" s="104"/>
      <c r="G293" s="1690"/>
      <c r="H293" s="1690">
        <f>IF($G$277&gt;0, $G$277*'III. Inputs, Renewable Energy'!$V$53/10000,0)</f>
        <v>0</v>
      </c>
      <c r="I293" s="1690">
        <v>0</v>
      </c>
      <c r="J293" s="1690">
        <v>0</v>
      </c>
      <c r="K293" s="1690">
        <v>0</v>
      </c>
      <c r="L293" s="1690">
        <v>0</v>
      </c>
      <c r="M293" s="1690">
        <v>0</v>
      </c>
      <c r="N293" s="1690">
        <v>0</v>
      </c>
      <c r="O293" s="1690">
        <v>0</v>
      </c>
      <c r="P293" s="1690">
        <v>0</v>
      </c>
      <c r="Q293" s="1690">
        <v>0</v>
      </c>
      <c r="R293" s="1690">
        <v>0</v>
      </c>
      <c r="S293" s="1690">
        <v>0</v>
      </c>
      <c r="T293" s="1690">
        <v>0</v>
      </c>
      <c r="U293" s="1690">
        <v>0</v>
      </c>
      <c r="V293" s="1690">
        <v>0</v>
      </c>
      <c r="W293" s="1690">
        <v>0</v>
      </c>
      <c r="X293" s="1690">
        <v>0</v>
      </c>
      <c r="Y293" s="1690">
        <v>0</v>
      </c>
      <c r="Z293" s="1690">
        <v>0</v>
      </c>
      <c r="AA293" s="1691">
        <v>0</v>
      </c>
      <c r="AB293" s="1368"/>
    </row>
    <row r="294" spans="1:28" s="200" customFormat="1" x14ac:dyDescent="0.35">
      <c r="A294" s="1368"/>
      <c r="B294" s="105"/>
      <c r="C294" s="104"/>
      <c r="D294" s="104"/>
      <c r="E294" s="104"/>
      <c r="F294" s="104"/>
      <c r="G294" s="321"/>
      <c r="H294" s="321"/>
      <c r="I294" s="321"/>
      <c r="J294" s="321"/>
      <c r="K294" s="321"/>
      <c r="L294" s="321"/>
      <c r="M294" s="321"/>
      <c r="N294" s="321"/>
      <c r="O294" s="321"/>
      <c r="P294" s="321"/>
      <c r="Q294" s="321"/>
      <c r="R294" s="321"/>
      <c r="S294" s="321"/>
      <c r="T294" s="321"/>
      <c r="U294" s="321"/>
      <c r="V294" s="321"/>
      <c r="W294" s="321"/>
      <c r="X294" s="321"/>
      <c r="Y294" s="321"/>
      <c r="Z294" s="321"/>
      <c r="AA294" s="322"/>
      <c r="AB294" s="1368"/>
    </row>
    <row r="295" spans="1:28" s="200" customFormat="1" ht="13.15" x14ac:dyDescent="0.4">
      <c r="A295" s="1368"/>
      <c r="B295" s="103" t="s">
        <v>151</v>
      </c>
      <c r="C295" s="104"/>
      <c r="D295" s="104"/>
      <c r="E295" s="104"/>
      <c r="F295" s="104"/>
      <c r="G295" s="321"/>
      <c r="H295" s="321"/>
      <c r="I295" s="321"/>
      <c r="J295" s="321"/>
      <c r="K295" s="321"/>
      <c r="L295" s="321"/>
      <c r="M295" s="321"/>
      <c r="N295" s="321"/>
      <c r="O295" s="321"/>
      <c r="P295" s="321"/>
      <c r="Q295" s="321"/>
      <c r="R295" s="321"/>
      <c r="S295" s="321"/>
      <c r="T295" s="321"/>
      <c r="U295" s="321"/>
      <c r="V295" s="321"/>
      <c r="W295" s="321"/>
      <c r="X295" s="321"/>
      <c r="Y295" s="321"/>
      <c r="Z295" s="321"/>
      <c r="AA295" s="322"/>
      <c r="AB295" s="1368"/>
    </row>
    <row r="296" spans="1:28" s="200" customFormat="1" x14ac:dyDescent="0.35">
      <c r="A296" s="1368"/>
      <c r="B296" s="105"/>
      <c r="C296" s="106" t="s">
        <v>61</v>
      </c>
      <c r="D296" s="107" t="s">
        <v>748</v>
      </c>
      <c r="E296" s="104"/>
      <c r="F296" s="104"/>
      <c r="G296" s="1690">
        <f>IF('III. Inputs, Renewable Energy'!$V$37&gt;0,IF('III. Inputs, Renewable Energy'!U288=0,0,((('III. Inputs, Renewable Energy'!U287+('III. Inputs, Renewable Energy'!U283*'III. Inputs, Renewable Energy'!U285*'III. Inputs, Renewable Energy'!U286))*('III. Inputs, Renewable Energy'!U14/'III. Inputs, Renewable Energy'!U288))*'III. Inputs, Renewable Energy'!V34*SUM('III. Inputs, Renewable Energy'!$V$37))),0)</f>
        <v>0</v>
      </c>
      <c r="H296" s="321"/>
      <c r="I296" s="321"/>
      <c r="J296" s="321"/>
      <c r="K296" s="321"/>
      <c r="L296" s="321"/>
      <c r="M296" s="321"/>
      <c r="N296" s="321"/>
      <c r="O296" s="321"/>
      <c r="P296" s="321"/>
      <c r="Q296" s="321"/>
      <c r="R296" s="321"/>
      <c r="S296" s="321"/>
      <c r="T296" s="321"/>
      <c r="U296" s="321"/>
      <c r="V296" s="321"/>
      <c r="W296" s="321"/>
      <c r="X296" s="321"/>
      <c r="Y296" s="321"/>
      <c r="Z296" s="321"/>
      <c r="AA296" s="322"/>
      <c r="AB296" s="1368"/>
    </row>
    <row r="297" spans="1:28" s="200" customFormat="1" x14ac:dyDescent="0.35">
      <c r="A297" s="1368"/>
      <c r="B297" s="105"/>
      <c r="C297" s="106" t="s">
        <v>62</v>
      </c>
      <c r="D297" s="107" t="s">
        <v>18</v>
      </c>
      <c r="E297" s="104"/>
      <c r="F297" s="104"/>
      <c r="G297" s="323">
        <f>SUM('III. Inputs, Renewable Energy'!$V$49)</f>
        <v>0</v>
      </c>
      <c r="H297" s="321"/>
      <c r="I297" s="321"/>
      <c r="J297" s="321"/>
      <c r="K297" s="321"/>
      <c r="L297" s="321"/>
      <c r="M297" s="321"/>
      <c r="N297" s="321"/>
      <c r="O297" s="321"/>
      <c r="P297" s="321"/>
      <c r="Q297" s="321"/>
      <c r="R297" s="321"/>
      <c r="S297" s="321"/>
      <c r="T297" s="321"/>
      <c r="U297" s="321"/>
      <c r="V297" s="321"/>
      <c r="W297" s="321"/>
      <c r="X297" s="321"/>
      <c r="Y297" s="321"/>
      <c r="Z297" s="321"/>
      <c r="AA297" s="322"/>
      <c r="AB297" s="1368"/>
    </row>
    <row r="298" spans="1:28" s="200" customFormat="1" x14ac:dyDescent="0.35">
      <c r="A298" s="1368"/>
      <c r="B298" s="105"/>
      <c r="C298" s="106" t="s">
        <v>63</v>
      </c>
      <c r="D298" s="107" t="s">
        <v>14</v>
      </c>
      <c r="E298" s="104"/>
      <c r="F298" s="104"/>
      <c r="G298" s="324">
        <f>SUM('III. Inputs, Renewable Energy'!$V$44)</f>
        <v>0</v>
      </c>
      <c r="H298" s="321"/>
      <c r="I298" s="321"/>
      <c r="J298" s="321"/>
      <c r="K298" s="321"/>
      <c r="L298" s="321"/>
      <c r="M298" s="321"/>
      <c r="N298" s="321"/>
      <c r="O298" s="321"/>
      <c r="P298" s="321"/>
      <c r="Q298" s="321"/>
      <c r="R298" s="321"/>
      <c r="S298" s="321"/>
      <c r="T298" s="321"/>
      <c r="U298" s="321"/>
      <c r="V298" s="321"/>
      <c r="W298" s="321"/>
      <c r="X298" s="321"/>
      <c r="Y298" s="321"/>
      <c r="Z298" s="321"/>
      <c r="AA298" s="322"/>
      <c r="AB298" s="1368"/>
    </row>
    <row r="299" spans="1:28" s="200" customFormat="1" x14ac:dyDescent="0.35">
      <c r="A299" s="1368"/>
      <c r="B299" s="105"/>
      <c r="C299" s="104" t="s">
        <v>204</v>
      </c>
      <c r="D299" s="107" t="s">
        <v>14</v>
      </c>
      <c r="E299" s="104"/>
      <c r="F299" s="104"/>
      <c r="G299" s="325">
        <f>IF('III. Inputs, Renewable Energy'!$V$128="N", 0, 'III. Inputs, Renewable Energy'!$V$222)</f>
        <v>0</v>
      </c>
      <c r="H299" s="321"/>
      <c r="I299" s="321"/>
      <c r="J299" s="321"/>
      <c r="K299" s="321"/>
      <c r="L299" s="321"/>
      <c r="M299" s="321"/>
      <c r="N299" s="321"/>
      <c r="O299" s="321"/>
      <c r="P299" s="321"/>
      <c r="Q299" s="321"/>
      <c r="R299" s="321"/>
      <c r="S299" s="321"/>
      <c r="T299" s="321"/>
      <c r="U299" s="321"/>
      <c r="V299" s="321"/>
      <c r="W299" s="321"/>
      <c r="X299" s="321"/>
      <c r="Y299" s="321"/>
      <c r="Z299" s="321"/>
      <c r="AA299" s="322"/>
      <c r="AB299" s="1368"/>
    </row>
    <row r="300" spans="1:28" s="200" customFormat="1" x14ac:dyDescent="0.35">
      <c r="A300" s="1368"/>
      <c r="B300" s="105"/>
      <c r="C300" s="104" t="s">
        <v>178</v>
      </c>
      <c r="D300" s="107" t="s">
        <v>18</v>
      </c>
      <c r="E300" s="104"/>
      <c r="F300" s="104"/>
      <c r="G300" s="326">
        <f>IF('III. Inputs, Renewable Energy'!$V$128="N", 0, 'III. Inputs, Renewable Energy'!$V$223)</f>
        <v>0</v>
      </c>
      <c r="H300" s="321"/>
      <c r="I300" s="321"/>
      <c r="J300" s="321"/>
      <c r="K300" s="321"/>
      <c r="L300" s="321"/>
      <c r="M300" s="321"/>
      <c r="N300" s="321"/>
      <c r="O300" s="321"/>
      <c r="P300" s="321"/>
      <c r="Q300" s="321"/>
      <c r="R300" s="321"/>
      <c r="S300" s="321"/>
      <c r="T300" s="321"/>
      <c r="U300" s="321"/>
      <c r="V300" s="321"/>
      <c r="W300" s="321"/>
      <c r="X300" s="321"/>
      <c r="Y300" s="321"/>
      <c r="Z300" s="321"/>
      <c r="AA300" s="322"/>
      <c r="AB300" s="1368"/>
    </row>
    <row r="301" spans="1:28" s="200" customFormat="1" x14ac:dyDescent="0.35">
      <c r="A301" s="1368"/>
      <c r="B301" s="105"/>
      <c r="C301" s="104"/>
      <c r="D301" s="104"/>
      <c r="E301" s="104"/>
      <c r="F301" s="104"/>
      <c r="G301" s="321"/>
      <c r="H301" s="321"/>
      <c r="I301" s="321"/>
      <c r="J301" s="321"/>
      <c r="K301" s="321"/>
      <c r="L301" s="321"/>
      <c r="M301" s="321"/>
      <c r="N301" s="321"/>
      <c r="O301" s="321"/>
      <c r="P301" s="321"/>
      <c r="Q301" s="321"/>
      <c r="R301" s="321"/>
      <c r="S301" s="321"/>
      <c r="T301" s="321"/>
      <c r="U301" s="321"/>
      <c r="V301" s="321"/>
      <c r="W301" s="321"/>
      <c r="X301" s="321"/>
      <c r="Y301" s="321"/>
      <c r="Z301" s="321"/>
      <c r="AA301" s="322"/>
      <c r="AB301" s="1368"/>
    </row>
    <row r="302" spans="1:28" s="200" customFormat="1" x14ac:dyDescent="0.35">
      <c r="A302" s="1368"/>
      <c r="B302" s="105"/>
      <c r="C302" s="108" t="s">
        <v>60</v>
      </c>
      <c r="D302" s="104"/>
      <c r="E302" s="104"/>
      <c r="F302" s="104"/>
      <c r="G302" s="327"/>
      <c r="H302" s="327"/>
      <c r="I302" s="327"/>
      <c r="J302" s="327"/>
      <c r="K302" s="327"/>
      <c r="L302" s="327"/>
      <c r="M302" s="327"/>
      <c r="N302" s="327"/>
      <c r="O302" s="327"/>
      <c r="P302" s="327"/>
      <c r="Q302" s="327"/>
      <c r="R302" s="327"/>
      <c r="S302" s="327"/>
      <c r="T302" s="327"/>
      <c r="U302" s="327"/>
      <c r="V302" s="327"/>
      <c r="W302" s="327"/>
      <c r="X302" s="327"/>
      <c r="Y302" s="327"/>
      <c r="Z302" s="327"/>
      <c r="AA302" s="328"/>
      <c r="AB302" s="1504"/>
    </row>
    <row r="303" spans="1:28" s="200" customFormat="1" x14ac:dyDescent="0.35">
      <c r="A303" s="1368"/>
      <c r="B303" s="105"/>
      <c r="C303" s="104" t="s">
        <v>66</v>
      </c>
      <c r="D303" s="104"/>
      <c r="E303" s="104"/>
      <c r="F303" s="104"/>
      <c r="G303" s="1690"/>
      <c r="H303" s="1690">
        <f>IF($G$296=0,0,IF(H$196&gt;$G$297,0,IPMT($G$298,H$196,$G$297,-$G$296)))</f>
        <v>0</v>
      </c>
      <c r="I303" s="1690">
        <f t="shared" ref="I303:AA303" si="80">IF($G$296=0,0,IF(I$196&gt;$G$297,0,IPMT($G$298,I$196,$G$297,-$G$296)))</f>
        <v>0</v>
      </c>
      <c r="J303" s="1690">
        <f t="shared" si="80"/>
        <v>0</v>
      </c>
      <c r="K303" s="1690">
        <f t="shared" si="80"/>
        <v>0</v>
      </c>
      <c r="L303" s="1690">
        <f t="shared" si="80"/>
        <v>0</v>
      </c>
      <c r="M303" s="1690">
        <f t="shared" si="80"/>
        <v>0</v>
      </c>
      <c r="N303" s="1690">
        <f t="shared" si="80"/>
        <v>0</v>
      </c>
      <c r="O303" s="1690">
        <f t="shared" si="80"/>
        <v>0</v>
      </c>
      <c r="P303" s="1690">
        <f t="shared" si="80"/>
        <v>0</v>
      </c>
      <c r="Q303" s="1690">
        <f t="shared" si="80"/>
        <v>0</v>
      </c>
      <c r="R303" s="1690">
        <f t="shared" si="80"/>
        <v>0</v>
      </c>
      <c r="S303" s="1690">
        <f t="shared" si="80"/>
        <v>0</v>
      </c>
      <c r="T303" s="1690">
        <f t="shared" si="80"/>
        <v>0</v>
      </c>
      <c r="U303" s="1690">
        <f t="shared" si="80"/>
        <v>0</v>
      </c>
      <c r="V303" s="1690">
        <f t="shared" si="80"/>
        <v>0</v>
      </c>
      <c r="W303" s="1690">
        <f t="shared" si="80"/>
        <v>0</v>
      </c>
      <c r="X303" s="1690">
        <f t="shared" si="80"/>
        <v>0</v>
      </c>
      <c r="Y303" s="1690">
        <f t="shared" si="80"/>
        <v>0</v>
      </c>
      <c r="Z303" s="1690">
        <f t="shared" si="80"/>
        <v>0</v>
      </c>
      <c r="AA303" s="1691">
        <f t="shared" si="80"/>
        <v>0</v>
      </c>
      <c r="AB303" s="1504"/>
    </row>
    <row r="304" spans="1:28" s="200" customFormat="1" x14ac:dyDescent="0.35">
      <c r="A304" s="1368"/>
      <c r="B304" s="105"/>
      <c r="C304" s="109" t="s">
        <v>65</v>
      </c>
      <c r="D304" s="109"/>
      <c r="E304" s="109"/>
      <c r="F304" s="109"/>
      <c r="G304" s="1692"/>
      <c r="H304" s="1692">
        <f>IF($G$296=0,0,IF(H$196&gt;$G$297,0,PPMT($G$298,H$196,$G$297,-$G$296)))</f>
        <v>0</v>
      </c>
      <c r="I304" s="1692">
        <f t="shared" ref="I304:AA304" si="81">IF($G$296=0,0,IF(I$196&gt;$G$297,0,PPMT($G$298,I$196,$G$297,-$G$296)))</f>
        <v>0</v>
      </c>
      <c r="J304" s="1692">
        <f t="shared" si="81"/>
        <v>0</v>
      </c>
      <c r="K304" s="1692">
        <f t="shared" si="81"/>
        <v>0</v>
      </c>
      <c r="L304" s="1692">
        <f t="shared" si="81"/>
        <v>0</v>
      </c>
      <c r="M304" s="1692">
        <f t="shared" si="81"/>
        <v>0</v>
      </c>
      <c r="N304" s="1692">
        <f t="shared" si="81"/>
        <v>0</v>
      </c>
      <c r="O304" s="1692">
        <f t="shared" si="81"/>
        <v>0</v>
      </c>
      <c r="P304" s="1692">
        <f t="shared" si="81"/>
        <v>0</v>
      </c>
      <c r="Q304" s="1692">
        <f t="shared" si="81"/>
        <v>0</v>
      </c>
      <c r="R304" s="1692">
        <f t="shared" si="81"/>
        <v>0</v>
      </c>
      <c r="S304" s="1692">
        <f t="shared" si="81"/>
        <v>0</v>
      </c>
      <c r="T304" s="1692">
        <f t="shared" si="81"/>
        <v>0</v>
      </c>
      <c r="U304" s="1692">
        <f t="shared" si="81"/>
        <v>0</v>
      </c>
      <c r="V304" s="1692">
        <f t="shared" si="81"/>
        <v>0</v>
      </c>
      <c r="W304" s="1692">
        <f t="shared" si="81"/>
        <v>0</v>
      </c>
      <c r="X304" s="1692">
        <f t="shared" si="81"/>
        <v>0</v>
      </c>
      <c r="Y304" s="1692">
        <f t="shared" si="81"/>
        <v>0</v>
      </c>
      <c r="Z304" s="1692">
        <f t="shared" si="81"/>
        <v>0</v>
      </c>
      <c r="AA304" s="1693">
        <f t="shared" si="81"/>
        <v>0</v>
      </c>
      <c r="AB304" s="1504"/>
    </row>
    <row r="305" spans="1:28" s="200" customFormat="1" x14ac:dyDescent="0.35">
      <c r="A305" s="1368"/>
      <c r="B305" s="105"/>
      <c r="C305" s="104" t="s">
        <v>67</v>
      </c>
      <c r="D305" s="104"/>
      <c r="E305" s="104"/>
      <c r="F305" s="104"/>
      <c r="G305" s="1690"/>
      <c r="H305" s="1690">
        <f>SUM(H303:H304)</f>
        <v>0</v>
      </c>
      <c r="I305" s="1690">
        <f t="shared" ref="I305:AA305" si="82">SUM(I303:I304)</f>
        <v>0</v>
      </c>
      <c r="J305" s="1690">
        <f t="shared" si="82"/>
        <v>0</v>
      </c>
      <c r="K305" s="1690">
        <f t="shared" si="82"/>
        <v>0</v>
      </c>
      <c r="L305" s="1690">
        <f t="shared" si="82"/>
        <v>0</v>
      </c>
      <c r="M305" s="1690">
        <f t="shared" si="82"/>
        <v>0</v>
      </c>
      <c r="N305" s="1690">
        <f t="shared" si="82"/>
        <v>0</v>
      </c>
      <c r="O305" s="1690">
        <f t="shared" si="82"/>
        <v>0</v>
      </c>
      <c r="P305" s="1690">
        <f t="shared" si="82"/>
        <v>0</v>
      </c>
      <c r="Q305" s="1690">
        <f t="shared" si="82"/>
        <v>0</v>
      </c>
      <c r="R305" s="1690">
        <f t="shared" si="82"/>
        <v>0</v>
      </c>
      <c r="S305" s="1690">
        <f t="shared" si="82"/>
        <v>0</v>
      </c>
      <c r="T305" s="1690">
        <f t="shared" si="82"/>
        <v>0</v>
      </c>
      <c r="U305" s="1690">
        <f t="shared" si="82"/>
        <v>0</v>
      </c>
      <c r="V305" s="1690">
        <f t="shared" si="82"/>
        <v>0</v>
      </c>
      <c r="W305" s="1690">
        <f t="shared" si="82"/>
        <v>0</v>
      </c>
      <c r="X305" s="1690">
        <f t="shared" si="82"/>
        <v>0</v>
      </c>
      <c r="Y305" s="1690">
        <f t="shared" si="82"/>
        <v>0</v>
      </c>
      <c r="Z305" s="1690">
        <f t="shared" si="82"/>
        <v>0</v>
      </c>
      <c r="AA305" s="1691">
        <f t="shared" si="82"/>
        <v>0</v>
      </c>
      <c r="AB305" s="1504"/>
    </row>
    <row r="306" spans="1:28" s="200" customFormat="1" x14ac:dyDescent="0.35">
      <c r="A306" s="1368"/>
      <c r="B306" s="105"/>
      <c r="C306" s="104"/>
      <c r="D306" s="104"/>
      <c r="E306" s="104"/>
      <c r="F306" s="104"/>
      <c r="G306" s="1690"/>
      <c r="H306" s="1690"/>
      <c r="I306" s="1690"/>
      <c r="J306" s="1690"/>
      <c r="K306" s="1690"/>
      <c r="L306" s="1690"/>
      <c r="M306" s="1690"/>
      <c r="N306" s="1690"/>
      <c r="O306" s="1690"/>
      <c r="P306" s="1690"/>
      <c r="Q306" s="1690"/>
      <c r="R306" s="1690"/>
      <c r="S306" s="1690"/>
      <c r="T306" s="1690"/>
      <c r="U306" s="1690"/>
      <c r="V306" s="1690"/>
      <c r="W306" s="1690"/>
      <c r="X306" s="1690"/>
      <c r="Y306" s="1690"/>
      <c r="Z306" s="1690"/>
      <c r="AA306" s="1691"/>
      <c r="AB306" s="1504"/>
    </row>
    <row r="307" spans="1:28" s="200" customFormat="1" x14ac:dyDescent="0.35">
      <c r="A307" s="1368"/>
      <c r="B307" s="105"/>
      <c r="C307" s="110" t="s">
        <v>58</v>
      </c>
      <c r="D307" s="104"/>
      <c r="E307" s="104"/>
      <c r="F307" s="104"/>
      <c r="G307" s="1690"/>
      <c r="H307" s="1690"/>
      <c r="I307" s="1690"/>
      <c r="J307" s="1690"/>
      <c r="K307" s="1690"/>
      <c r="L307" s="1690"/>
      <c r="M307" s="1690"/>
      <c r="N307" s="1690"/>
      <c r="O307" s="1690"/>
      <c r="P307" s="1690"/>
      <c r="Q307" s="1690"/>
      <c r="R307" s="1690"/>
      <c r="S307" s="1690"/>
      <c r="T307" s="1690"/>
      <c r="U307" s="1690"/>
      <c r="V307" s="1690"/>
      <c r="W307" s="1690"/>
      <c r="X307" s="1690"/>
      <c r="Y307" s="1690"/>
      <c r="Z307" s="1690"/>
      <c r="AA307" s="1691"/>
      <c r="AB307" s="1504"/>
    </row>
    <row r="308" spans="1:28" s="200" customFormat="1" x14ac:dyDescent="0.35">
      <c r="A308" s="1368"/>
      <c r="B308" s="105"/>
      <c r="C308" s="104" t="s">
        <v>68</v>
      </c>
      <c r="D308" s="104"/>
      <c r="E308" s="104"/>
      <c r="F308" s="104"/>
      <c r="G308" s="1690">
        <v>0</v>
      </c>
      <c r="H308" s="1690">
        <f>G311</f>
        <v>0</v>
      </c>
      <c r="I308" s="1690">
        <f t="shared" ref="I308:AA308" si="83">H311</f>
        <v>0</v>
      </c>
      <c r="J308" s="1690">
        <f t="shared" si="83"/>
        <v>0</v>
      </c>
      <c r="K308" s="1690">
        <f t="shared" si="83"/>
        <v>0</v>
      </c>
      <c r="L308" s="1690">
        <f t="shared" si="83"/>
        <v>0</v>
      </c>
      <c r="M308" s="1690">
        <f t="shared" si="83"/>
        <v>0</v>
      </c>
      <c r="N308" s="1690">
        <f t="shared" si="83"/>
        <v>0</v>
      </c>
      <c r="O308" s="1690">
        <f t="shared" si="83"/>
        <v>0</v>
      </c>
      <c r="P308" s="1690">
        <f t="shared" si="83"/>
        <v>0</v>
      </c>
      <c r="Q308" s="1690">
        <f t="shared" si="83"/>
        <v>0</v>
      </c>
      <c r="R308" s="1690">
        <f t="shared" si="83"/>
        <v>0</v>
      </c>
      <c r="S308" s="1690">
        <f t="shared" si="83"/>
        <v>0</v>
      </c>
      <c r="T308" s="1690">
        <f t="shared" si="83"/>
        <v>0</v>
      </c>
      <c r="U308" s="1690">
        <f t="shared" si="83"/>
        <v>0</v>
      </c>
      <c r="V308" s="1690">
        <f t="shared" si="83"/>
        <v>0</v>
      </c>
      <c r="W308" s="1690">
        <f t="shared" si="83"/>
        <v>0</v>
      </c>
      <c r="X308" s="1690">
        <f t="shared" si="83"/>
        <v>0</v>
      </c>
      <c r="Y308" s="1690">
        <f t="shared" si="83"/>
        <v>0</v>
      </c>
      <c r="Z308" s="1690">
        <f t="shared" si="83"/>
        <v>0</v>
      </c>
      <c r="AA308" s="1691">
        <f t="shared" si="83"/>
        <v>0</v>
      </c>
      <c r="AB308" s="1504"/>
    </row>
    <row r="309" spans="1:28" s="200" customFormat="1" x14ac:dyDescent="0.35">
      <c r="A309" s="1368"/>
      <c r="B309" s="105"/>
      <c r="C309" s="104" t="s">
        <v>69</v>
      </c>
      <c r="D309" s="104"/>
      <c r="E309" s="104"/>
      <c r="F309" s="104"/>
      <c r="G309" s="1690">
        <f>G296</f>
        <v>0</v>
      </c>
      <c r="H309" s="1690">
        <v>0</v>
      </c>
      <c r="I309" s="1690">
        <v>0</v>
      </c>
      <c r="J309" s="1690">
        <v>0</v>
      </c>
      <c r="K309" s="1690">
        <v>0</v>
      </c>
      <c r="L309" s="1690">
        <v>0</v>
      </c>
      <c r="M309" s="1690">
        <v>0</v>
      </c>
      <c r="N309" s="1690">
        <v>0</v>
      </c>
      <c r="O309" s="1690">
        <v>0</v>
      </c>
      <c r="P309" s="1690">
        <v>0</v>
      </c>
      <c r="Q309" s="1690">
        <v>0</v>
      </c>
      <c r="R309" s="1690">
        <v>0</v>
      </c>
      <c r="S309" s="1690">
        <v>0</v>
      </c>
      <c r="T309" s="1690">
        <v>0</v>
      </c>
      <c r="U309" s="1690">
        <v>0</v>
      </c>
      <c r="V309" s="1690">
        <v>0</v>
      </c>
      <c r="W309" s="1690">
        <v>0</v>
      </c>
      <c r="X309" s="1690">
        <v>0</v>
      </c>
      <c r="Y309" s="1690">
        <v>0</v>
      </c>
      <c r="Z309" s="1690">
        <v>0</v>
      </c>
      <c r="AA309" s="1691">
        <v>0</v>
      </c>
      <c r="AB309" s="1504"/>
    </row>
    <row r="310" spans="1:28" s="200" customFormat="1" x14ac:dyDescent="0.35">
      <c r="A310" s="1368"/>
      <c r="B310" s="105"/>
      <c r="C310" s="109" t="s">
        <v>70</v>
      </c>
      <c r="D310" s="109"/>
      <c r="E310" s="109"/>
      <c r="F310" s="109"/>
      <c r="G310" s="1692">
        <v>0</v>
      </c>
      <c r="H310" s="1692">
        <f>-H304</f>
        <v>0</v>
      </c>
      <c r="I310" s="1692">
        <f t="shared" ref="I310:AA310" si="84">-I304</f>
        <v>0</v>
      </c>
      <c r="J310" s="1692">
        <f t="shared" si="84"/>
        <v>0</v>
      </c>
      <c r="K310" s="1692">
        <f t="shared" si="84"/>
        <v>0</v>
      </c>
      <c r="L310" s="1692">
        <f t="shared" si="84"/>
        <v>0</v>
      </c>
      <c r="M310" s="1692">
        <f t="shared" si="84"/>
        <v>0</v>
      </c>
      <c r="N310" s="1692">
        <f t="shared" si="84"/>
        <v>0</v>
      </c>
      <c r="O310" s="1692">
        <f t="shared" si="84"/>
        <v>0</v>
      </c>
      <c r="P310" s="1692">
        <f t="shared" si="84"/>
        <v>0</v>
      </c>
      <c r="Q310" s="1692">
        <f t="shared" si="84"/>
        <v>0</v>
      </c>
      <c r="R310" s="1692">
        <f t="shared" si="84"/>
        <v>0</v>
      </c>
      <c r="S310" s="1692">
        <f t="shared" si="84"/>
        <v>0</v>
      </c>
      <c r="T310" s="1692">
        <f t="shared" si="84"/>
        <v>0</v>
      </c>
      <c r="U310" s="1692">
        <f t="shared" si="84"/>
        <v>0</v>
      </c>
      <c r="V310" s="1692">
        <f t="shared" si="84"/>
        <v>0</v>
      </c>
      <c r="W310" s="1692">
        <f t="shared" si="84"/>
        <v>0</v>
      </c>
      <c r="X310" s="1692">
        <f t="shared" si="84"/>
        <v>0</v>
      </c>
      <c r="Y310" s="1692">
        <f t="shared" si="84"/>
        <v>0</v>
      </c>
      <c r="Z310" s="1692">
        <f t="shared" si="84"/>
        <v>0</v>
      </c>
      <c r="AA310" s="1693">
        <f t="shared" si="84"/>
        <v>0</v>
      </c>
      <c r="AB310" s="1504"/>
    </row>
    <row r="311" spans="1:28" s="200" customFormat="1" x14ac:dyDescent="0.35">
      <c r="A311" s="1368"/>
      <c r="B311" s="105"/>
      <c r="C311" s="104" t="s">
        <v>59</v>
      </c>
      <c r="D311" s="104"/>
      <c r="E311" s="104"/>
      <c r="F311" s="104"/>
      <c r="G311" s="1690">
        <f>SUM(G308:G310)</f>
        <v>0</v>
      </c>
      <c r="H311" s="1690">
        <f>SUM(H308:H310)</f>
        <v>0</v>
      </c>
      <c r="I311" s="1690">
        <f t="shared" ref="I311:AA311" si="85">SUM(I308:I310)</f>
        <v>0</v>
      </c>
      <c r="J311" s="1690">
        <f t="shared" si="85"/>
        <v>0</v>
      </c>
      <c r="K311" s="1690">
        <f t="shared" si="85"/>
        <v>0</v>
      </c>
      <c r="L311" s="1690">
        <f t="shared" si="85"/>
        <v>0</v>
      </c>
      <c r="M311" s="1690">
        <f t="shared" si="85"/>
        <v>0</v>
      </c>
      <c r="N311" s="1690">
        <f t="shared" si="85"/>
        <v>0</v>
      </c>
      <c r="O311" s="1690">
        <f t="shared" si="85"/>
        <v>0</v>
      </c>
      <c r="P311" s="1690">
        <f t="shared" si="85"/>
        <v>0</v>
      </c>
      <c r="Q311" s="1690">
        <f t="shared" si="85"/>
        <v>0</v>
      </c>
      <c r="R311" s="1690">
        <f t="shared" si="85"/>
        <v>0</v>
      </c>
      <c r="S311" s="1690">
        <f t="shared" si="85"/>
        <v>0</v>
      </c>
      <c r="T311" s="1690">
        <f t="shared" si="85"/>
        <v>0</v>
      </c>
      <c r="U311" s="1690">
        <f t="shared" si="85"/>
        <v>0</v>
      </c>
      <c r="V311" s="1690">
        <f t="shared" si="85"/>
        <v>0</v>
      </c>
      <c r="W311" s="1690">
        <f t="shared" si="85"/>
        <v>0</v>
      </c>
      <c r="X311" s="1690">
        <f t="shared" si="85"/>
        <v>0</v>
      </c>
      <c r="Y311" s="1690">
        <f t="shared" si="85"/>
        <v>0</v>
      </c>
      <c r="Z311" s="1690">
        <f t="shared" si="85"/>
        <v>0</v>
      </c>
      <c r="AA311" s="1691">
        <f t="shared" si="85"/>
        <v>0</v>
      </c>
      <c r="AB311" s="1504"/>
    </row>
    <row r="312" spans="1:28" s="200" customFormat="1" x14ac:dyDescent="0.35">
      <c r="A312" s="1368"/>
      <c r="B312" s="105"/>
      <c r="C312" s="104"/>
      <c r="D312" s="104"/>
      <c r="E312" s="104"/>
      <c r="F312" s="104"/>
      <c r="G312" s="1690"/>
      <c r="H312" s="1690"/>
      <c r="I312" s="1690"/>
      <c r="J312" s="1690"/>
      <c r="K312" s="1690"/>
      <c r="L312" s="1690"/>
      <c r="M312" s="1690"/>
      <c r="N312" s="1690"/>
      <c r="O312" s="1690"/>
      <c r="P312" s="1690"/>
      <c r="Q312" s="1690"/>
      <c r="R312" s="1690"/>
      <c r="S312" s="1690"/>
      <c r="T312" s="1690"/>
      <c r="U312" s="1690"/>
      <c r="V312" s="1690"/>
      <c r="W312" s="1690"/>
      <c r="X312" s="1690"/>
      <c r="Y312" s="1690"/>
      <c r="Z312" s="1690"/>
      <c r="AA312" s="1691"/>
      <c r="AB312" s="1504"/>
    </row>
    <row r="313" spans="1:28" s="200" customFormat="1" x14ac:dyDescent="0.35">
      <c r="A313" s="1368"/>
      <c r="B313" s="105"/>
      <c r="C313" s="110" t="s">
        <v>64</v>
      </c>
      <c r="D313" s="104"/>
      <c r="E313" s="104"/>
      <c r="F313" s="104"/>
      <c r="G313" s="1690"/>
      <c r="H313" s="1690"/>
      <c r="I313" s="1690"/>
      <c r="J313" s="1690"/>
      <c r="K313" s="1690"/>
      <c r="L313" s="1690"/>
      <c r="M313" s="1690"/>
      <c r="N313" s="1690"/>
      <c r="O313" s="1690"/>
      <c r="P313" s="1690"/>
      <c r="Q313" s="1690"/>
      <c r="R313" s="1690"/>
      <c r="S313" s="1690"/>
      <c r="T313" s="1690"/>
      <c r="U313" s="1690"/>
      <c r="V313" s="1690"/>
      <c r="W313" s="1690"/>
      <c r="X313" s="1690"/>
      <c r="Y313" s="1690"/>
      <c r="Z313" s="1690"/>
      <c r="AA313" s="1691"/>
      <c r="AB313" s="1504"/>
    </row>
    <row r="314" spans="1:28" s="200" customFormat="1" x14ac:dyDescent="0.35">
      <c r="A314" s="1368"/>
      <c r="B314" s="105"/>
      <c r="C314" s="104" t="str">
        <f>'III. Inputs, Renewable Energy'!$N$221</f>
        <v xml:space="preserve">Front-end Fee, Commercial Loans </v>
      </c>
      <c r="D314" s="104"/>
      <c r="E314" s="104"/>
      <c r="F314" s="104"/>
      <c r="G314" s="1690"/>
      <c r="H314" s="1690">
        <f>IF($G$296&gt;0, $G$296*'III. Inputs, Renewable Energy'!$V$221/10000,0)</f>
        <v>0</v>
      </c>
      <c r="I314" s="1690">
        <v>0</v>
      </c>
      <c r="J314" s="1690">
        <v>0</v>
      </c>
      <c r="K314" s="1690">
        <v>0</v>
      </c>
      <c r="L314" s="1690">
        <v>0</v>
      </c>
      <c r="M314" s="1690">
        <v>0</v>
      </c>
      <c r="N314" s="1690">
        <v>0</v>
      </c>
      <c r="O314" s="1690">
        <v>0</v>
      </c>
      <c r="P314" s="1690">
        <v>0</v>
      </c>
      <c r="Q314" s="1690">
        <v>0</v>
      </c>
      <c r="R314" s="1690">
        <v>0</v>
      </c>
      <c r="S314" s="1690">
        <v>0</v>
      </c>
      <c r="T314" s="1690">
        <v>0</v>
      </c>
      <c r="U314" s="1690">
        <v>0</v>
      </c>
      <c r="V314" s="1690">
        <v>0</v>
      </c>
      <c r="W314" s="1690">
        <v>0</v>
      </c>
      <c r="X314" s="1690">
        <v>0</v>
      </c>
      <c r="Y314" s="1690">
        <v>0</v>
      </c>
      <c r="Z314" s="1690">
        <v>0</v>
      </c>
      <c r="AA314" s="1691">
        <v>0</v>
      </c>
      <c r="AB314" s="1504"/>
    </row>
    <row r="315" spans="1:28" s="200" customFormat="1" x14ac:dyDescent="0.35">
      <c r="A315" s="1368"/>
      <c r="B315" s="105"/>
      <c r="C315" s="104" t="str">
        <f>'III. Inputs, Renewable Energy'!$O$224</f>
        <v>Front-end Fee, Public Guarantee</v>
      </c>
      <c r="D315" s="104"/>
      <c r="E315" s="104"/>
      <c r="F315" s="104"/>
      <c r="G315" s="1690"/>
      <c r="H315" s="1690">
        <f>IF($G$296&gt;0, $G$296*$G$299*'III. Inputs, Renewable Energy'!$V$224/10000,0)</f>
        <v>0</v>
      </c>
      <c r="I315" s="1690">
        <v>0</v>
      </c>
      <c r="J315" s="1690">
        <v>0</v>
      </c>
      <c r="K315" s="1690">
        <v>0</v>
      </c>
      <c r="L315" s="1690">
        <v>0</v>
      </c>
      <c r="M315" s="1690">
        <v>0</v>
      </c>
      <c r="N315" s="1690">
        <v>0</v>
      </c>
      <c r="O315" s="1690">
        <v>0</v>
      </c>
      <c r="P315" s="1690">
        <v>0</v>
      </c>
      <c r="Q315" s="1690">
        <v>0</v>
      </c>
      <c r="R315" s="1690">
        <v>0</v>
      </c>
      <c r="S315" s="1690">
        <v>0</v>
      </c>
      <c r="T315" s="1690">
        <v>0</v>
      </c>
      <c r="U315" s="1690">
        <v>0</v>
      </c>
      <c r="V315" s="1690">
        <v>0</v>
      </c>
      <c r="W315" s="1690">
        <v>0</v>
      </c>
      <c r="X315" s="1690">
        <v>0</v>
      </c>
      <c r="Y315" s="1690">
        <v>0</v>
      </c>
      <c r="Z315" s="1690">
        <v>0</v>
      </c>
      <c r="AA315" s="1691">
        <v>0</v>
      </c>
      <c r="AB315" s="1504"/>
    </row>
    <row r="316" spans="1:28" s="200" customFormat="1" x14ac:dyDescent="0.35">
      <c r="A316" s="1368"/>
      <c r="B316" s="105"/>
      <c r="C316" s="104" t="str">
        <f>'III. Inputs, Renewable Energy'!$O$225</f>
        <v>Annual Guarantee Fee</v>
      </c>
      <c r="D316" s="104"/>
      <c r="E316" s="104"/>
      <c r="F316" s="104"/>
      <c r="G316" s="1690"/>
      <c r="H316" s="1690">
        <f>IF(H$196&gt;$G$300,0,((H308+H311)/2)*$G$299*'III. Inputs, Renewable Energy'!$V$225/10000)</f>
        <v>0</v>
      </c>
      <c r="I316" s="1690">
        <f>IF(I$196&gt;$G$300,0,((I308+I311)/2)*$G$299*'III. Inputs, Renewable Energy'!$V$225/10000)</f>
        <v>0</v>
      </c>
      <c r="J316" s="1690">
        <f>IF(J$196&gt;$G$300,0,((J308+J311)/2)*$G$299*'III. Inputs, Renewable Energy'!$V$225/10000)</f>
        <v>0</v>
      </c>
      <c r="K316" s="1690">
        <f>IF(K$196&gt;$G$300,0,((K308+K311)/2)*$G$299*'III. Inputs, Renewable Energy'!$V$225/10000)</f>
        <v>0</v>
      </c>
      <c r="L316" s="1690">
        <f>IF(L$196&gt;$G$300,0,((L308+L311)/2)*$G$299*'III. Inputs, Renewable Energy'!$V$225/10000)</f>
        <v>0</v>
      </c>
      <c r="M316" s="1690">
        <f>IF(M$196&gt;$G$300,0,((M308+M311)/2)*$G$299*'III. Inputs, Renewable Energy'!$V$225/10000)</f>
        <v>0</v>
      </c>
      <c r="N316" s="1690">
        <f>IF(N$196&gt;$G$300,0,((N308+N311)/2)*$G$299*'III. Inputs, Renewable Energy'!$V$225/10000)</f>
        <v>0</v>
      </c>
      <c r="O316" s="1690">
        <f>IF(O$196&gt;$G$300,0,((O308+O311)/2)*$G$299*'III. Inputs, Renewable Energy'!$V$225/10000)</f>
        <v>0</v>
      </c>
      <c r="P316" s="1690">
        <f>IF(P$196&gt;$G$300,0,((P308+P311)/2)*$G$299*'III. Inputs, Renewable Energy'!$V$225/10000)</f>
        <v>0</v>
      </c>
      <c r="Q316" s="1690">
        <f>IF(Q$196&gt;$G$300,0,((Q308+Q311)/2)*$G$299*'III. Inputs, Renewable Energy'!$V$225/10000)</f>
        <v>0</v>
      </c>
      <c r="R316" s="1690">
        <f>IF(R$196&gt;$G$300,0,((R308+R311)/2)*$G$299*'III. Inputs, Renewable Energy'!$V$225/10000)</f>
        <v>0</v>
      </c>
      <c r="S316" s="1690">
        <f>IF(S$196&gt;$G$300,0,((S308+S311)/2)*$G$299*'III. Inputs, Renewable Energy'!$V$225/10000)</f>
        <v>0</v>
      </c>
      <c r="T316" s="1690">
        <f>IF(T$196&gt;$G$300,0,((T308+T311)/2)*$G$299*'III. Inputs, Renewable Energy'!$V$225/10000)</f>
        <v>0</v>
      </c>
      <c r="U316" s="1690">
        <f>IF(U$196&gt;$G$300,0,((U308+U311)/2)*$G$299*'III. Inputs, Renewable Energy'!$V$225/10000)</f>
        <v>0</v>
      </c>
      <c r="V316" s="1690">
        <f>IF(V$196&gt;$G$300,0,((V308+V311)/2)*$G$299*'III. Inputs, Renewable Energy'!$V$225/10000)</f>
        <v>0</v>
      </c>
      <c r="W316" s="1690">
        <f>IF(W$196&gt;$G$300,0,((W308+W311)/2)*$G$299*'III. Inputs, Renewable Energy'!$V$225/10000)</f>
        <v>0</v>
      </c>
      <c r="X316" s="1690">
        <f>IF(X$196&gt;$G$300,0,((X308+X311)/2)*$G$299*'III. Inputs, Renewable Energy'!$V$225/10000)</f>
        <v>0</v>
      </c>
      <c r="Y316" s="1690">
        <f>IF(Y$196&gt;$G$300,0,((Y308+Y311)/2)*$G$299*'III. Inputs, Renewable Energy'!$V$225/10000)</f>
        <v>0</v>
      </c>
      <c r="Z316" s="1690">
        <f>IF(Z$196&gt;$G$300,0,((Z308+Z311)/2)*$G$299*'III. Inputs, Renewable Energy'!$V$225/10000)</f>
        <v>0</v>
      </c>
      <c r="AA316" s="1691">
        <f>IF(AA$196&gt;$G$300,0,((AA308+AA311)/2)*$G$299*'III. Inputs, Renewable Energy'!$V$225/10000)</f>
        <v>0</v>
      </c>
      <c r="AB316" s="1504"/>
    </row>
    <row r="317" spans="1:28" s="200" customFormat="1" x14ac:dyDescent="0.35">
      <c r="A317" s="1368"/>
      <c r="B317" s="105"/>
      <c r="C317" s="104"/>
      <c r="D317" s="104"/>
      <c r="E317" s="104"/>
      <c r="F317" s="104"/>
      <c r="G317" s="321"/>
      <c r="H317" s="321"/>
      <c r="I317" s="321"/>
      <c r="J317" s="321"/>
      <c r="K317" s="321"/>
      <c r="L317" s="321"/>
      <c r="M317" s="321"/>
      <c r="N317" s="321"/>
      <c r="O317" s="321"/>
      <c r="P317" s="321"/>
      <c r="Q317" s="321"/>
      <c r="R317" s="321"/>
      <c r="S317" s="321"/>
      <c r="T317" s="321"/>
      <c r="U317" s="321"/>
      <c r="V317" s="321"/>
      <c r="W317" s="321"/>
      <c r="X317" s="321"/>
      <c r="Y317" s="321"/>
      <c r="Z317" s="321"/>
      <c r="AA317" s="322"/>
      <c r="AB317" s="1368"/>
    </row>
    <row r="318" spans="1:28" s="200" customFormat="1" ht="13.15" x14ac:dyDescent="0.4">
      <c r="A318" s="1368"/>
      <c r="B318" s="103" t="s">
        <v>152</v>
      </c>
      <c r="C318" s="104"/>
      <c r="D318" s="104"/>
      <c r="E318" s="104"/>
      <c r="F318" s="104"/>
      <c r="G318" s="321"/>
      <c r="H318" s="321"/>
      <c r="I318" s="321"/>
      <c r="J318" s="321"/>
      <c r="K318" s="321"/>
      <c r="L318" s="321"/>
      <c r="M318" s="321"/>
      <c r="N318" s="321"/>
      <c r="O318" s="321"/>
      <c r="P318" s="321"/>
      <c r="Q318" s="321"/>
      <c r="R318" s="321"/>
      <c r="S318" s="321"/>
      <c r="T318" s="321"/>
      <c r="U318" s="321"/>
      <c r="V318" s="321"/>
      <c r="W318" s="321"/>
      <c r="X318" s="321"/>
      <c r="Y318" s="321"/>
      <c r="Z318" s="321"/>
      <c r="AA318" s="322"/>
      <c r="AB318" s="1368"/>
    </row>
    <row r="319" spans="1:28" s="200" customFormat="1" x14ac:dyDescent="0.35">
      <c r="A319" s="1368"/>
      <c r="B319" s="105"/>
      <c r="C319" s="106" t="s">
        <v>61</v>
      </c>
      <c r="D319" s="104"/>
      <c r="E319" s="104"/>
      <c r="F319" s="104"/>
      <c r="G319" s="1690">
        <f>IF('III. Inputs, Renewable Energy'!$V$38&gt;0,((('III. Inputs, Renewable Energy'!U287+('III. Inputs, Renewable Energy'!U283*'III. Inputs, Renewable Energy'!U285*'III. Inputs, Renewable Energy'!U286))*('III. Inputs, Renewable Energy'!U14/'III. Inputs, Renewable Energy'!U288))*'III. Inputs, Renewable Energy'!V34*SUM('III. Inputs, Renewable Energy'!$V$38)),0)</f>
        <v>0</v>
      </c>
      <c r="H319" s="321"/>
      <c r="I319" s="321"/>
      <c r="J319" s="321"/>
      <c r="K319" s="321"/>
      <c r="L319" s="321"/>
      <c r="M319" s="321"/>
      <c r="N319" s="321"/>
      <c r="O319" s="321"/>
      <c r="P319" s="321"/>
      <c r="Q319" s="321"/>
      <c r="R319" s="321"/>
      <c r="S319" s="321"/>
      <c r="T319" s="321"/>
      <c r="U319" s="321"/>
      <c r="V319" s="321"/>
      <c r="W319" s="321"/>
      <c r="X319" s="321"/>
      <c r="Y319" s="321"/>
      <c r="Z319" s="321"/>
      <c r="AA319" s="322"/>
      <c r="AB319" s="1368"/>
    </row>
    <row r="320" spans="1:28" s="200" customFormat="1" x14ac:dyDescent="0.35">
      <c r="A320" s="1368"/>
      <c r="B320" s="105"/>
      <c r="C320" s="106" t="s">
        <v>62</v>
      </c>
      <c r="D320" s="104"/>
      <c r="E320" s="104"/>
      <c r="F320" s="104"/>
      <c r="G320" s="326">
        <f>IF('III. Inputs, Renewable Energy'!$V$38&gt;0, 'III. Inputs, Renewable Energy'!$V$50,0)</f>
        <v>12</v>
      </c>
      <c r="H320" s="321"/>
      <c r="I320" s="321"/>
      <c r="J320" s="321"/>
      <c r="K320" s="321"/>
      <c r="L320" s="321"/>
      <c r="M320" s="321"/>
      <c r="N320" s="321"/>
      <c r="O320" s="321"/>
      <c r="P320" s="321"/>
      <c r="Q320" s="321"/>
      <c r="R320" s="321"/>
      <c r="S320" s="321"/>
      <c r="T320" s="321"/>
      <c r="U320" s="321"/>
      <c r="V320" s="321"/>
      <c r="W320" s="321"/>
      <c r="X320" s="321"/>
      <c r="Y320" s="321"/>
      <c r="Z320" s="321"/>
      <c r="AA320" s="322"/>
      <c r="AB320" s="1368"/>
    </row>
    <row r="321" spans="1:28" s="200" customFormat="1" x14ac:dyDescent="0.35">
      <c r="A321" s="1368"/>
      <c r="B321" s="105"/>
      <c r="C321" s="106" t="s">
        <v>63</v>
      </c>
      <c r="D321" s="104"/>
      <c r="E321" s="104"/>
      <c r="F321" s="104"/>
      <c r="G321" s="325">
        <f>SUM('III. Inputs, Renewable Energy'!V45)</f>
        <v>5.8339140534262486E-2</v>
      </c>
      <c r="H321" s="321"/>
      <c r="I321" s="321"/>
      <c r="J321" s="321"/>
      <c r="K321" s="321"/>
      <c r="L321" s="321"/>
      <c r="M321" s="321"/>
      <c r="N321" s="321"/>
      <c r="O321" s="321"/>
      <c r="P321" s="321"/>
      <c r="Q321" s="321"/>
      <c r="R321" s="321"/>
      <c r="S321" s="321"/>
      <c r="T321" s="321"/>
      <c r="U321" s="321"/>
      <c r="V321" s="321"/>
      <c r="W321" s="321"/>
      <c r="X321" s="321"/>
      <c r="Y321" s="321"/>
      <c r="Z321" s="321"/>
      <c r="AA321" s="322"/>
      <c r="AB321" s="1368"/>
    </row>
    <row r="322" spans="1:28" s="200" customFormat="1" x14ac:dyDescent="0.35">
      <c r="A322" s="1368"/>
      <c r="B322" s="105"/>
      <c r="C322" s="104"/>
      <c r="D322" s="104"/>
      <c r="E322" s="104"/>
      <c r="F322" s="104"/>
      <c r="G322" s="321"/>
      <c r="H322" s="321"/>
      <c r="I322" s="321"/>
      <c r="J322" s="321"/>
      <c r="K322" s="321"/>
      <c r="L322" s="321"/>
      <c r="M322" s="321"/>
      <c r="N322" s="321"/>
      <c r="O322" s="321"/>
      <c r="P322" s="321"/>
      <c r="Q322" s="321"/>
      <c r="R322" s="321"/>
      <c r="S322" s="321"/>
      <c r="T322" s="321"/>
      <c r="U322" s="321"/>
      <c r="V322" s="321"/>
      <c r="W322" s="321"/>
      <c r="X322" s="321"/>
      <c r="Y322" s="321"/>
      <c r="Z322" s="321"/>
      <c r="AA322" s="322"/>
      <c r="AB322" s="1368"/>
    </row>
    <row r="323" spans="1:28" s="200" customFormat="1" x14ac:dyDescent="0.35">
      <c r="A323" s="1368"/>
      <c r="B323" s="105"/>
      <c r="C323" s="108" t="s">
        <v>60</v>
      </c>
      <c r="D323" s="104"/>
      <c r="E323" s="104"/>
      <c r="F323" s="104"/>
      <c r="G323" s="327"/>
      <c r="H323" s="327"/>
      <c r="I323" s="327"/>
      <c r="J323" s="327"/>
      <c r="K323" s="327"/>
      <c r="L323" s="327"/>
      <c r="M323" s="327"/>
      <c r="N323" s="327"/>
      <c r="O323" s="327"/>
      <c r="P323" s="327"/>
      <c r="Q323" s="327"/>
      <c r="R323" s="327"/>
      <c r="S323" s="327"/>
      <c r="T323" s="327"/>
      <c r="U323" s="327"/>
      <c r="V323" s="327"/>
      <c r="W323" s="327"/>
      <c r="X323" s="327"/>
      <c r="Y323" s="327"/>
      <c r="Z323" s="327"/>
      <c r="AA323" s="328"/>
      <c r="AB323" s="1504"/>
    </row>
    <row r="324" spans="1:28" s="200" customFormat="1" x14ac:dyDescent="0.35">
      <c r="A324" s="1368"/>
      <c r="B324" s="105"/>
      <c r="C324" s="104" t="s">
        <v>66</v>
      </c>
      <c r="D324" s="104"/>
      <c r="E324" s="104"/>
      <c r="F324" s="104"/>
      <c r="G324" s="1690"/>
      <c r="H324" s="1690">
        <f>IF($G$319=0,0,IF(H$196&gt;$G$320,0,IPMT($G$321,H$196,$G$320,-$G$319)))</f>
        <v>0</v>
      </c>
      <c r="I324" s="1690">
        <f t="shared" ref="I324:AA324" si="86">IF($G$319=0,0,IF(I$196&gt;$G$320,0,IPMT($G$321,I$196,$G$320,-$G$319)))</f>
        <v>0</v>
      </c>
      <c r="J324" s="1690">
        <f t="shared" si="86"/>
        <v>0</v>
      </c>
      <c r="K324" s="1690">
        <f t="shared" si="86"/>
        <v>0</v>
      </c>
      <c r="L324" s="1690">
        <f t="shared" si="86"/>
        <v>0</v>
      </c>
      <c r="M324" s="1690">
        <f t="shared" si="86"/>
        <v>0</v>
      </c>
      <c r="N324" s="1690">
        <f t="shared" si="86"/>
        <v>0</v>
      </c>
      <c r="O324" s="1690">
        <f t="shared" si="86"/>
        <v>0</v>
      </c>
      <c r="P324" s="1690">
        <f t="shared" si="86"/>
        <v>0</v>
      </c>
      <c r="Q324" s="1690">
        <f t="shared" si="86"/>
        <v>0</v>
      </c>
      <c r="R324" s="1690">
        <f t="shared" si="86"/>
        <v>0</v>
      </c>
      <c r="S324" s="1690">
        <f t="shared" si="86"/>
        <v>0</v>
      </c>
      <c r="T324" s="1690">
        <f t="shared" si="86"/>
        <v>0</v>
      </c>
      <c r="U324" s="1690">
        <f t="shared" si="86"/>
        <v>0</v>
      </c>
      <c r="V324" s="1690">
        <f t="shared" si="86"/>
        <v>0</v>
      </c>
      <c r="W324" s="1690">
        <f t="shared" si="86"/>
        <v>0</v>
      </c>
      <c r="X324" s="1690">
        <f t="shared" si="86"/>
        <v>0</v>
      </c>
      <c r="Y324" s="1690">
        <f t="shared" si="86"/>
        <v>0</v>
      </c>
      <c r="Z324" s="1690">
        <f t="shared" si="86"/>
        <v>0</v>
      </c>
      <c r="AA324" s="1691">
        <f t="shared" si="86"/>
        <v>0</v>
      </c>
      <c r="AB324" s="1504"/>
    </row>
    <row r="325" spans="1:28" s="200" customFormat="1" x14ac:dyDescent="0.35">
      <c r="A325" s="1368"/>
      <c r="B325" s="105"/>
      <c r="C325" s="109" t="s">
        <v>65</v>
      </c>
      <c r="D325" s="109"/>
      <c r="E325" s="109"/>
      <c r="F325" s="109"/>
      <c r="G325" s="1692"/>
      <c r="H325" s="1692">
        <f>IF($G$319=0,0,IF(H$196&gt;$G$320,0,PPMT($G$321,H$196,$G$320,-$G$319)))</f>
        <v>0</v>
      </c>
      <c r="I325" s="1692">
        <f t="shared" ref="I325:AA325" si="87">IF($G$319=0,0,IF(I$196&gt;$G$320,0,PPMT($G$321,I$196,$G$320,-$G$319)))</f>
        <v>0</v>
      </c>
      <c r="J325" s="1692">
        <f t="shared" si="87"/>
        <v>0</v>
      </c>
      <c r="K325" s="1692">
        <f t="shared" si="87"/>
        <v>0</v>
      </c>
      <c r="L325" s="1692">
        <f t="shared" si="87"/>
        <v>0</v>
      </c>
      <c r="M325" s="1692">
        <f t="shared" si="87"/>
        <v>0</v>
      </c>
      <c r="N325" s="1692">
        <f t="shared" si="87"/>
        <v>0</v>
      </c>
      <c r="O325" s="1692">
        <f t="shared" si="87"/>
        <v>0</v>
      </c>
      <c r="P325" s="1692">
        <f t="shared" si="87"/>
        <v>0</v>
      </c>
      <c r="Q325" s="1692">
        <f t="shared" si="87"/>
        <v>0</v>
      </c>
      <c r="R325" s="1692">
        <f t="shared" si="87"/>
        <v>0</v>
      </c>
      <c r="S325" s="1692">
        <f t="shared" si="87"/>
        <v>0</v>
      </c>
      <c r="T325" s="1692">
        <f t="shared" si="87"/>
        <v>0</v>
      </c>
      <c r="U325" s="1692">
        <f t="shared" si="87"/>
        <v>0</v>
      </c>
      <c r="V325" s="1692">
        <f t="shared" si="87"/>
        <v>0</v>
      </c>
      <c r="W325" s="1692">
        <f t="shared" si="87"/>
        <v>0</v>
      </c>
      <c r="X325" s="1692">
        <f t="shared" si="87"/>
        <v>0</v>
      </c>
      <c r="Y325" s="1692">
        <f t="shared" si="87"/>
        <v>0</v>
      </c>
      <c r="Z325" s="1692">
        <f t="shared" si="87"/>
        <v>0</v>
      </c>
      <c r="AA325" s="1693">
        <f t="shared" si="87"/>
        <v>0</v>
      </c>
      <c r="AB325" s="1504"/>
    </row>
    <row r="326" spans="1:28" s="200" customFormat="1" x14ac:dyDescent="0.35">
      <c r="A326" s="1368"/>
      <c r="B326" s="105"/>
      <c r="C326" s="104" t="s">
        <v>67</v>
      </c>
      <c r="D326" s="104"/>
      <c r="E326" s="104"/>
      <c r="F326" s="104"/>
      <c r="G326" s="1690"/>
      <c r="H326" s="1690">
        <f>SUM(H324:H325)</f>
        <v>0</v>
      </c>
      <c r="I326" s="1690">
        <f t="shared" ref="I326:AA326" si="88">SUM(I324:I325)</f>
        <v>0</v>
      </c>
      <c r="J326" s="1690">
        <f t="shared" si="88"/>
        <v>0</v>
      </c>
      <c r="K326" s="1690">
        <f t="shared" si="88"/>
        <v>0</v>
      </c>
      <c r="L326" s="1690">
        <f t="shared" si="88"/>
        <v>0</v>
      </c>
      <c r="M326" s="1690">
        <f t="shared" si="88"/>
        <v>0</v>
      </c>
      <c r="N326" s="1690">
        <f t="shared" si="88"/>
        <v>0</v>
      </c>
      <c r="O326" s="1690">
        <f t="shared" si="88"/>
        <v>0</v>
      </c>
      <c r="P326" s="1690">
        <f t="shared" si="88"/>
        <v>0</v>
      </c>
      <c r="Q326" s="1690">
        <f t="shared" si="88"/>
        <v>0</v>
      </c>
      <c r="R326" s="1690">
        <f t="shared" si="88"/>
        <v>0</v>
      </c>
      <c r="S326" s="1690">
        <f t="shared" si="88"/>
        <v>0</v>
      </c>
      <c r="T326" s="1690">
        <f t="shared" si="88"/>
        <v>0</v>
      </c>
      <c r="U326" s="1690">
        <f t="shared" si="88"/>
        <v>0</v>
      </c>
      <c r="V326" s="1690">
        <f t="shared" si="88"/>
        <v>0</v>
      </c>
      <c r="W326" s="1690">
        <f t="shared" si="88"/>
        <v>0</v>
      </c>
      <c r="X326" s="1690">
        <f t="shared" si="88"/>
        <v>0</v>
      </c>
      <c r="Y326" s="1690">
        <f t="shared" si="88"/>
        <v>0</v>
      </c>
      <c r="Z326" s="1690">
        <f t="shared" si="88"/>
        <v>0</v>
      </c>
      <c r="AA326" s="1691">
        <f t="shared" si="88"/>
        <v>0</v>
      </c>
      <c r="AB326" s="1504"/>
    </row>
    <row r="327" spans="1:28" s="200" customFormat="1" x14ac:dyDescent="0.35">
      <c r="A327" s="1368"/>
      <c r="B327" s="105"/>
      <c r="C327" s="104"/>
      <c r="D327" s="104"/>
      <c r="E327" s="104"/>
      <c r="F327" s="104"/>
      <c r="G327" s="1690"/>
      <c r="H327" s="1690"/>
      <c r="I327" s="1690"/>
      <c r="J327" s="1690"/>
      <c r="K327" s="1690"/>
      <c r="L327" s="1690"/>
      <c r="M327" s="1690"/>
      <c r="N327" s="1690"/>
      <c r="O327" s="1690"/>
      <c r="P327" s="1690"/>
      <c r="Q327" s="1690"/>
      <c r="R327" s="1690"/>
      <c r="S327" s="1690"/>
      <c r="T327" s="1690"/>
      <c r="U327" s="1690"/>
      <c r="V327" s="1690"/>
      <c r="W327" s="1690"/>
      <c r="X327" s="1690"/>
      <c r="Y327" s="1690"/>
      <c r="Z327" s="1690"/>
      <c r="AA327" s="1691"/>
      <c r="AB327" s="1504"/>
    </row>
    <row r="328" spans="1:28" s="200" customFormat="1" x14ac:dyDescent="0.35">
      <c r="A328" s="1368"/>
      <c r="B328" s="105"/>
      <c r="C328" s="110" t="s">
        <v>58</v>
      </c>
      <c r="D328" s="104"/>
      <c r="E328" s="104"/>
      <c r="F328" s="104"/>
      <c r="G328" s="1690"/>
      <c r="H328" s="1690"/>
      <c r="I328" s="1690"/>
      <c r="J328" s="1690"/>
      <c r="K328" s="1690"/>
      <c r="L328" s="1690"/>
      <c r="M328" s="1690"/>
      <c r="N328" s="1690"/>
      <c r="O328" s="1690"/>
      <c r="P328" s="1690"/>
      <c r="Q328" s="1690"/>
      <c r="R328" s="1690"/>
      <c r="S328" s="1690"/>
      <c r="T328" s="1690"/>
      <c r="U328" s="1690"/>
      <c r="V328" s="1690"/>
      <c r="W328" s="1690"/>
      <c r="X328" s="1690"/>
      <c r="Y328" s="1690"/>
      <c r="Z328" s="1690"/>
      <c r="AA328" s="1691"/>
      <c r="AB328" s="1504"/>
    </row>
    <row r="329" spans="1:28" s="200" customFormat="1" x14ac:dyDescent="0.35">
      <c r="A329" s="1368"/>
      <c r="B329" s="105"/>
      <c r="C329" s="104" t="s">
        <v>68</v>
      </c>
      <c r="D329" s="104"/>
      <c r="E329" s="104"/>
      <c r="F329" s="104"/>
      <c r="G329" s="1690">
        <v>0</v>
      </c>
      <c r="H329" s="1690">
        <f>G332</f>
        <v>0</v>
      </c>
      <c r="I329" s="1690">
        <f t="shared" ref="I329:AA329" si="89">H332</f>
        <v>0</v>
      </c>
      <c r="J329" s="1690">
        <f t="shared" si="89"/>
        <v>0</v>
      </c>
      <c r="K329" s="1690">
        <f t="shared" si="89"/>
        <v>0</v>
      </c>
      <c r="L329" s="1690">
        <f t="shared" si="89"/>
        <v>0</v>
      </c>
      <c r="M329" s="1690">
        <f t="shared" si="89"/>
        <v>0</v>
      </c>
      <c r="N329" s="1690">
        <f t="shared" si="89"/>
        <v>0</v>
      </c>
      <c r="O329" s="1690">
        <f t="shared" si="89"/>
        <v>0</v>
      </c>
      <c r="P329" s="1690">
        <f t="shared" si="89"/>
        <v>0</v>
      </c>
      <c r="Q329" s="1690">
        <f t="shared" si="89"/>
        <v>0</v>
      </c>
      <c r="R329" s="1690">
        <f t="shared" si="89"/>
        <v>0</v>
      </c>
      <c r="S329" s="1690">
        <f t="shared" si="89"/>
        <v>0</v>
      </c>
      <c r="T329" s="1690">
        <f t="shared" si="89"/>
        <v>0</v>
      </c>
      <c r="U329" s="1690">
        <f t="shared" si="89"/>
        <v>0</v>
      </c>
      <c r="V329" s="1690">
        <f t="shared" si="89"/>
        <v>0</v>
      </c>
      <c r="W329" s="1690">
        <f t="shared" si="89"/>
        <v>0</v>
      </c>
      <c r="X329" s="1690">
        <f t="shared" si="89"/>
        <v>0</v>
      </c>
      <c r="Y329" s="1690">
        <f t="shared" si="89"/>
        <v>0</v>
      </c>
      <c r="Z329" s="1690">
        <f t="shared" si="89"/>
        <v>0</v>
      </c>
      <c r="AA329" s="1691">
        <f t="shared" si="89"/>
        <v>0</v>
      </c>
      <c r="AB329" s="1504"/>
    </row>
    <row r="330" spans="1:28" s="200" customFormat="1" x14ac:dyDescent="0.35">
      <c r="A330" s="1368"/>
      <c r="B330" s="105"/>
      <c r="C330" s="104" t="s">
        <v>69</v>
      </c>
      <c r="D330" s="104"/>
      <c r="E330" s="104"/>
      <c r="F330" s="104"/>
      <c r="G330" s="1690">
        <f>G319</f>
        <v>0</v>
      </c>
      <c r="H330" s="1690">
        <v>0</v>
      </c>
      <c r="I330" s="1690">
        <v>0</v>
      </c>
      <c r="J330" s="1690">
        <v>0</v>
      </c>
      <c r="K330" s="1690">
        <v>0</v>
      </c>
      <c r="L330" s="1690">
        <v>0</v>
      </c>
      <c r="M330" s="1690">
        <v>0</v>
      </c>
      <c r="N330" s="1690">
        <v>0</v>
      </c>
      <c r="O330" s="1690">
        <v>0</v>
      </c>
      <c r="P330" s="1690">
        <v>0</v>
      </c>
      <c r="Q330" s="1690">
        <v>0</v>
      </c>
      <c r="R330" s="1690">
        <v>0</v>
      </c>
      <c r="S330" s="1690">
        <v>0</v>
      </c>
      <c r="T330" s="1690">
        <v>0</v>
      </c>
      <c r="U330" s="1690">
        <v>0</v>
      </c>
      <c r="V330" s="1690">
        <v>0</v>
      </c>
      <c r="W330" s="1690">
        <v>0</v>
      </c>
      <c r="X330" s="1690">
        <v>0</v>
      </c>
      <c r="Y330" s="1690">
        <v>0</v>
      </c>
      <c r="Z330" s="1690">
        <v>0</v>
      </c>
      <c r="AA330" s="1691">
        <v>0</v>
      </c>
      <c r="AB330" s="1504"/>
    </row>
    <row r="331" spans="1:28" s="200" customFormat="1" x14ac:dyDescent="0.35">
      <c r="A331" s="1368"/>
      <c r="B331" s="105"/>
      <c r="C331" s="109" t="s">
        <v>70</v>
      </c>
      <c r="D331" s="109"/>
      <c r="E331" s="109"/>
      <c r="F331" s="109"/>
      <c r="G331" s="1692">
        <v>0</v>
      </c>
      <c r="H331" s="1692">
        <f>-H325</f>
        <v>0</v>
      </c>
      <c r="I331" s="1692">
        <f t="shared" ref="I331:AA331" si="90">-I325</f>
        <v>0</v>
      </c>
      <c r="J331" s="1692">
        <f t="shared" si="90"/>
        <v>0</v>
      </c>
      <c r="K331" s="1692">
        <f t="shared" si="90"/>
        <v>0</v>
      </c>
      <c r="L331" s="1692">
        <f t="shared" si="90"/>
        <v>0</v>
      </c>
      <c r="M331" s="1692">
        <f t="shared" si="90"/>
        <v>0</v>
      </c>
      <c r="N331" s="1692">
        <f t="shared" si="90"/>
        <v>0</v>
      </c>
      <c r="O331" s="1692">
        <f t="shared" si="90"/>
        <v>0</v>
      </c>
      <c r="P331" s="1692">
        <f t="shared" si="90"/>
        <v>0</v>
      </c>
      <c r="Q331" s="1692">
        <f t="shared" si="90"/>
        <v>0</v>
      </c>
      <c r="R331" s="1692">
        <f t="shared" si="90"/>
        <v>0</v>
      </c>
      <c r="S331" s="1692">
        <f t="shared" si="90"/>
        <v>0</v>
      </c>
      <c r="T331" s="1692">
        <f t="shared" si="90"/>
        <v>0</v>
      </c>
      <c r="U331" s="1692">
        <f t="shared" si="90"/>
        <v>0</v>
      </c>
      <c r="V331" s="1692">
        <f t="shared" si="90"/>
        <v>0</v>
      </c>
      <c r="W331" s="1692">
        <f t="shared" si="90"/>
        <v>0</v>
      </c>
      <c r="X331" s="1692">
        <f t="shared" si="90"/>
        <v>0</v>
      </c>
      <c r="Y331" s="1692">
        <f t="shared" si="90"/>
        <v>0</v>
      </c>
      <c r="Z331" s="1692">
        <f t="shared" si="90"/>
        <v>0</v>
      </c>
      <c r="AA331" s="1693">
        <f t="shared" si="90"/>
        <v>0</v>
      </c>
      <c r="AB331" s="1504"/>
    </row>
    <row r="332" spans="1:28" s="200" customFormat="1" x14ac:dyDescent="0.35">
      <c r="A332" s="1368"/>
      <c r="B332" s="105"/>
      <c r="C332" s="104" t="s">
        <v>59</v>
      </c>
      <c r="D332" s="104"/>
      <c r="E332" s="104"/>
      <c r="F332" s="104"/>
      <c r="G332" s="1690">
        <f>SUM(G329:G331)</f>
        <v>0</v>
      </c>
      <c r="H332" s="1690">
        <f>SUM(H329:H331)</f>
        <v>0</v>
      </c>
      <c r="I332" s="1690">
        <f t="shared" ref="I332:AA332" si="91">SUM(I329:I331)</f>
        <v>0</v>
      </c>
      <c r="J332" s="1690">
        <f t="shared" si="91"/>
        <v>0</v>
      </c>
      <c r="K332" s="1690">
        <f t="shared" si="91"/>
        <v>0</v>
      </c>
      <c r="L332" s="1690">
        <f t="shared" si="91"/>
        <v>0</v>
      </c>
      <c r="M332" s="1690">
        <f t="shared" si="91"/>
        <v>0</v>
      </c>
      <c r="N332" s="1690">
        <f t="shared" si="91"/>
        <v>0</v>
      </c>
      <c r="O332" s="1690">
        <f t="shared" si="91"/>
        <v>0</v>
      </c>
      <c r="P332" s="1690">
        <f t="shared" si="91"/>
        <v>0</v>
      </c>
      <c r="Q332" s="1690">
        <f t="shared" si="91"/>
        <v>0</v>
      </c>
      <c r="R332" s="1690">
        <f t="shared" si="91"/>
        <v>0</v>
      </c>
      <c r="S332" s="1690">
        <f t="shared" si="91"/>
        <v>0</v>
      </c>
      <c r="T332" s="1690">
        <f t="shared" si="91"/>
        <v>0</v>
      </c>
      <c r="U332" s="1690">
        <f t="shared" si="91"/>
        <v>0</v>
      </c>
      <c r="V332" s="1690">
        <f t="shared" si="91"/>
        <v>0</v>
      </c>
      <c r="W332" s="1690">
        <f t="shared" si="91"/>
        <v>0</v>
      </c>
      <c r="X332" s="1690">
        <f t="shared" si="91"/>
        <v>0</v>
      </c>
      <c r="Y332" s="1690">
        <f t="shared" si="91"/>
        <v>0</v>
      </c>
      <c r="Z332" s="1690">
        <f t="shared" si="91"/>
        <v>0</v>
      </c>
      <c r="AA332" s="1691">
        <f t="shared" si="91"/>
        <v>0</v>
      </c>
      <c r="AB332" s="1504"/>
    </row>
    <row r="333" spans="1:28" s="200" customFormat="1" x14ac:dyDescent="0.35">
      <c r="A333" s="1368"/>
      <c r="B333" s="105"/>
      <c r="C333" s="104"/>
      <c r="D333" s="104"/>
      <c r="E333" s="104"/>
      <c r="F333" s="104"/>
      <c r="G333" s="1690"/>
      <c r="H333" s="1690"/>
      <c r="I333" s="1690"/>
      <c r="J333" s="1690"/>
      <c r="K333" s="1690"/>
      <c r="L333" s="1690"/>
      <c r="M333" s="1690"/>
      <c r="N333" s="1690"/>
      <c r="O333" s="1690"/>
      <c r="P333" s="1690"/>
      <c r="Q333" s="1690"/>
      <c r="R333" s="1690"/>
      <c r="S333" s="1690"/>
      <c r="T333" s="1690"/>
      <c r="U333" s="1690"/>
      <c r="V333" s="1690"/>
      <c r="W333" s="1690"/>
      <c r="X333" s="1690"/>
      <c r="Y333" s="1690"/>
      <c r="Z333" s="1690"/>
      <c r="AA333" s="1691"/>
      <c r="AB333" s="1504"/>
    </row>
    <row r="334" spans="1:28" s="200" customFormat="1" x14ac:dyDescent="0.35">
      <c r="A334" s="1368"/>
      <c r="B334" s="105"/>
      <c r="C334" s="110" t="s">
        <v>64</v>
      </c>
      <c r="D334" s="104"/>
      <c r="E334" s="104"/>
      <c r="F334" s="104"/>
      <c r="G334" s="1690"/>
      <c r="H334" s="1690"/>
      <c r="I334" s="1690"/>
      <c r="J334" s="1690"/>
      <c r="K334" s="1690"/>
      <c r="L334" s="1690"/>
      <c r="M334" s="1690"/>
      <c r="N334" s="1690"/>
      <c r="O334" s="1690"/>
      <c r="P334" s="1690"/>
      <c r="Q334" s="1690"/>
      <c r="R334" s="1690"/>
      <c r="S334" s="1690"/>
      <c r="T334" s="1690"/>
      <c r="U334" s="1690"/>
      <c r="V334" s="1690"/>
      <c r="W334" s="1690"/>
      <c r="X334" s="1690"/>
      <c r="Y334" s="1690"/>
      <c r="Z334" s="1690"/>
      <c r="AA334" s="1691"/>
      <c r="AB334" s="1504"/>
    </row>
    <row r="335" spans="1:28" s="200" customFormat="1" x14ac:dyDescent="0.35">
      <c r="A335" s="1368"/>
      <c r="B335" s="105"/>
      <c r="C335" s="104" t="s">
        <v>201</v>
      </c>
      <c r="D335" s="104"/>
      <c r="E335" s="104"/>
      <c r="F335" s="104"/>
      <c r="G335" s="1690"/>
      <c r="H335" s="1690">
        <f>IF($G$319&gt;0, $G$319*'III. Inputs, Renewable Energy'!$V$55/10000,0)</f>
        <v>0</v>
      </c>
      <c r="I335" s="1690">
        <v>0</v>
      </c>
      <c r="J335" s="1690">
        <v>0</v>
      </c>
      <c r="K335" s="1690">
        <v>0</v>
      </c>
      <c r="L335" s="1690">
        <v>0</v>
      </c>
      <c r="M335" s="1690">
        <v>0</v>
      </c>
      <c r="N335" s="1690">
        <v>0</v>
      </c>
      <c r="O335" s="1690">
        <v>0</v>
      </c>
      <c r="P335" s="1690">
        <v>0</v>
      </c>
      <c r="Q335" s="1690">
        <v>0</v>
      </c>
      <c r="R335" s="1690">
        <v>0</v>
      </c>
      <c r="S335" s="1690">
        <v>0</v>
      </c>
      <c r="T335" s="1690">
        <v>0</v>
      </c>
      <c r="U335" s="1690">
        <v>0</v>
      </c>
      <c r="V335" s="1690">
        <v>0</v>
      </c>
      <c r="W335" s="1690">
        <v>0</v>
      </c>
      <c r="X335" s="1690">
        <v>0</v>
      </c>
      <c r="Y335" s="1690">
        <v>0</v>
      </c>
      <c r="Z335" s="1690">
        <v>0</v>
      </c>
      <c r="AA335" s="1691">
        <v>0</v>
      </c>
      <c r="AB335" s="1504"/>
    </row>
    <row r="336" spans="1:28" s="200" customFormat="1" x14ac:dyDescent="0.35">
      <c r="A336" s="1368"/>
      <c r="B336" s="105"/>
      <c r="C336" s="104"/>
      <c r="D336" s="104"/>
      <c r="E336" s="104"/>
      <c r="F336" s="104"/>
      <c r="G336" s="321"/>
      <c r="H336" s="321"/>
      <c r="I336" s="321"/>
      <c r="J336" s="321"/>
      <c r="K336" s="321"/>
      <c r="L336" s="321"/>
      <c r="M336" s="321"/>
      <c r="N336" s="321"/>
      <c r="O336" s="321"/>
      <c r="P336" s="321"/>
      <c r="Q336" s="321"/>
      <c r="R336" s="321"/>
      <c r="S336" s="321"/>
      <c r="T336" s="321"/>
      <c r="U336" s="321"/>
      <c r="V336" s="321"/>
      <c r="W336" s="321"/>
      <c r="X336" s="321"/>
      <c r="Y336" s="321"/>
      <c r="Z336" s="321"/>
      <c r="AA336" s="322"/>
      <c r="AB336" s="1368"/>
    </row>
    <row r="337" spans="1:28" s="200" customFormat="1" x14ac:dyDescent="0.35">
      <c r="A337" s="1368"/>
      <c r="B337" s="105"/>
      <c r="C337" s="104"/>
      <c r="D337" s="104"/>
      <c r="E337" s="104"/>
      <c r="F337" s="104"/>
      <c r="G337" s="321"/>
      <c r="H337" s="321"/>
      <c r="I337" s="321"/>
      <c r="J337" s="321"/>
      <c r="K337" s="321"/>
      <c r="L337" s="321"/>
      <c r="M337" s="321"/>
      <c r="N337" s="321"/>
      <c r="O337" s="321"/>
      <c r="P337" s="321"/>
      <c r="Q337" s="321"/>
      <c r="R337" s="321"/>
      <c r="S337" s="321"/>
      <c r="T337" s="321"/>
      <c r="U337" s="321"/>
      <c r="V337" s="321"/>
      <c r="W337" s="321"/>
      <c r="X337" s="321"/>
      <c r="Y337" s="321"/>
      <c r="Z337" s="321"/>
      <c r="AA337" s="322"/>
      <c r="AB337" s="1368"/>
    </row>
    <row r="338" spans="1:28" s="200" customFormat="1" ht="13.15" x14ac:dyDescent="0.4">
      <c r="A338" s="1368"/>
      <c r="B338" s="103" t="s">
        <v>79</v>
      </c>
      <c r="C338" s="104"/>
      <c r="D338" s="104"/>
      <c r="E338" s="104"/>
      <c r="F338" s="104"/>
      <c r="G338" s="321"/>
      <c r="H338" s="321"/>
      <c r="I338" s="321"/>
      <c r="J338" s="321"/>
      <c r="K338" s="321"/>
      <c r="L338" s="321"/>
      <c r="M338" s="321"/>
      <c r="N338" s="321"/>
      <c r="O338" s="321"/>
      <c r="P338" s="321"/>
      <c r="Q338" s="321"/>
      <c r="R338" s="321"/>
      <c r="S338" s="321"/>
      <c r="T338" s="321"/>
      <c r="U338" s="321"/>
      <c r="V338" s="321"/>
      <c r="W338" s="321"/>
      <c r="X338" s="321"/>
      <c r="Y338" s="321"/>
      <c r="Z338" s="321"/>
      <c r="AA338" s="322"/>
      <c r="AB338" s="1368"/>
    </row>
    <row r="339" spans="1:28" s="200" customFormat="1" x14ac:dyDescent="0.35">
      <c r="A339" s="1368"/>
      <c r="B339" s="105"/>
      <c r="C339" s="106" t="s">
        <v>77</v>
      </c>
      <c r="D339" s="104"/>
      <c r="E339" s="104"/>
      <c r="F339" s="1694">
        <f>'III. Inputs, Renewable Energy'!U293*'III. Inputs, Renewable Energy'!V33*'III. Inputs, Renewable Energy'!V227</f>
        <v>0</v>
      </c>
      <c r="G339" s="321"/>
      <c r="H339" s="321"/>
      <c r="I339" s="321"/>
      <c r="J339" s="321"/>
      <c r="K339" s="321"/>
      <c r="L339" s="321"/>
      <c r="M339" s="321"/>
      <c r="N339" s="321"/>
      <c r="O339" s="321"/>
      <c r="P339" s="321"/>
      <c r="Q339" s="321"/>
      <c r="R339" s="321"/>
      <c r="S339" s="321"/>
      <c r="T339" s="321"/>
      <c r="U339" s="321"/>
      <c r="V339" s="321"/>
      <c r="W339" s="321"/>
      <c r="X339" s="321"/>
      <c r="Y339" s="321"/>
      <c r="Z339" s="321"/>
      <c r="AA339" s="322"/>
      <c r="AB339" s="1368"/>
    </row>
    <row r="340" spans="1:28" s="200" customFormat="1" x14ac:dyDescent="0.35">
      <c r="A340" s="1368"/>
      <c r="B340" s="105"/>
      <c r="C340" s="106" t="str">
        <f>'III. Inputs, Renewable Energy'!$N$228</f>
        <v xml:space="preserve">Term of Political Risk Insurance </v>
      </c>
      <c r="D340" s="104"/>
      <c r="E340" s="104"/>
      <c r="F340" s="111">
        <f>'III. Inputs, Renewable Energy'!V228</f>
        <v>0</v>
      </c>
      <c r="G340" s="321"/>
      <c r="H340" s="321"/>
      <c r="I340" s="321"/>
      <c r="J340" s="321"/>
      <c r="K340" s="321"/>
      <c r="L340" s="321"/>
      <c r="M340" s="321"/>
      <c r="N340" s="321"/>
      <c r="O340" s="321"/>
      <c r="P340" s="321"/>
      <c r="Q340" s="321"/>
      <c r="R340" s="321"/>
      <c r="S340" s="321"/>
      <c r="T340" s="321"/>
      <c r="U340" s="321"/>
      <c r="V340" s="321"/>
      <c r="W340" s="321"/>
      <c r="X340" s="321"/>
      <c r="Y340" s="321"/>
      <c r="Z340" s="321"/>
      <c r="AA340" s="322"/>
      <c r="AB340" s="1368"/>
    </row>
    <row r="341" spans="1:28" s="200" customFormat="1" x14ac:dyDescent="0.35">
      <c r="A341" s="1368"/>
      <c r="B341" s="105"/>
      <c r="C341" s="106" t="str">
        <f>'III. Inputs, Renewable Energy'!$N$229</f>
        <v xml:space="preserve">Front-end Fee </v>
      </c>
      <c r="D341" s="104"/>
      <c r="E341" s="104"/>
      <c r="F341" s="111">
        <f>'III. Inputs, Renewable Energy'!V229</f>
        <v>0</v>
      </c>
      <c r="G341" s="321"/>
      <c r="H341" s="321"/>
      <c r="I341" s="321"/>
      <c r="J341" s="321"/>
      <c r="K341" s="321"/>
      <c r="L341" s="321"/>
      <c r="M341" s="321"/>
      <c r="N341" s="321"/>
      <c r="O341" s="321"/>
      <c r="P341" s="321"/>
      <c r="Q341" s="321"/>
      <c r="R341" s="321"/>
      <c r="S341" s="321"/>
      <c r="T341" s="321"/>
      <c r="U341" s="321"/>
      <c r="V341" s="321"/>
      <c r="W341" s="321"/>
      <c r="X341" s="321"/>
      <c r="Y341" s="321"/>
      <c r="Z341" s="321"/>
      <c r="AA341" s="322"/>
      <c r="AB341" s="1368"/>
    </row>
    <row r="342" spans="1:28" s="200" customFormat="1" x14ac:dyDescent="0.35">
      <c r="A342" s="1368"/>
      <c r="B342" s="105"/>
      <c r="C342" s="106" t="str">
        <f>'III. Inputs, Renewable Energy'!$N$230</f>
        <v xml:space="preserve">Annual Political Risk Insurance Premium </v>
      </c>
      <c r="D342" s="104"/>
      <c r="E342" s="104"/>
      <c r="F342" s="111">
        <f>'III. Inputs, Renewable Energy'!V230</f>
        <v>0</v>
      </c>
      <c r="G342" s="321"/>
      <c r="H342" s="321"/>
      <c r="I342" s="321"/>
      <c r="J342" s="321"/>
      <c r="K342" s="321"/>
      <c r="L342" s="321"/>
      <c r="M342" s="321"/>
      <c r="N342" s="321"/>
      <c r="O342" s="321"/>
      <c r="P342" s="321"/>
      <c r="Q342" s="321"/>
      <c r="R342" s="321"/>
      <c r="S342" s="321"/>
      <c r="T342" s="321"/>
      <c r="U342" s="321"/>
      <c r="V342" s="321"/>
      <c r="W342" s="321"/>
      <c r="X342" s="321"/>
      <c r="Y342" s="321"/>
      <c r="Z342" s="321"/>
      <c r="AA342" s="322"/>
      <c r="AB342" s="1368"/>
    </row>
    <row r="343" spans="1:28" s="200" customFormat="1" x14ac:dyDescent="0.35">
      <c r="A343" s="1368"/>
      <c r="B343" s="105"/>
      <c r="C343" s="104"/>
      <c r="D343" s="104"/>
      <c r="E343" s="104"/>
      <c r="F343" s="104"/>
      <c r="G343" s="321"/>
      <c r="H343" s="321"/>
      <c r="I343" s="321"/>
      <c r="J343" s="321"/>
      <c r="K343" s="321"/>
      <c r="L343" s="321"/>
      <c r="M343" s="321"/>
      <c r="N343" s="321"/>
      <c r="O343" s="321"/>
      <c r="P343" s="321"/>
      <c r="Q343" s="321"/>
      <c r="R343" s="321"/>
      <c r="S343" s="321"/>
      <c r="T343" s="321"/>
      <c r="U343" s="321"/>
      <c r="V343" s="321"/>
      <c r="W343" s="321"/>
      <c r="X343" s="321"/>
      <c r="Y343" s="321"/>
      <c r="Z343" s="321"/>
      <c r="AA343" s="322"/>
      <c r="AB343" s="1368"/>
    </row>
    <row r="344" spans="1:28" s="200" customFormat="1" x14ac:dyDescent="0.35">
      <c r="A344" s="1368"/>
      <c r="B344" s="105"/>
      <c r="C344" s="110" t="s">
        <v>64</v>
      </c>
      <c r="D344" s="104"/>
      <c r="E344" s="104"/>
      <c r="F344" s="104"/>
      <c r="G344" s="321"/>
      <c r="H344" s="321"/>
      <c r="I344" s="321"/>
      <c r="J344" s="321"/>
      <c r="K344" s="321"/>
      <c r="L344" s="321"/>
      <c r="M344" s="321"/>
      <c r="N344" s="321"/>
      <c r="O344" s="321"/>
      <c r="P344" s="321"/>
      <c r="Q344" s="321"/>
      <c r="R344" s="321"/>
      <c r="S344" s="321"/>
      <c r="T344" s="321"/>
      <c r="U344" s="321"/>
      <c r="V344" s="321"/>
      <c r="W344" s="321"/>
      <c r="X344" s="321"/>
      <c r="Y344" s="321"/>
      <c r="Z344" s="321"/>
      <c r="AA344" s="322"/>
      <c r="AB344" s="1368"/>
    </row>
    <row r="345" spans="1:28" s="200" customFormat="1" x14ac:dyDescent="0.35">
      <c r="A345" s="1368"/>
      <c r="B345" s="105"/>
      <c r="C345" s="104" t="str">
        <f>'III. Inputs, Renewable Energy'!$N$229</f>
        <v xml:space="preserve">Front-end Fee </v>
      </c>
      <c r="D345" s="104"/>
      <c r="E345" s="104"/>
      <c r="F345" s="104"/>
      <c r="G345" s="321"/>
      <c r="H345" s="1690">
        <f>IF(F339&gt;0, F339*F341/10000, 0)</f>
        <v>0</v>
      </c>
      <c r="I345" s="1690">
        <v>0</v>
      </c>
      <c r="J345" s="1690">
        <v>0</v>
      </c>
      <c r="K345" s="1690">
        <v>0</v>
      </c>
      <c r="L345" s="1690">
        <v>0</v>
      </c>
      <c r="M345" s="1690">
        <v>0</v>
      </c>
      <c r="N345" s="1690">
        <v>0</v>
      </c>
      <c r="O345" s="1690">
        <v>0</v>
      </c>
      <c r="P345" s="1690">
        <v>0</v>
      </c>
      <c r="Q345" s="1690">
        <v>0</v>
      </c>
      <c r="R345" s="1690">
        <v>0</v>
      </c>
      <c r="S345" s="1690">
        <v>0</v>
      </c>
      <c r="T345" s="1690">
        <v>0</v>
      </c>
      <c r="U345" s="1690">
        <v>0</v>
      </c>
      <c r="V345" s="1690">
        <v>0</v>
      </c>
      <c r="W345" s="1690">
        <v>0</v>
      </c>
      <c r="X345" s="1690">
        <v>0</v>
      </c>
      <c r="Y345" s="1690">
        <v>0</v>
      </c>
      <c r="Z345" s="1690">
        <v>0</v>
      </c>
      <c r="AA345" s="1691">
        <v>0</v>
      </c>
      <c r="AB345" s="1368"/>
    </row>
    <row r="346" spans="1:28" s="200" customFormat="1" x14ac:dyDescent="0.35">
      <c r="A346" s="1368"/>
      <c r="B346" s="105"/>
      <c r="C346" s="109" t="str">
        <f>'III. Inputs, Renewable Energy'!$N$230</f>
        <v xml:space="preserve">Annual Political Risk Insurance Premium </v>
      </c>
      <c r="D346" s="109"/>
      <c r="E346" s="109"/>
      <c r="F346" s="109"/>
      <c r="G346" s="329"/>
      <c r="H346" s="1692">
        <f>IF(H$196&gt;$F$340,0,($F$339*$F$342/10000))</f>
        <v>0</v>
      </c>
      <c r="I346" s="1692">
        <f t="shared" ref="I346:AA346" si="92">IF(I$196&gt;$F$340,0,($F$339*$F$342/10000))</f>
        <v>0</v>
      </c>
      <c r="J346" s="1692">
        <f t="shared" si="92"/>
        <v>0</v>
      </c>
      <c r="K346" s="1692">
        <f t="shared" si="92"/>
        <v>0</v>
      </c>
      <c r="L346" s="1692">
        <f t="shared" si="92"/>
        <v>0</v>
      </c>
      <c r="M346" s="1692">
        <f t="shared" si="92"/>
        <v>0</v>
      </c>
      <c r="N346" s="1692">
        <f t="shared" si="92"/>
        <v>0</v>
      </c>
      <c r="O346" s="1692">
        <f t="shared" si="92"/>
        <v>0</v>
      </c>
      <c r="P346" s="1692">
        <f t="shared" si="92"/>
        <v>0</v>
      </c>
      <c r="Q346" s="1692">
        <f t="shared" si="92"/>
        <v>0</v>
      </c>
      <c r="R346" s="1692">
        <f t="shared" si="92"/>
        <v>0</v>
      </c>
      <c r="S346" s="1692">
        <f t="shared" si="92"/>
        <v>0</v>
      </c>
      <c r="T346" s="1692">
        <f t="shared" si="92"/>
        <v>0</v>
      </c>
      <c r="U346" s="1692">
        <f t="shared" si="92"/>
        <v>0</v>
      </c>
      <c r="V346" s="1692">
        <f t="shared" si="92"/>
        <v>0</v>
      </c>
      <c r="W346" s="1692">
        <f t="shared" si="92"/>
        <v>0</v>
      </c>
      <c r="X346" s="1692">
        <f t="shared" si="92"/>
        <v>0</v>
      </c>
      <c r="Y346" s="1692">
        <f t="shared" si="92"/>
        <v>0</v>
      </c>
      <c r="Z346" s="1692">
        <f t="shared" si="92"/>
        <v>0</v>
      </c>
      <c r="AA346" s="1693">
        <f t="shared" si="92"/>
        <v>0</v>
      </c>
      <c r="AB346" s="1368"/>
    </row>
    <row r="347" spans="1:28" s="200" customFormat="1" x14ac:dyDescent="0.35">
      <c r="A347" s="1368"/>
      <c r="B347" s="105"/>
      <c r="C347" s="104" t="s">
        <v>78</v>
      </c>
      <c r="D347" s="104"/>
      <c r="E347" s="104"/>
      <c r="F347" s="104"/>
      <c r="G347" s="321"/>
      <c r="H347" s="1690">
        <f>H345+H346</f>
        <v>0</v>
      </c>
      <c r="I347" s="1690">
        <f t="shared" ref="I347:AA347" si="93">I345+I346</f>
        <v>0</v>
      </c>
      <c r="J347" s="1690">
        <f t="shared" si="93"/>
        <v>0</v>
      </c>
      <c r="K347" s="1690">
        <f t="shared" si="93"/>
        <v>0</v>
      </c>
      <c r="L347" s="1690">
        <f t="shared" si="93"/>
        <v>0</v>
      </c>
      <c r="M347" s="1690">
        <f t="shared" si="93"/>
        <v>0</v>
      </c>
      <c r="N347" s="1690">
        <f t="shared" si="93"/>
        <v>0</v>
      </c>
      <c r="O347" s="1690">
        <f t="shared" si="93"/>
        <v>0</v>
      </c>
      <c r="P347" s="1690">
        <f t="shared" si="93"/>
        <v>0</v>
      </c>
      <c r="Q347" s="1690">
        <f t="shared" si="93"/>
        <v>0</v>
      </c>
      <c r="R347" s="1690">
        <f t="shared" si="93"/>
        <v>0</v>
      </c>
      <c r="S347" s="1690">
        <f t="shared" si="93"/>
        <v>0</v>
      </c>
      <c r="T347" s="1690">
        <f t="shared" si="93"/>
        <v>0</v>
      </c>
      <c r="U347" s="1690">
        <f t="shared" si="93"/>
        <v>0</v>
      </c>
      <c r="V347" s="1690">
        <f t="shared" si="93"/>
        <v>0</v>
      </c>
      <c r="W347" s="1690">
        <f t="shared" si="93"/>
        <v>0</v>
      </c>
      <c r="X347" s="1690">
        <f t="shared" si="93"/>
        <v>0</v>
      </c>
      <c r="Y347" s="1690">
        <f t="shared" si="93"/>
        <v>0</v>
      </c>
      <c r="Z347" s="1690">
        <f t="shared" si="93"/>
        <v>0</v>
      </c>
      <c r="AA347" s="1691">
        <f t="shared" si="93"/>
        <v>0</v>
      </c>
      <c r="AB347" s="1368"/>
    </row>
    <row r="348" spans="1:28" s="200" customFormat="1" ht="13.15" thickBot="1" x14ac:dyDescent="0.4">
      <c r="A348" s="1368"/>
      <c r="B348" s="112"/>
      <c r="C348" s="113"/>
      <c r="D348" s="113"/>
      <c r="E348" s="113"/>
      <c r="F348" s="113"/>
      <c r="G348" s="330"/>
      <c r="H348" s="330"/>
      <c r="I348" s="330"/>
      <c r="J348" s="330"/>
      <c r="K348" s="330"/>
      <c r="L348" s="330"/>
      <c r="M348" s="330"/>
      <c r="N348" s="330"/>
      <c r="O348" s="330"/>
      <c r="P348" s="330"/>
      <c r="Q348" s="330"/>
      <c r="R348" s="330"/>
      <c r="S348" s="330"/>
      <c r="T348" s="330"/>
      <c r="U348" s="330"/>
      <c r="V348" s="330"/>
      <c r="W348" s="330"/>
      <c r="X348" s="330"/>
      <c r="Y348" s="330"/>
      <c r="Z348" s="330"/>
      <c r="AA348" s="331"/>
      <c r="AB348" s="1368"/>
    </row>
    <row r="349" spans="1:28" s="202" customFormat="1" x14ac:dyDescent="0.35">
      <c r="A349" s="1368"/>
      <c r="B349" s="1363"/>
      <c r="C349" s="1363"/>
      <c r="D349" s="1363"/>
      <c r="E349" s="1363"/>
      <c r="F349" s="1363"/>
      <c r="G349" s="1507"/>
      <c r="H349" s="1507"/>
      <c r="I349" s="1507"/>
      <c r="J349" s="1507"/>
      <c r="K349" s="1507"/>
      <c r="L349" s="1507"/>
      <c r="M349" s="1507"/>
      <c r="N349" s="1507"/>
      <c r="O349" s="1507"/>
      <c r="P349" s="1507"/>
      <c r="Q349" s="1507"/>
      <c r="R349" s="1507"/>
      <c r="S349" s="1507"/>
      <c r="T349" s="1507"/>
      <c r="U349" s="1507"/>
      <c r="V349" s="1507"/>
      <c r="W349" s="1507"/>
      <c r="X349" s="1507"/>
      <c r="Y349" s="1507"/>
      <c r="Z349" s="1507"/>
      <c r="AA349" s="1507"/>
      <c r="AB349" s="1368"/>
    </row>
    <row r="350" spans="1:28" s="202" customFormat="1" x14ac:dyDescent="0.35">
      <c r="A350" s="1368"/>
      <c r="B350" s="1363"/>
      <c r="C350" s="1363"/>
      <c r="D350" s="1363"/>
      <c r="E350" s="1363"/>
      <c r="F350" s="1363"/>
      <c r="G350" s="1507"/>
      <c r="H350" s="1507"/>
      <c r="I350" s="1507"/>
      <c r="J350" s="1507"/>
      <c r="K350" s="1507"/>
      <c r="L350" s="1507"/>
      <c r="M350" s="1507"/>
      <c r="N350" s="1507"/>
      <c r="O350" s="1507"/>
      <c r="P350" s="1507"/>
      <c r="Q350" s="1507"/>
      <c r="R350" s="1507"/>
      <c r="S350" s="1507"/>
      <c r="T350" s="1507"/>
      <c r="U350" s="1507"/>
      <c r="V350" s="1507"/>
      <c r="W350" s="1507"/>
      <c r="X350" s="1507"/>
      <c r="Y350" s="1507"/>
      <c r="Z350" s="1507"/>
      <c r="AA350" s="1507"/>
      <c r="AB350" s="1368"/>
    </row>
    <row r="351" spans="1:28" s="199" customFormat="1" ht="12.75" customHeight="1" x14ac:dyDescent="0.4">
      <c r="A351" s="13" t="s">
        <v>226</v>
      </c>
      <c r="B351" s="13"/>
      <c r="C351" s="13"/>
      <c r="D351" s="13"/>
      <c r="E351" s="13"/>
      <c r="F351" s="13"/>
      <c r="G351" s="332"/>
      <c r="H351" s="332"/>
      <c r="I351" s="332"/>
      <c r="J351" s="333"/>
      <c r="K351" s="334"/>
      <c r="L351" s="334"/>
      <c r="M351" s="334"/>
      <c r="N351" s="334"/>
      <c r="O351" s="334"/>
      <c r="P351" s="334"/>
      <c r="Q351" s="334"/>
      <c r="R351" s="334"/>
      <c r="S351" s="334"/>
      <c r="T351" s="334"/>
      <c r="U351" s="334"/>
      <c r="V351" s="334"/>
      <c r="W351" s="334"/>
      <c r="X351" s="334"/>
      <c r="Y351" s="334"/>
      <c r="Z351" s="334"/>
      <c r="AA351" s="334"/>
      <c r="AB351" s="1363"/>
    </row>
    <row r="352" spans="1:28" s="200" customFormat="1" x14ac:dyDescent="0.35">
      <c r="A352" s="1368"/>
      <c r="B352" s="1368"/>
      <c r="C352" s="1368"/>
      <c r="D352" s="1368"/>
      <c r="E352" s="1368"/>
      <c r="F352" s="1368"/>
      <c r="G352" s="1505"/>
      <c r="H352" s="1505"/>
      <c r="I352" s="1505"/>
      <c r="J352" s="1505"/>
      <c r="K352" s="1505"/>
      <c r="L352" s="1505"/>
      <c r="M352" s="1505"/>
      <c r="N352" s="1505"/>
      <c r="O352" s="1505"/>
      <c r="P352" s="1505"/>
      <c r="Q352" s="1505"/>
      <c r="R352" s="1505"/>
      <c r="S352" s="1505"/>
      <c r="T352" s="1505"/>
      <c r="U352" s="1505"/>
      <c r="V352" s="1505"/>
      <c r="W352" s="1505"/>
      <c r="X352" s="1505"/>
      <c r="Y352" s="1505"/>
      <c r="Z352" s="1505"/>
      <c r="AA352" s="1505"/>
      <c r="AB352" s="1368"/>
    </row>
    <row r="353" spans="1:28" s="203" customFormat="1" ht="13.15" x14ac:dyDescent="0.4">
      <c r="A353" s="1364"/>
      <c r="B353" s="1501" t="s">
        <v>51</v>
      </c>
      <c r="C353" s="1501"/>
      <c r="D353" s="1483"/>
      <c r="E353" s="1483"/>
      <c r="F353" s="1484"/>
      <c r="G353" s="1506">
        <v>0</v>
      </c>
      <c r="H353" s="1506">
        <v>1</v>
      </c>
      <c r="I353" s="1506">
        <v>2</v>
      </c>
      <c r="J353" s="1506">
        <v>3</v>
      </c>
      <c r="K353" s="1506">
        <v>4</v>
      </c>
      <c r="L353" s="1506">
        <v>5</v>
      </c>
      <c r="M353" s="1506">
        <v>6</v>
      </c>
      <c r="N353" s="1506">
        <v>7</v>
      </c>
      <c r="O353" s="1506">
        <v>8</v>
      </c>
      <c r="P353" s="1506">
        <v>9</v>
      </c>
      <c r="Q353" s="1506">
        <v>10</v>
      </c>
      <c r="R353" s="1506">
        <v>11</v>
      </c>
      <c r="S353" s="1506">
        <v>12</v>
      </c>
      <c r="T353" s="1506">
        <v>13</v>
      </c>
      <c r="U353" s="1506">
        <v>14</v>
      </c>
      <c r="V353" s="1506">
        <v>15</v>
      </c>
      <c r="W353" s="1506">
        <v>16</v>
      </c>
      <c r="X353" s="1506">
        <v>17</v>
      </c>
      <c r="Y353" s="1506">
        <v>18</v>
      </c>
      <c r="Z353" s="1506">
        <v>19</v>
      </c>
      <c r="AA353" s="1506">
        <v>20</v>
      </c>
      <c r="AB353" s="1364"/>
    </row>
    <row r="354" spans="1:28" s="200" customFormat="1" ht="13.15" thickBot="1" x14ac:dyDescent="0.4">
      <c r="A354" s="1368"/>
      <c r="B354" s="1368"/>
      <c r="C354" s="1368"/>
      <c r="D354" s="1368"/>
      <c r="E354" s="1368"/>
      <c r="F354" s="1374"/>
      <c r="G354" s="1505"/>
      <c r="H354" s="1505"/>
      <c r="I354" s="1505"/>
      <c r="J354" s="1505"/>
      <c r="K354" s="1505"/>
      <c r="L354" s="1505"/>
      <c r="M354" s="1505"/>
      <c r="N354" s="1505"/>
      <c r="O354" s="1505"/>
      <c r="P354" s="1505"/>
      <c r="Q354" s="1505"/>
      <c r="R354" s="1505"/>
      <c r="S354" s="1505"/>
      <c r="T354" s="1505"/>
      <c r="U354" s="1505"/>
      <c r="V354" s="1505"/>
      <c r="W354" s="1505"/>
      <c r="X354" s="1505"/>
      <c r="Y354" s="1505"/>
      <c r="Z354" s="1505"/>
      <c r="AA354" s="1505"/>
      <c r="AB354" s="1368"/>
    </row>
    <row r="355" spans="1:28" s="200" customFormat="1" ht="13.15" x14ac:dyDescent="0.4">
      <c r="A355" s="1368"/>
      <c r="B355" s="114" t="s">
        <v>398</v>
      </c>
      <c r="C355" s="115"/>
      <c r="D355" s="115"/>
      <c r="E355" s="115"/>
      <c r="F355" s="115"/>
      <c r="G355" s="335"/>
      <c r="H355" s="335"/>
      <c r="I355" s="335"/>
      <c r="J355" s="335"/>
      <c r="K355" s="335"/>
      <c r="L355" s="335"/>
      <c r="M355" s="335"/>
      <c r="N355" s="335"/>
      <c r="O355" s="335"/>
      <c r="P355" s="335"/>
      <c r="Q355" s="335"/>
      <c r="R355" s="335"/>
      <c r="S355" s="335"/>
      <c r="T355" s="335"/>
      <c r="U355" s="335"/>
      <c r="V355" s="335"/>
      <c r="W355" s="335"/>
      <c r="X355" s="335"/>
      <c r="Y355" s="335"/>
      <c r="Z355" s="335"/>
      <c r="AA355" s="336"/>
      <c r="AB355" s="1368"/>
    </row>
    <row r="356" spans="1:28" s="200" customFormat="1" x14ac:dyDescent="0.35">
      <c r="A356" s="1368"/>
      <c r="B356" s="116"/>
      <c r="C356" s="117"/>
      <c r="D356" s="117"/>
      <c r="E356" s="117"/>
      <c r="F356" s="117"/>
      <c r="G356" s="337"/>
      <c r="H356" s="337"/>
      <c r="I356" s="337"/>
      <c r="J356" s="337"/>
      <c r="K356" s="337"/>
      <c r="L356" s="337"/>
      <c r="M356" s="337"/>
      <c r="N356" s="337"/>
      <c r="O356" s="337"/>
      <c r="P356" s="337"/>
      <c r="Q356" s="337"/>
      <c r="R356" s="337"/>
      <c r="S356" s="337"/>
      <c r="T356" s="337"/>
      <c r="U356" s="337"/>
      <c r="V356" s="337"/>
      <c r="W356" s="337"/>
      <c r="X356" s="337"/>
      <c r="Y356" s="337"/>
      <c r="Z356" s="337"/>
      <c r="AA356" s="338"/>
      <c r="AB356" s="1368"/>
    </row>
    <row r="357" spans="1:28" s="200" customFormat="1" x14ac:dyDescent="0.35">
      <c r="A357" s="1368"/>
      <c r="B357" s="116"/>
      <c r="C357" s="118" t="s">
        <v>57</v>
      </c>
      <c r="D357" s="119">
        <f>'III. Inputs, Renewable Energy'!$U$16</f>
        <v>20</v>
      </c>
      <c r="E357" s="120" t="s">
        <v>18</v>
      </c>
      <c r="F357" s="117"/>
      <c r="G357" s="337"/>
      <c r="H357" s="337"/>
      <c r="I357" s="337"/>
      <c r="J357" s="337"/>
      <c r="K357" s="337"/>
      <c r="L357" s="337"/>
      <c r="M357" s="337"/>
      <c r="N357" s="337"/>
      <c r="O357" s="337"/>
      <c r="P357" s="337"/>
      <c r="Q357" s="337"/>
      <c r="R357" s="337"/>
      <c r="S357" s="337"/>
      <c r="T357" s="337"/>
      <c r="U357" s="337"/>
      <c r="V357" s="337"/>
      <c r="W357" s="337"/>
      <c r="X357" s="337"/>
      <c r="Y357" s="337"/>
      <c r="Z357" s="337"/>
      <c r="AA357" s="338"/>
      <c r="AB357" s="1368"/>
    </row>
    <row r="358" spans="1:28" s="200" customFormat="1" x14ac:dyDescent="0.35">
      <c r="A358" s="1368"/>
      <c r="B358" s="116"/>
      <c r="C358" s="117"/>
      <c r="D358" s="117"/>
      <c r="E358" s="117"/>
      <c r="F358" s="117"/>
      <c r="G358" s="337"/>
      <c r="H358" s="337"/>
      <c r="I358" s="337"/>
      <c r="J358" s="337"/>
      <c r="K358" s="337"/>
      <c r="L358" s="337"/>
      <c r="M358" s="337"/>
      <c r="N358" s="337"/>
      <c r="O358" s="337"/>
      <c r="P358" s="337"/>
      <c r="Q358" s="337"/>
      <c r="R358" s="337"/>
      <c r="S358" s="337"/>
      <c r="T358" s="337"/>
      <c r="U358" s="337"/>
      <c r="V358" s="337"/>
      <c r="W358" s="337"/>
      <c r="X358" s="337"/>
      <c r="Y358" s="337"/>
      <c r="Z358" s="337"/>
      <c r="AA358" s="338"/>
      <c r="AB358" s="1368"/>
    </row>
    <row r="359" spans="1:28" s="200" customFormat="1" x14ac:dyDescent="0.35">
      <c r="A359" s="1368"/>
      <c r="B359" s="116"/>
      <c r="C359" s="117" t="s">
        <v>52</v>
      </c>
      <c r="D359" s="117"/>
      <c r="E359" s="117"/>
      <c r="F359" s="117"/>
      <c r="G359" s="339"/>
      <c r="H359" s="340">
        <f>IF(H353&gt;$D$357,0,1/$D$357)</f>
        <v>0.05</v>
      </c>
      <c r="I359" s="340">
        <f t="shared" ref="I359:AA359" si="94">IF(I353&gt;$D$357,0,1/$D$357)</f>
        <v>0.05</v>
      </c>
      <c r="J359" s="340">
        <f t="shared" si="94"/>
        <v>0.05</v>
      </c>
      <c r="K359" s="340">
        <f t="shared" si="94"/>
        <v>0.05</v>
      </c>
      <c r="L359" s="340">
        <f t="shared" si="94"/>
        <v>0.05</v>
      </c>
      <c r="M359" s="340">
        <f t="shared" si="94"/>
        <v>0.05</v>
      </c>
      <c r="N359" s="340">
        <f t="shared" si="94"/>
        <v>0.05</v>
      </c>
      <c r="O359" s="340">
        <f t="shared" si="94"/>
        <v>0.05</v>
      </c>
      <c r="P359" s="340">
        <f t="shared" si="94"/>
        <v>0.05</v>
      </c>
      <c r="Q359" s="340">
        <f t="shared" si="94"/>
        <v>0.05</v>
      </c>
      <c r="R359" s="340">
        <f t="shared" si="94"/>
        <v>0.05</v>
      </c>
      <c r="S359" s="340">
        <f t="shared" si="94"/>
        <v>0.05</v>
      </c>
      <c r="T359" s="340">
        <f t="shared" si="94"/>
        <v>0.05</v>
      </c>
      <c r="U359" s="340">
        <f t="shared" si="94"/>
        <v>0.05</v>
      </c>
      <c r="V359" s="340">
        <f t="shared" si="94"/>
        <v>0.05</v>
      </c>
      <c r="W359" s="340">
        <f t="shared" si="94"/>
        <v>0.05</v>
      </c>
      <c r="X359" s="340">
        <f t="shared" si="94"/>
        <v>0.05</v>
      </c>
      <c r="Y359" s="340">
        <f t="shared" si="94"/>
        <v>0.05</v>
      </c>
      <c r="Z359" s="340">
        <f t="shared" si="94"/>
        <v>0.05</v>
      </c>
      <c r="AA359" s="341">
        <f t="shared" si="94"/>
        <v>0.05</v>
      </c>
      <c r="AB359" s="1368"/>
    </row>
    <row r="360" spans="1:28" s="200" customFormat="1" x14ac:dyDescent="0.35">
      <c r="A360" s="1368"/>
      <c r="B360" s="116"/>
      <c r="C360" s="117" t="s">
        <v>53</v>
      </c>
      <c r="D360" s="117"/>
      <c r="E360" s="117"/>
      <c r="F360" s="117"/>
      <c r="G360" s="342"/>
      <c r="H360" s="340">
        <v>0</v>
      </c>
      <c r="I360" s="340">
        <v>0</v>
      </c>
      <c r="J360" s="340">
        <v>0</v>
      </c>
      <c r="K360" s="340">
        <v>0</v>
      </c>
      <c r="L360" s="340">
        <v>0</v>
      </c>
      <c r="M360" s="340">
        <v>0</v>
      </c>
      <c r="N360" s="340">
        <v>0</v>
      </c>
      <c r="O360" s="340">
        <v>0</v>
      </c>
      <c r="P360" s="340">
        <v>0</v>
      </c>
      <c r="Q360" s="340">
        <v>0</v>
      </c>
      <c r="R360" s="340">
        <v>0</v>
      </c>
      <c r="S360" s="340">
        <v>0</v>
      </c>
      <c r="T360" s="340">
        <v>0</v>
      </c>
      <c r="U360" s="340">
        <v>0</v>
      </c>
      <c r="V360" s="340">
        <v>0</v>
      </c>
      <c r="W360" s="340">
        <v>0</v>
      </c>
      <c r="X360" s="340">
        <v>0</v>
      </c>
      <c r="Y360" s="340">
        <v>0</v>
      </c>
      <c r="Z360" s="340">
        <v>0</v>
      </c>
      <c r="AA360" s="341">
        <v>0</v>
      </c>
      <c r="AB360" s="1368"/>
    </row>
    <row r="361" spans="1:28" s="200" customFormat="1" x14ac:dyDescent="0.35">
      <c r="A361" s="1368"/>
      <c r="B361" s="116"/>
      <c r="C361" s="117"/>
      <c r="D361" s="117"/>
      <c r="E361" s="117"/>
      <c r="F361" s="117"/>
      <c r="G361" s="337"/>
      <c r="H361" s="337"/>
      <c r="I361" s="337"/>
      <c r="J361" s="337"/>
      <c r="K361" s="337"/>
      <c r="L361" s="337"/>
      <c r="M361" s="337"/>
      <c r="N361" s="337"/>
      <c r="O361" s="337"/>
      <c r="P361" s="337"/>
      <c r="Q361" s="337"/>
      <c r="R361" s="337"/>
      <c r="S361" s="337"/>
      <c r="T361" s="337"/>
      <c r="U361" s="337"/>
      <c r="V361" s="337"/>
      <c r="W361" s="337"/>
      <c r="X361" s="337"/>
      <c r="Y361" s="337"/>
      <c r="Z361" s="337"/>
      <c r="AA361" s="338"/>
      <c r="AB361" s="1368"/>
    </row>
    <row r="362" spans="1:28" s="200" customFormat="1" ht="13.15" x14ac:dyDescent="0.4">
      <c r="A362" s="1368"/>
      <c r="B362" s="116"/>
      <c r="C362" s="117"/>
      <c r="D362" s="117"/>
      <c r="E362" s="117"/>
      <c r="F362" s="122" t="s">
        <v>54</v>
      </c>
      <c r="G362" s="343" t="s">
        <v>55</v>
      </c>
      <c r="H362" s="337"/>
      <c r="I362" s="337"/>
      <c r="J362" s="337"/>
      <c r="K362" s="337"/>
      <c r="L362" s="337"/>
      <c r="M362" s="337"/>
      <c r="N362" s="337"/>
      <c r="O362" s="337"/>
      <c r="P362" s="337"/>
      <c r="Q362" s="337"/>
      <c r="R362" s="337"/>
      <c r="S362" s="337"/>
      <c r="T362" s="337"/>
      <c r="U362" s="337"/>
      <c r="V362" s="337"/>
      <c r="W362" s="337"/>
      <c r="X362" s="337"/>
      <c r="Y362" s="337"/>
      <c r="Z362" s="337"/>
      <c r="AA362" s="338"/>
      <c r="AB362" s="1368"/>
    </row>
    <row r="363" spans="1:28" s="200" customFormat="1" x14ac:dyDescent="0.35">
      <c r="A363" s="1368"/>
      <c r="B363" s="116"/>
      <c r="C363" s="117" t="s">
        <v>50</v>
      </c>
      <c r="D363" s="117"/>
      <c r="E363" s="117"/>
      <c r="F363" s="121">
        <f>'III. Inputs, Renewable Energy'!S273</f>
        <v>0.95</v>
      </c>
      <c r="G363" s="1695">
        <f>IF('III. Inputs, Renewable Energy'!U288=0,0,('III. Inputs, Renewable Energy'!U287+('III. Inputs, Renewable Energy'!U283*'III. Inputs, Renewable Energy'!U285*'III. Inputs, Renewable Energy'!U286))*('III. Inputs, Renewable Energy'!U14/'III. Inputs, Renewable Energy'!U288)*F363)</f>
        <v>0</v>
      </c>
      <c r="H363" s="1695">
        <f xml:space="preserve"> $G$363*H359</f>
        <v>0</v>
      </c>
      <c r="I363" s="1695">
        <f t="shared" ref="I363:AA363" si="95" xml:space="preserve"> $G$363*I359</f>
        <v>0</v>
      </c>
      <c r="J363" s="1695">
        <f t="shared" si="95"/>
        <v>0</v>
      </c>
      <c r="K363" s="1695">
        <f t="shared" si="95"/>
        <v>0</v>
      </c>
      <c r="L363" s="1695">
        <f t="shared" si="95"/>
        <v>0</v>
      </c>
      <c r="M363" s="1695">
        <f t="shared" si="95"/>
        <v>0</v>
      </c>
      <c r="N363" s="1695">
        <f t="shared" si="95"/>
        <v>0</v>
      </c>
      <c r="O363" s="1695">
        <f t="shared" si="95"/>
        <v>0</v>
      </c>
      <c r="P363" s="1695">
        <f t="shared" si="95"/>
        <v>0</v>
      </c>
      <c r="Q363" s="1695">
        <f t="shared" si="95"/>
        <v>0</v>
      </c>
      <c r="R363" s="1695">
        <f t="shared" si="95"/>
        <v>0</v>
      </c>
      <c r="S363" s="1695">
        <f t="shared" si="95"/>
        <v>0</v>
      </c>
      <c r="T363" s="1695">
        <f t="shared" si="95"/>
        <v>0</v>
      </c>
      <c r="U363" s="1695">
        <f t="shared" si="95"/>
        <v>0</v>
      </c>
      <c r="V363" s="1695">
        <f t="shared" si="95"/>
        <v>0</v>
      </c>
      <c r="W363" s="1695">
        <f t="shared" si="95"/>
        <v>0</v>
      </c>
      <c r="X363" s="1695">
        <f t="shared" si="95"/>
        <v>0</v>
      </c>
      <c r="Y363" s="1695">
        <f t="shared" si="95"/>
        <v>0</v>
      </c>
      <c r="Z363" s="1695">
        <f t="shared" si="95"/>
        <v>0</v>
      </c>
      <c r="AA363" s="1696">
        <f t="shared" si="95"/>
        <v>0</v>
      </c>
      <c r="AB363" s="1368"/>
    </row>
    <row r="364" spans="1:28" s="200" customFormat="1" x14ac:dyDescent="0.35">
      <c r="A364" s="1368"/>
      <c r="B364" s="116"/>
      <c r="C364" s="123" t="s">
        <v>16</v>
      </c>
      <c r="D364" s="123"/>
      <c r="E364" s="123"/>
      <c r="F364" s="124">
        <f>'III. Inputs, Renewable Energy'!S274</f>
        <v>5.0000000000000044E-2</v>
      </c>
      <c r="G364" s="1697">
        <f>IF('III. Inputs, Renewable Energy'!U288=0,0,('III. Inputs, Renewable Energy'!U287+('III. Inputs, Renewable Energy'!U283*'III. Inputs, Renewable Energy'!U285*'III. Inputs, Renewable Energy'!U286))*('III. Inputs, Renewable Energy'!U14/'III. Inputs, Renewable Energy'!U288)*F364)</f>
        <v>0</v>
      </c>
      <c r="H364" s="1697">
        <f>$G$364*H360</f>
        <v>0</v>
      </c>
      <c r="I364" s="1697">
        <f t="shared" ref="I364:AA364" si="96">$G$364*I360</f>
        <v>0</v>
      </c>
      <c r="J364" s="1697">
        <f t="shared" si="96"/>
        <v>0</v>
      </c>
      <c r="K364" s="1697">
        <f t="shared" si="96"/>
        <v>0</v>
      </c>
      <c r="L364" s="1697">
        <f t="shared" si="96"/>
        <v>0</v>
      </c>
      <c r="M364" s="1697">
        <f t="shared" si="96"/>
        <v>0</v>
      </c>
      <c r="N364" s="1697">
        <f t="shared" si="96"/>
        <v>0</v>
      </c>
      <c r="O364" s="1697">
        <f t="shared" si="96"/>
        <v>0</v>
      </c>
      <c r="P364" s="1697">
        <f t="shared" si="96"/>
        <v>0</v>
      </c>
      <c r="Q364" s="1697">
        <f t="shared" si="96"/>
        <v>0</v>
      </c>
      <c r="R364" s="1697">
        <f t="shared" si="96"/>
        <v>0</v>
      </c>
      <c r="S364" s="1697">
        <f t="shared" si="96"/>
        <v>0</v>
      </c>
      <c r="T364" s="1697">
        <f t="shared" si="96"/>
        <v>0</v>
      </c>
      <c r="U364" s="1697">
        <f t="shared" si="96"/>
        <v>0</v>
      </c>
      <c r="V364" s="1697">
        <f t="shared" si="96"/>
        <v>0</v>
      </c>
      <c r="W364" s="1697">
        <f t="shared" si="96"/>
        <v>0</v>
      </c>
      <c r="X364" s="1697">
        <f t="shared" si="96"/>
        <v>0</v>
      </c>
      <c r="Y364" s="1697">
        <f t="shared" si="96"/>
        <v>0</v>
      </c>
      <c r="Z364" s="1697">
        <f t="shared" si="96"/>
        <v>0</v>
      </c>
      <c r="AA364" s="1698">
        <f t="shared" si="96"/>
        <v>0</v>
      </c>
      <c r="AB364" s="1368"/>
    </row>
    <row r="365" spans="1:28" s="200" customFormat="1" x14ac:dyDescent="0.35">
      <c r="A365" s="1368"/>
      <c r="B365" s="116"/>
      <c r="C365" s="117" t="s">
        <v>56</v>
      </c>
      <c r="D365" s="117"/>
      <c r="E365" s="117"/>
      <c r="F365" s="117"/>
      <c r="G365" s="1695">
        <f>G363+G364</f>
        <v>0</v>
      </c>
      <c r="H365" s="1695">
        <f>H363+H364</f>
        <v>0</v>
      </c>
      <c r="I365" s="1695">
        <f t="shared" ref="I365:AA365" si="97">I363+I364</f>
        <v>0</v>
      </c>
      <c r="J365" s="1695">
        <f t="shared" si="97"/>
        <v>0</v>
      </c>
      <c r="K365" s="1695">
        <f t="shared" si="97"/>
        <v>0</v>
      </c>
      <c r="L365" s="1695">
        <f t="shared" si="97"/>
        <v>0</v>
      </c>
      <c r="M365" s="1695">
        <f t="shared" si="97"/>
        <v>0</v>
      </c>
      <c r="N365" s="1695">
        <f t="shared" si="97"/>
        <v>0</v>
      </c>
      <c r="O365" s="1695">
        <f t="shared" si="97"/>
        <v>0</v>
      </c>
      <c r="P365" s="1695">
        <f t="shared" si="97"/>
        <v>0</v>
      </c>
      <c r="Q365" s="1695">
        <f t="shared" si="97"/>
        <v>0</v>
      </c>
      <c r="R365" s="1695">
        <f t="shared" si="97"/>
        <v>0</v>
      </c>
      <c r="S365" s="1695">
        <f t="shared" si="97"/>
        <v>0</v>
      </c>
      <c r="T365" s="1695">
        <f t="shared" si="97"/>
        <v>0</v>
      </c>
      <c r="U365" s="1695">
        <f t="shared" si="97"/>
        <v>0</v>
      </c>
      <c r="V365" s="1695">
        <f t="shared" si="97"/>
        <v>0</v>
      </c>
      <c r="W365" s="1695">
        <f t="shared" si="97"/>
        <v>0</v>
      </c>
      <c r="X365" s="1695">
        <f t="shared" si="97"/>
        <v>0</v>
      </c>
      <c r="Y365" s="1695">
        <f t="shared" si="97"/>
        <v>0</v>
      </c>
      <c r="Z365" s="1695">
        <f t="shared" si="97"/>
        <v>0</v>
      </c>
      <c r="AA365" s="1696">
        <f t="shared" si="97"/>
        <v>0</v>
      </c>
      <c r="AB365" s="1368"/>
    </row>
    <row r="366" spans="1:28" s="200" customFormat="1" x14ac:dyDescent="0.35">
      <c r="A366" s="1368"/>
      <c r="B366" s="116"/>
      <c r="C366" s="117"/>
      <c r="D366" s="117"/>
      <c r="E366" s="117"/>
      <c r="F366" s="117"/>
      <c r="G366" s="337"/>
      <c r="H366" s="337"/>
      <c r="I366" s="337"/>
      <c r="J366" s="337"/>
      <c r="K366" s="337"/>
      <c r="L366" s="337"/>
      <c r="M366" s="337"/>
      <c r="N366" s="337"/>
      <c r="O366" s="337"/>
      <c r="P366" s="337"/>
      <c r="Q366" s="337"/>
      <c r="R366" s="337"/>
      <c r="S366" s="337"/>
      <c r="T366" s="337"/>
      <c r="U366" s="337"/>
      <c r="V366" s="337"/>
      <c r="W366" s="337"/>
      <c r="X366" s="337"/>
      <c r="Y366" s="337"/>
      <c r="Z366" s="337"/>
      <c r="AA366" s="338"/>
      <c r="AB366" s="1368"/>
    </row>
    <row r="367" spans="1:28" s="200" customFormat="1" ht="13.15" thickBot="1" x14ac:dyDescent="0.4">
      <c r="A367" s="1368"/>
      <c r="B367" s="125"/>
      <c r="C367" s="126"/>
      <c r="D367" s="126"/>
      <c r="E367" s="126"/>
      <c r="F367" s="126"/>
      <c r="G367" s="344"/>
      <c r="H367" s="344"/>
      <c r="I367" s="344"/>
      <c r="J367" s="344"/>
      <c r="K367" s="344"/>
      <c r="L367" s="344"/>
      <c r="M367" s="344"/>
      <c r="N367" s="344"/>
      <c r="O367" s="344"/>
      <c r="P367" s="344"/>
      <c r="Q367" s="344"/>
      <c r="R367" s="344"/>
      <c r="S367" s="344"/>
      <c r="T367" s="344"/>
      <c r="U367" s="344"/>
      <c r="V367" s="344"/>
      <c r="W367" s="344"/>
      <c r="X367" s="344"/>
      <c r="Y367" s="344"/>
      <c r="Z367" s="344"/>
      <c r="AA367" s="345"/>
      <c r="AB367" s="1368"/>
    </row>
    <row r="368" spans="1:28" s="200" customFormat="1" ht="13.15" thickBot="1" x14ac:dyDescent="0.4">
      <c r="A368" s="1368"/>
      <c r="B368" s="1368"/>
      <c r="C368" s="1368"/>
      <c r="D368" s="1368"/>
      <c r="E368" s="1368"/>
      <c r="F368" s="1368"/>
      <c r="G368" s="1505"/>
      <c r="H368" s="1505"/>
      <c r="I368" s="1505"/>
      <c r="J368" s="1505"/>
      <c r="K368" s="1505"/>
      <c r="L368" s="1505"/>
      <c r="M368" s="1505"/>
      <c r="N368" s="1505"/>
      <c r="O368" s="1505"/>
      <c r="P368" s="1505"/>
      <c r="Q368" s="1505"/>
      <c r="R368" s="1505"/>
      <c r="S368" s="1505"/>
      <c r="T368" s="1505"/>
      <c r="U368" s="1505"/>
      <c r="V368" s="1505"/>
      <c r="W368" s="1505"/>
      <c r="X368" s="1505"/>
      <c r="Y368" s="1505"/>
      <c r="Z368" s="1505"/>
      <c r="AA368" s="1505"/>
      <c r="AB368" s="1368"/>
    </row>
    <row r="369" spans="1:28" s="200" customFormat="1" ht="13.15" x14ac:dyDescent="0.4">
      <c r="A369" s="1368"/>
      <c r="B369" s="72" t="s">
        <v>399</v>
      </c>
      <c r="C369" s="127"/>
      <c r="D369" s="73"/>
      <c r="E369" s="73"/>
      <c r="F369" s="73"/>
      <c r="G369" s="346"/>
      <c r="H369" s="346"/>
      <c r="I369" s="346"/>
      <c r="J369" s="346"/>
      <c r="K369" s="346"/>
      <c r="L369" s="346"/>
      <c r="M369" s="346"/>
      <c r="N369" s="346"/>
      <c r="O369" s="346"/>
      <c r="P369" s="346"/>
      <c r="Q369" s="346"/>
      <c r="R369" s="346"/>
      <c r="S369" s="346"/>
      <c r="T369" s="346"/>
      <c r="U369" s="346"/>
      <c r="V369" s="346"/>
      <c r="W369" s="346"/>
      <c r="X369" s="346"/>
      <c r="Y369" s="346"/>
      <c r="Z369" s="346"/>
      <c r="AA369" s="347"/>
      <c r="AB369" s="1368"/>
    </row>
    <row r="370" spans="1:28" s="200" customFormat="1" x14ac:dyDescent="0.35">
      <c r="A370" s="1368"/>
      <c r="B370" s="75"/>
      <c r="C370" s="11"/>
      <c r="D370" s="11"/>
      <c r="E370" s="11"/>
      <c r="F370" s="11"/>
      <c r="G370" s="348"/>
      <c r="H370" s="348"/>
      <c r="I370" s="348"/>
      <c r="J370" s="348"/>
      <c r="K370" s="348"/>
      <c r="L370" s="348"/>
      <c r="M370" s="348"/>
      <c r="N370" s="348"/>
      <c r="O370" s="348"/>
      <c r="P370" s="348"/>
      <c r="Q370" s="348"/>
      <c r="R370" s="348"/>
      <c r="S370" s="348"/>
      <c r="T370" s="348"/>
      <c r="U370" s="348"/>
      <c r="V370" s="348"/>
      <c r="W370" s="348"/>
      <c r="X370" s="348"/>
      <c r="Y370" s="348"/>
      <c r="Z370" s="348"/>
      <c r="AA370" s="349"/>
      <c r="AB370" s="1368"/>
    </row>
    <row r="371" spans="1:28" s="200" customFormat="1" x14ac:dyDescent="0.35">
      <c r="A371" s="1368"/>
      <c r="B371" s="75"/>
      <c r="C371" s="128" t="s">
        <v>57</v>
      </c>
      <c r="D371" s="129">
        <f>'III. Inputs, Renewable Energy'!$U$16</f>
        <v>20</v>
      </c>
      <c r="E371" s="130" t="s">
        <v>18</v>
      </c>
      <c r="F371" s="11"/>
      <c r="G371" s="348"/>
      <c r="H371" s="348"/>
      <c r="I371" s="348"/>
      <c r="J371" s="348"/>
      <c r="K371" s="348"/>
      <c r="L371" s="348"/>
      <c r="M371" s="348"/>
      <c r="N371" s="348"/>
      <c r="O371" s="348"/>
      <c r="P371" s="348"/>
      <c r="Q371" s="348"/>
      <c r="R371" s="348"/>
      <c r="S371" s="348"/>
      <c r="T371" s="348"/>
      <c r="U371" s="348"/>
      <c r="V371" s="348"/>
      <c r="W371" s="348"/>
      <c r="X371" s="348"/>
      <c r="Y371" s="348"/>
      <c r="Z371" s="348"/>
      <c r="AA371" s="349"/>
      <c r="AB371" s="1368"/>
    </row>
    <row r="372" spans="1:28" s="200" customFormat="1" x14ac:dyDescent="0.35">
      <c r="A372" s="1368"/>
      <c r="B372" s="75"/>
      <c r="C372" s="11"/>
      <c r="D372" s="11"/>
      <c r="E372" s="11"/>
      <c r="F372" s="11"/>
      <c r="G372" s="348"/>
      <c r="H372" s="348"/>
      <c r="I372" s="348"/>
      <c r="J372" s="348"/>
      <c r="K372" s="348"/>
      <c r="L372" s="348"/>
      <c r="M372" s="348"/>
      <c r="N372" s="348"/>
      <c r="O372" s="348"/>
      <c r="P372" s="348"/>
      <c r="Q372" s="348"/>
      <c r="R372" s="348"/>
      <c r="S372" s="348"/>
      <c r="T372" s="348"/>
      <c r="U372" s="348"/>
      <c r="V372" s="348"/>
      <c r="W372" s="348"/>
      <c r="X372" s="348"/>
      <c r="Y372" s="348"/>
      <c r="Z372" s="348"/>
      <c r="AA372" s="349"/>
      <c r="AB372" s="1368"/>
    </row>
    <row r="373" spans="1:28" s="200" customFormat="1" x14ac:dyDescent="0.35">
      <c r="A373" s="1368"/>
      <c r="B373" s="75"/>
      <c r="C373" s="11" t="s">
        <v>52</v>
      </c>
      <c r="D373" s="11"/>
      <c r="E373" s="11"/>
      <c r="F373" s="11"/>
      <c r="G373" s="350"/>
      <c r="H373" s="351">
        <f>IF(H353&gt;$D$371,0,1/$D$371)</f>
        <v>0.05</v>
      </c>
      <c r="I373" s="351">
        <f t="shared" ref="I373:AA373" si="98">IF(I353&gt;$D$371,0,1/$D$371)</f>
        <v>0.05</v>
      </c>
      <c r="J373" s="351">
        <f t="shared" si="98"/>
        <v>0.05</v>
      </c>
      <c r="K373" s="351">
        <f t="shared" si="98"/>
        <v>0.05</v>
      </c>
      <c r="L373" s="351">
        <f t="shared" si="98"/>
        <v>0.05</v>
      </c>
      <c r="M373" s="351">
        <f t="shared" si="98"/>
        <v>0.05</v>
      </c>
      <c r="N373" s="351">
        <f t="shared" si="98"/>
        <v>0.05</v>
      </c>
      <c r="O373" s="351">
        <f t="shared" si="98"/>
        <v>0.05</v>
      </c>
      <c r="P373" s="351">
        <f t="shared" si="98"/>
        <v>0.05</v>
      </c>
      <c r="Q373" s="351">
        <f t="shared" si="98"/>
        <v>0.05</v>
      </c>
      <c r="R373" s="351">
        <f t="shared" si="98"/>
        <v>0.05</v>
      </c>
      <c r="S373" s="351">
        <f t="shared" si="98"/>
        <v>0.05</v>
      </c>
      <c r="T373" s="351">
        <f t="shared" si="98"/>
        <v>0.05</v>
      </c>
      <c r="U373" s="351">
        <f t="shared" si="98"/>
        <v>0.05</v>
      </c>
      <c r="V373" s="351">
        <f t="shared" si="98"/>
        <v>0.05</v>
      </c>
      <c r="W373" s="351">
        <f t="shared" si="98"/>
        <v>0.05</v>
      </c>
      <c r="X373" s="351">
        <f t="shared" si="98"/>
        <v>0.05</v>
      </c>
      <c r="Y373" s="351">
        <f t="shared" si="98"/>
        <v>0.05</v>
      </c>
      <c r="Z373" s="351">
        <f t="shared" si="98"/>
        <v>0.05</v>
      </c>
      <c r="AA373" s="352">
        <f t="shared" si="98"/>
        <v>0.05</v>
      </c>
      <c r="AB373" s="1368"/>
    </row>
    <row r="374" spans="1:28" s="200" customFormat="1" x14ac:dyDescent="0.35">
      <c r="A374" s="1368"/>
      <c r="B374" s="75"/>
      <c r="C374" s="11" t="s">
        <v>53</v>
      </c>
      <c r="D374" s="11"/>
      <c r="E374" s="11"/>
      <c r="F374" s="11"/>
      <c r="G374" s="353"/>
      <c r="H374" s="351">
        <v>0</v>
      </c>
      <c r="I374" s="351">
        <v>0</v>
      </c>
      <c r="J374" s="351">
        <v>0</v>
      </c>
      <c r="K374" s="351">
        <v>0</v>
      </c>
      <c r="L374" s="351">
        <v>0</v>
      </c>
      <c r="M374" s="351">
        <v>0</v>
      </c>
      <c r="N374" s="351">
        <v>0</v>
      </c>
      <c r="O374" s="351">
        <v>0</v>
      </c>
      <c r="P374" s="351">
        <v>0</v>
      </c>
      <c r="Q374" s="351">
        <v>0</v>
      </c>
      <c r="R374" s="351">
        <v>0</v>
      </c>
      <c r="S374" s="351">
        <v>0</v>
      </c>
      <c r="T374" s="351">
        <v>0</v>
      </c>
      <c r="U374" s="351">
        <v>0</v>
      </c>
      <c r="V374" s="351">
        <v>0</v>
      </c>
      <c r="W374" s="351">
        <v>0</v>
      </c>
      <c r="X374" s="351">
        <v>0</v>
      </c>
      <c r="Y374" s="351">
        <v>0</v>
      </c>
      <c r="Z374" s="351">
        <v>0</v>
      </c>
      <c r="AA374" s="352">
        <v>0</v>
      </c>
      <c r="AB374" s="1368"/>
    </row>
    <row r="375" spans="1:28" s="200" customFormat="1" x14ac:dyDescent="0.35">
      <c r="A375" s="1368"/>
      <c r="B375" s="75"/>
      <c r="C375" s="11"/>
      <c r="D375" s="11"/>
      <c r="E375" s="11"/>
      <c r="F375" s="11"/>
      <c r="G375" s="348"/>
      <c r="H375" s="348"/>
      <c r="I375" s="348"/>
      <c r="J375" s="348"/>
      <c r="K375" s="348"/>
      <c r="L375" s="348"/>
      <c r="M375" s="348"/>
      <c r="N375" s="348"/>
      <c r="O375" s="348"/>
      <c r="P375" s="348"/>
      <c r="Q375" s="348"/>
      <c r="R375" s="348"/>
      <c r="S375" s="348"/>
      <c r="T375" s="348"/>
      <c r="U375" s="348"/>
      <c r="V375" s="348"/>
      <c r="W375" s="348"/>
      <c r="X375" s="348"/>
      <c r="Y375" s="348"/>
      <c r="Z375" s="348"/>
      <c r="AA375" s="349"/>
      <c r="AB375" s="1368"/>
    </row>
    <row r="376" spans="1:28" s="200" customFormat="1" ht="13.15" x14ac:dyDescent="0.4">
      <c r="A376" s="1368"/>
      <c r="B376" s="75"/>
      <c r="C376" s="11"/>
      <c r="D376" s="11"/>
      <c r="E376" s="11"/>
      <c r="F376" s="96" t="s">
        <v>54</v>
      </c>
      <c r="G376" s="354" t="s">
        <v>55</v>
      </c>
      <c r="H376" s="348"/>
      <c r="I376" s="348"/>
      <c r="J376" s="348"/>
      <c r="K376" s="348"/>
      <c r="L376" s="348"/>
      <c r="M376" s="348"/>
      <c r="N376" s="348"/>
      <c r="O376" s="348"/>
      <c r="P376" s="348"/>
      <c r="Q376" s="348"/>
      <c r="R376" s="348"/>
      <c r="S376" s="348"/>
      <c r="T376" s="348"/>
      <c r="U376" s="348"/>
      <c r="V376" s="348"/>
      <c r="W376" s="348"/>
      <c r="X376" s="348"/>
      <c r="Y376" s="348"/>
      <c r="Z376" s="348"/>
      <c r="AA376" s="349"/>
      <c r="AB376" s="1368"/>
    </row>
    <row r="377" spans="1:28" s="200" customFormat="1" x14ac:dyDescent="0.35">
      <c r="A377" s="1368"/>
      <c r="B377" s="75"/>
      <c r="C377" s="11" t="s">
        <v>50</v>
      </c>
      <c r="D377" s="11"/>
      <c r="E377" s="11"/>
      <c r="F377" s="80">
        <f>'III. Inputs, Renewable Energy'!V273</f>
        <v>0.95</v>
      </c>
      <c r="G377" s="1699">
        <f>IF('III. Inputs, Renewable Energy'!U288=0,0,('III. Inputs, Renewable Energy'!U287+('III. Inputs, Renewable Energy'!U283*'III. Inputs, Renewable Energy'!U285*'III. Inputs, Renewable Energy'!U286))*('III. Inputs, Renewable Energy'!U14/'III. Inputs, Renewable Energy'!U288)*F377)</f>
        <v>0</v>
      </c>
      <c r="H377" s="1699">
        <f>$G$377*H373</f>
        <v>0</v>
      </c>
      <c r="I377" s="1699">
        <f t="shared" ref="I377:AA377" si="99">$G$377*I373</f>
        <v>0</v>
      </c>
      <c r="J377" s="1699">
        <f t="shared" si="99"/>
        <v>0</v>
      </c>
      <c r="K377" s="1699">
        <f t="shared" si="99"/>
        <v>0</v>
      </c>
      <c r="L377" s="1699">
        <f t="shared" si="99"/>
        <v>0</v>
      </c>
      <c r="M377" s="1699">
        <f t="shared" si="99"/>
        <v>0</v>
      </c>
      <c r="N377" s="1699">
        <f t="shared" si="99"/>
        <v>0</v>
      </c>
      <c r="O377" s="1699">
        <f t="shared" si="99"/>
        <v>0</v>
      </c>
      <c r="P377" s="1699">
        <f t="shared" si="99"/>
        <v>0</v>
      </c>
      <c r="Q377" s="1699">
        <f t="shared" si="99"/>
        <v>0</v>
      </c>
      <c r="R377" s="1699">
        <f t="shared" si="99"/>
        <v>0</v>
      </c>
      <c r="S377" s="1699">
        <f t="shared" si="99"/>
        <v>0</v>
      </c>
      <c r="T377" s="1699">
        <f t="shared" si="99"/>
        <v>0</v>
      </c>
      <c r="U377" s="1699">
        <f t="shared" si="99"/>
        <v>0</v>
      </c>
      <c r="V377" s="1699">
        <f t="shared" si="99"/>
        <v>0</v>
      </c>
      <c r="W377" s="1699">
        <f t="shared" si="99"/>
        <v>0</v>
      </c>
      <c r="X377" s="1699">
        <f t="shared" si="99"/>
        <v>0</v>
      </c>
      <c r="Y377" s="1699">
        <f t="shared" si="99"/>
        <v>0</v>
      </c>
      <c r="Z377" s="1699">
        <f t="shared" si="99"/>
        <v>0</v>
      </c>
      <c r="AA377" s="1700">
        <f t="shared" si="99"/>
        <v>0</v>
      </c>
      <c r="AB377" s="1368"/>
    </row>
    <row r="378" spans="1:28" s="200" customFormat="1" x14ac:dyDescent="0.35">
      <c r="A378" s="1368"/>
      <c r="B378" s="75"/>
      <c r="C378" s="12" t="s">
        <v>16</v>
      </c>
      <c r="D378" s="12"/>
      <c r="E378" s="12"/>
      <c r="F378" s="131">
        <f>'III. Inputs, Renewable Energy'!V274</f>
        <v>5.0000000000000044E-2</v>
      </c>
      <c r="G378" s="1701">
        <f>IF('III. Inputs, Renewable Energy'!U288=0,0,('III. Inputs, Renewable Energy'!U287+('III. Inputs, Renewable Energy'!U283*'III. Inputs, Renewable Energy'!U285*'III. Inputs, Renewable Energy'!U286))*('III. Inputs, Renewable Energy'!U14/'III. Inputs, Renewable Energy'!U288)*F378)</f>
        <v>0</v>
      </c>
      <c r="H378" s="1701">
        <f>$G$378*H374</f>
        <v>0</v>
      </c>
      <c r="I378" s="1701">
        <f t="shared" ref="I378:AA378" si="100">$G$378*I374</f>
        <v>0</v>
      </c>
      <c r="J378" s="1701">
        <f t="shared" si="100"/>
        <v>0</v>
      </c>
      <c r="K378" s="1701">
        <f t="shared" si="100"/>
        <v>0</v>
      </c>
      <c r="L378" s="1701">
        <f t="shared" si="100"/>
        <v>0</v>
      </c>
      <c r="M378" s="1701">
        <f t="shared" si="100"/>
        <v>0</v>
      </c>
      <c r="N378" s="1701">
        <f t="shared" si="100"/>
        <v>0</v>
      </c>
      <c r="O378" s="1701">
        <f t="shared" si="100"/>
        <v>0</v>
      </c>
      <c r="P378" s="1701">
        <f t="shared" si="100"/>
        <v>0</v>
      </c>
      <c r="Q378" s="1701">
        <f t="shared" si="100"/>
        <v>0</v>
      </c>
      <c r="R378" s="1701">
        <f t="shared" si="100"/>
        <v>0</v>
      </c>
      <c r="S378" s="1701">
        <f t="shared" si="100"/>
        <v>0</v>
      </c>
      <c r="T378" s="1701">
        <f t="shared" si="100"/>
        <v>0</v>
      </c>
      <c r="U378" s="1701">
        <f t="shared" si="100"/>
        <v>0</v>
      </c>
      <c r="V378" s="1701">
        <f t="shared" si="100"/>
        <v>0</v>
      </c>
      <c r="W378" s="1701">
        <f t="shared" si="100"/>
        <v>0</v>
      </c>
      <c r="X378" s="1701">
        <f t="shared" si="100"/>
        <v>0</v>
      </c>
      <c r="Y378" s="1701">
        <f t="shared" si="100"/>
        <v>0</v>
      </c>
      <c r="Z378" s="1701">
        <f t="shared" si="100"/>
        <v>0</v>
      </c>
      <c r="AA378" s="1702">
        <f t="shared" si="100"/>
        <v>0</v>
      </c>
      <c r="AB378" s="1368"/>
    </row>
    <row r="379" spans="1:28" s="200" customFormat="1" x14ac:dyDescent="0.35">
      <c r="A379" s="1368"/>
      <c r="B379" s="75"/>
      <c r="C379" s="11" t="s">
        <v>56</v>
      </c>
      <c r="D379" s="11"/>
      <c r="E379" s="11"/>
      <c r="F379" s="11"/>
      <c r="G379" s="1699">
        <f>G377+G378</f>
        <v>0</v>
      </c>
      <c r="H379" s="1699">
        <f>H377+H378</f>
        <v>0</v>
      </c>
      <c r="I379" s="1699">
        <f t="shared" ref="I379:AA379" si="101">I377+I378</f>
        <v>0</v>
      </c>
      <c r="J379" s="1699">
        <f t="shared" si="101"/>
        <v>0</v>
      </c>
      <c r="K379" s="1699">
        <f t="shared" si="101"/>
        <v>0</v>
      </c>
      <c r="L379" s="1699">
        <f t="shared" si="101"/>
        <v>0</v>
      </c>
      <c r="M379" s="1699">
        <f t="shared" si="101"/>
        <v>0</v>
      </c>
      <c r="N379" s="1699">
        <f t="shared" si="101"/>
        <v>0</v>
      </c>
      <c r="O379" s="1699">
        <f t="shared" si="101"/>
        <v>0</v>
      </c>
      <c r="P379" s="1699">
        <f t="shared" si="101"/>
        <v>0</v>
      </c>
      <c r="Q379" s="1699">
        <f t="shared" si="101"/>
        <v>0</v>
      </c>
      <c r="R379" s="1699">
        <f t="shared" si="101"/>
        <v>0</v>
      </c>
      <c r="S379" s="1699">
        <f t="shared" si="101"/>
        <v>0</v>
      </c>
      <c r="T379" s="1699">
        <f t="shared" si="101"/>
        <v>0</v>
      </c>
      <c r="U379" s="1699">
        <f t="shared" si="101"/>
        <v>0</v>
      </c>
      <c r="V379" s="1699">
        <f t="shared" si="101"/>
        <v>0</v>
      </c>
      <c r="W379" s="1699">
        <f t="shared" si="101"/>
        <v>0</v>
      </c>
      <c r="X379" s="1699">
        <f t="shared" si="101"/>
        <v>0</v>
      </c>
      <c r="Y379" s="1699">
        <f t="shared" si="101"/>
        <v>0</v>
      </c>
      <c r="Z379" s="1699">
        <f t="shared" si="101"/>
        <v>0</v>
      </c>
      <c r="AA379" s="1700">
        <f t="shared" si="101"/>
        <v>0</v>
      </c>
      <c r="AB379" s="1368"/>
    </row>
    <row r="380" spans="1:28" s="200" customFormat="1" x14ac:dyDescent="0.35">
      <c r="A380" s="1368"/>
      <c r="B380" s="75"/>
      <c r="C380" s="11"/>
      <c r="D380" s="11"/>
      <c r="E380" s="11"/>
      <c r="F380" s="11"/>
      <c r="G380" s="348"/>
      <c r="H380" s="348"/>
      <c r="I380" s="348"/>
      <c r="J380" s="348"/>
      <c r="K380" s="348"/>
      <c r="L380" s="348"/>
      <c r="M380" s="348"/>
      <c r="N380" s="348"/>
      <c r="O380" s="348"/>
      <c r="P380" s="348"/>
      <c r="Q380" s="348"/>
      <c r="R380" s="348"/>
      <c r="S380" s="348"/>
      <c r="T380" s="348"/>
      <c r="U380" s="348"/>
      <c r="V380" s="348"/>
      <c r="W380" s="348"/>
      <c r="X380" s="348"/>
      <c r="Y380" s="348"/>
      <c r="Z380" s="348"/>
      <c r="AA380" s="349"/>
      <c r="AB380" s="1368"/>
    </row>
    <row r="381" spans="1:28" s="200" customFormat="1" ht="13.15" thickBot="1" x14ac:dyDescent="0.4">
      <c r="A381" s="1368"/>
      <c r="B381" s="97"/>
      <c r="C381" s="90"/>
      <c r="D381" s="90"/>
      <c r="E381" s="90"/>
      <c r="F381" s="90"/>
      <c r="G381" s="355"/>
      <c r="H381" s="355"/>
      <c r="I381" s="355"/>
      <c r="J381" s="355"/>
      <c r="K381" s="355"/>
      <c r="L381" s="355"/>
      <c r="M381" s="355"/>
      <c r="N381" s="355"/>
      <c r="O381" s="355"/>
      <c r="P381" s="355"/>
      <c r="Q381" s="355"/>
      <c r="R381" s="355"/>
      <c r="S381" s="355"/>
      <c r="T381" s="355"/>
      <c r="U381" s="355"/>
      <c r="V381" s="355"/>
      <c r="W381" s="355"/>
      <c r="X381" s="355"/>
      <c r="Y381" s="355"/>
      <c r="Z381" s="355"/>
      <c r="AA381" s="356"/>
      <c r="AB381" s="1368"/>
    </row>
    <row r="382" spans="1:28" s="200" customFormat="1" x14ac:dyDescent="0.35">
      <c r="A382" s="1368"/>
      <c r="B382" s="1368"/>
      <c r="C382" s="1368"/>
      <c r="D382" s="1368"/>
      <c r="E382" s="1368"/>
      <c r="F382" s="1388"/>
      <c r="G382" s="1368"/>
      <c r="H382" s="1368"/>
      <c r="I382" s="1368"/>
      <c r="J382" s="1368"/>
      <c r="K382" s="1368"/>
      <c r="L382" s="1368"/>
      <c r="M382" s="1368"/>
      <c r="N382" s="1368"/>
      <c r="O382" s="1368"/>
      <c r="P382" s="1368"/>
      <c r="Q382" s="1368"/>
      <c r="R382" s="1368"/>
      <c r="S382" s="1368"/>
      <c r="T382" s="1368"/>
      <c r="U382" s="1368"/>
      <c r="V382" s="1368"/>
      <c r="W382" s="1368"/>
      <c r="X382" s="1368"/>
      <c r="Y382" s="1368"/>
      <c r="Z382" s="1368"/>
      <c r="AA382" s="1368"/>
      <c r="AB382" s="1368"/>
    </row>
    <row r="383" spans="1:28" s="200" customFormat="1" hidden="1" x14ac:dyDescent="0.35">
      <c r="A383" s="1368"/>
      <c r="B383" s="1368"/>
      <c r="C383" s="1368"/>
      <c r="D383" s="1368"/>
      <c r="E383" s="1368"/>
      <c r="F383" s="1368"/>
      <c r="G383" s="1368"/>
      <c r="H383" s="1368"/>
      <c r="I383" s="1368"/>
      <c r="J383" s="1368"/>
      <c r="K383" s="1368"/>
      <c r="L383" s="1368"/>
      <c r="M383" s="1368"/>
      <c r="N383" s="1368"/>
      <c r="O383" s="1368"/>
      <c r="P383" s="1368"/>
      <c r="Q383" s="1368"/>
      <c r="R383" s="1368"/>
      <c r="S383" s="1368"/>
      <c r="T383" s="1368"/>
      <c r="U383" s="1368"/>
      <c r="V383" s="1368"/>
      <c r="W383" s="1368"/>
      <c r="X383" s="1368"/>
      <c r="Y383" s="1368"/>
      <c r="Z383" s="1368"/>
      <c r="AA383" s="1368"/>
      <c r="AB383" s="1368"/>
    </row>
    <row r="384" spans="1:28" s="200" customFormat="1" hidden="1" x14ac:dyDescent="0.35">
      <c r="A384" s="1368"/>
      <c r="B384" s="1368"/>
      <c r="C384" s="1368"/>
      <c r="D384" s="1368"/>
      <c r="E384" s="1368"/>
      <c r="F384" s="1368"/>
      <c r="G384" s="1368"/>
      <c r="H384" s="1368"/>
      <c r="I384" s="1368"/>
      <c r="J384" s="1368"/>
      <c r="K384" s="1368"/>
      <c r="L384" s="1368"/>
      <c r="M384" s="1368"/>
      <c r="N384" s="1368"/>
      <c r="O384" s="1368"/>
      <c r="P384" s="1368"/>
      <c r="Q384" s="1368"/>
      <c r="R384" s="1368"/>
      <c r="S384" s="1368"/>
      <c r="T384" s="1368"/>
      <c r="U384" s="1368"/>
      <c r="V384" s="1368"/>
      <c r="W384" s="1368"/>
      <c r="X384" s="1368"/>
      <c r="Y384" s="1368"/>
      <c r="Z384" s="1368"/>
      <c r="AA384" s="1368"/>
      <c r="AB384" s="1368"/>
    </row>
    <row r="385" spans="1:28" s="200" customFormat="1" hidden="1" x14ac:dyDescent="0.35">
      <c r="A385" s="1368"/>
      <c r="B385" s="1368"/>
      <c r="C385" s="1368"/>
      <c r="D385" s="1368"/>
      <c r="E385" s="1368"/>
      <c r="F385" s="1368"/>
      <c r="G385" s="1368"/>
      <c r="H385" s="1368"/>
      <c r="I385" s="1368"/>
      <c r="J385" s="1368"/>
      <c r="K385" s="1368"/>
      <c r="L385" s="1368"/>
      <c r="M385" s="1368"/>
      <c r="N385" s="1368"/>
      <c r="O385" s="1368"/>
      <c r="P385" s="1368"/>
      <c r="Q385" s="1368"/>
      <c r="R385" s="1368"/>
      <c r="S385" s="1368"/>
      <c r="T385" s="1368"/>
      <c r="U385" s="1368"/>
      <c r="V385" s="1368"/>
      <c r="W385" s="1368"/>
      <c r="X385" s="1368"/>
      <c r="Y385" s="1368"/>
      <c r="Z385" s="1368"/>
      <c r="AA385" s="1368"/>
      <c r="AB385" s="1368"/>
    </row>
    <row r="386" spans="1:28" s="200" customFormat="1" hidden="1" x14ac:dyDescent="0.35">
      <c r="A386" s="1368"/>
      <c r="B386" s="1368"/>
      <c r="C386" s="1368"/>
      <c r="D386" s="1368"/>
      <c r="E386" s="1368"/>
      <c r="F386" s="1368"/>
      <c r="G386" s="1368"/>
      <c r="H386" s="1368"/>
      <c r="I386" s="1368"/>
      <c r="J386" s="1368"/>
      <c r="K386" s="1368"/>
      <c r="L386" s="1368"/>
      <c r="M386" s="1368"/>
      <c r="N386" s="1368"/>
      <c r="O386" s="1368"/>
      <c r="P386" s="1368"/>
      <c r="Q386" s="1368"/>
      <c r="R386" s="1368"/>
      <c r="S386" s="1368"/>
      <c r="T386" s="1368"/>
      <c r="U386" s="1368"/>
      <c r="V386" s="1368"/>
      <c r="W386" s="1368"/>
      <c r="X386" s="1368"/>
      <c r="Y386" s="1368"/>
      <c r="Z386" s="1368"/>
      <c r="AA386" s="1368"/>
      <c r="AB386" s="1368"/>
    </row>
    <row r="387" spans="1:28" s="200" customFormat="1" hidden="1" x14ac:dyDescent="0.35">
      <c r="A387" s="1368"/>
      <c r="B387" s="1368"/>
      <c r="C387" s="1368"/>
      <c r="D387" s="1368"/>
      <c r="E387" s="1368"/>
      <c r="F387" s="1368"/>
      <c r="G387" s="1368"/>
      <c r="H387" s="1368"/>
      <c r="I387" s="1368"/>
      <c r="J387" s="1368"/>
      <c r="K387" s="1368"/>
      <c r="L387" s="1368"/>
      <c r="M387" s="1368"/>
      <c r="N387" s="1368"/>
      <c r="O387" s="1368"/>
      <c r="P387" s="1368"/>
      <c r="Q387" s="1368"/>
      <c r="R387" s="1368"/>
      <c r="S387" s="1368"/>
      <c r="T387" s="1368"/>
      <c r="U387" s="1368"/>
      <c r="V387" s="1368"/>
      <c r="W387" s="1368"/>
      <c r="X387" s="1368"/>
      <c r="Y387" s="1368"/>
      <c r="Z387" s="1368"/>
      <c r="AA387" s="1368"/>
      <c r="AB387" s="1368"/>
    </row>
    <row r="388" spans="1:28" s="200" customFormat="1" hidden="1" x14ac:dyDescent="0.35">
      <c r="A388" s="1368"/>
      <c r="B388" s="1368"/>
      <c r="C388" s="1368"/>
      <c r="D388" s="1368"/>
      <c r="E388" s="1368"/>
      <c r="F388" s="1368"/>
      <c r="G388" s="1368"/>
      <c r="H388" s="1368"/>
      <c r="I388" s="1368"/>
      <c r="J388" s="1368"/>
      <c r="K388" s="1368"/>
      <c r="L388" s="1368"/>
      <c r="M388" s="1368"/>
      <c r="N388" s="1368"/>
      <c r="O388" s="1368"/>
      <c r="P388" s="1368"/>
      <c r="Q388" s="1368"/>
      <c r="R388" s="1368"/>
      <c r="S388" s="1368"/>
      <c r="T388" s="1368"/>
      <c r="U388" s="1368"/>
      <c r="V388" s="1368"/>
      <c r="W388" s="1368"/>
      <c r="X388" s="1368"/>
      <c r="Y388" s="1368"/>
      <c r="Z388" s="1368"/>
      <c r="AA388" s="1368"/>
      <c r="AB388" s="1368"/>
    </row>
    <row r="389" spans="1:28" s="200" customFormat="1" hidden="1" x14ac:dyDescent="0.35">
      <c r="A389" s="1368"/>
      <c r="B389" s="1368"/>
      <c r="C389" s="1368"/>
      <c r="D389" s="1368"/>
      <c r="E389" s="1368"/>
      <c r="F389" s="1368"/>
      <c r="G389" s="1368"/>
      <c r="H389" s="1368"/>
      <c r="I389" s="1368"/>
      <c r="J389" s="1368"/>
      <c r="K389" s="1368"/>
      <c r="L389" s="1368"/>
      <c r="M389" s="1368"/>
      <c r="N389" s="1368"/>
      <c r="O389" s="1368"/>
      <c r="P389" s="1368"/>
      <c r="Q389" s="1368"/>
      <c r="R389" s="1368"/>
      <c r="S389" s="1368"/>
      <c r="T389" s="1368"/>
      <c r="U389" s="1368"/>
      <c r="V389" s="1368"/>
      <c r="W389" s="1368"/>
      <c r="X389" s="1368"/>
      <c r="Y389" s="1368"/>
      <c r="Z389" s="1368"/>
      <c r="AA389" s="1368"/>
      <c r="AB389" s="1368"/>
    </row>
    <row r="390" spans="1:28" s="200" customFormat="1" hidden="1" x14ac:dyDescent="0.35">
      <c r="A390" s="1368"/>
      <c r="B390" s="1368"/>
      <c r="C390" s="1368"/>
      <c r="D390" s="1368"/>
      <c r="E390" s="1368"/>
      <c r="F390" s="1368"/>
      <c r="G390" s="1368"/>
      <c r="H390" s="1368"/>
      <c r="I390" s="1368"/>
      <c r="J390" s="1368"/>
      <c r="K390" s="1368"/>
      <c r="L390" s="1368"/>
      <c r="M390" s="1368"/>
      <c r="N390" s="1368"/>
      <c r="O390" s="1368"/>
      <c r="P390" s="1368"/>
      <c r="Q390" s="1368"/>
      <c r="R390" s="1368"/>
      <c r="S390" s="1368"/>
      <c r="T390" s="1368"/>
      <c r="U390" s="1368"/>
      <c r="V390" s="1368"/>
      <c r="W390" s="1368"/>
      <c r="X390" s="1368"/>
      <c r="Y390" s="1368"/>
      <c r="Z390" s="1368"/>
      <c r="AA390" s="1368"/>
      <c r="AB390" s="1368"/>
    </row>
  </sheetData>
  <sheetProtection formatCells="0" formatColumns="0" formatRows="0" insertColumns="0" insertRows="0"/>
  <pageMargins left="0.7" right="0.7" top="0.75" bottom="0.75" header="0.3" footer="0.3"/>
  <pageSetup scale="30" fitToHeight="0" orientation="landscape" horizontalDpi="4294967293" r:id="rId1"/>
  <headerFooter>
    <oddFooter>&amp;L&amp;A&amp;R&amp;P of &amp;N</oddFooter>
  </headerFooter>
  <rowBreaks count="2" manualBreakCount="2">
    <brk id="192" max="16383" man="1"/>
    <brk id="272" max="16383"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904"/>
  <sheetViews>
    <sheetView zoomScale="75" zoomScaleNormal="75" workbookViewId="0">
      <pane xSplit="8" ySplit="11" topLeftCell="I12" activePane="bottomRight" state="frozen"/>
      <selection pane="topRight"/>
      <selection pane="bottomLeft"/>
      <selection pane="bottomRight"/>
    </sheetView>
  </sheetViews>
  <sheetFormatPr defaultColWidth="0" defaultRowHeight="12.75" zeroHeight="1" x14ac:dyDescent="0.35"/>
  <cols>
    <col min="1" max="4" width="1.86328125" style="200" customWidth="1"/>
    <col min="5" max="5" width="46.73046875" style="200" customWidth="1"/>
    <col min="6" max="6" width="10.265625" style="200" bestFit="1" customWidth="1"/>
    <col min="7" max="7" width="7.86328125" style="200" customWidth="1"/>
    <col min="8" max="8" width="16.1328125" style="200" customWidth="1"/>
    <col min="9" max="9" width="19.265625" style="200" customWidth="1"/>
    <col min="10" max="59" width="15.1328125" style="200" customWidth="1"/>
    <col min="60" max="60" width="2.73046875" style="1368" customWidth="1"/>
    <col min="61" max="16384" width="0" style="200" hidden="1"/>
  </cols>
  <sheetData>
    <row r="1" spans="1:60" x14ac:dyDescent="0.35">
      <c r="A1" s="1354" t="s">
        <v>584</v>
      </c>
      <c r="B1" s="1354"/>
      <c r="C1" s="1354"/>
      <c r="D1" s="1368"/>
      <c r="E1" s="1368"/>
      <c r="F1" s="1368"/>
      <c r="G1" s="1368"/>
      <c r="H1" s="1368"/>
      <c r="I1" s="1368"/>
      <c r="J1" s="1368"/>
      <c r="K1" s="1368"/>
      <c r="L1" s="1368"/>
      <c r="M1" s="1368"/>
      <c r="N1" s="1368"/>
      <c r="O1" s="1368"/>
      <c r="P1" s="1368"/>
      <c r="Q1" s="1368"/>
      <c r="R1" s="1368"/>
      <c r="S1" s="1368"/>
      <c r="T1" s="1368"/>
      <c r="U1" s="1368"/>
      <c r="V1" s="1368"/>
      <c r="W1" s="1368"/>
      <c r="X1" s="1368"/>
      <c r="Y1" s="1368"/>
      <c r="Z1" s="1368"/>
      <c r="AA1" s="1368"/>
      <c r="AB1" s="1368"/>
      <c r="AC1" s="1368"/>
      <c r="AD1" s="1368"/>
      <c r="AE1" s="1368"/>
      <c r="AF1" s="1368"/>
      <c r="AG1" s="1368"/>
      <c r="AH1" s="1368"/>
      <c r="AI1" s="1368"/>
      <c r="AJ1" s="1368"/>
      <c r="AK1" s="1368"/>
      <c r="AL1" s="1368"/>
      <c r="AM1" s="1368"/>
      <c r="AN1" s="1368"/>
      <c r="AO1" s="1368"/>
      <c r="AP1" s="1368"/>
      <c r="AQ1" s="1368"/>
      <c r="AR1" s="1368"/>
      <c r="AS1" s="1368"/>
      <c r="AT1" s="1368"/>
      <c r="AU1" s="1368"/>
      <c r="AV1" s="1368"/>
      <c r="AW1" s="1368"/>
      <c r="AX1" s="1368"/>
      <c r="AY1" s="1368"/>
      <c r="AZ1" s="1368"/>
      <c r="BA1" s="1368"/>
      <c r="BB1" s="1368"/>
      <c r="BC1" s="1368"/>
      <c r="BD1" s="1368"/>
      <c r="BE1" s="1368"/>
      <c r="BF1" s="1368"/>
      <c r="BG1" s="1368"/>
    </row>
    <row r="2" spans="1:60" x14ac:dyDescent="0.35">
      <c r="A2" s="1368"/>
      <c r="B2" s="1368"/>
      <c r="C2" s="1368"/>
      <c r="D2" s="1368"/>
      <c r="E2" s="1368"/>
      <c r="F2" s="1368"/>
      <c r="G2" s="1368"/>
      <c r="H2" s="1368"/>
      <c r="I2" s="1368"/>
      <c r="J2" s="1368"/>
      <c r="K2" s="1368"/>
      <c r="L2" s="1368"/>
      <c r="M2" s="1368"/>
      <c r="N2" s="1368"/>
      <c r="O2" s="1368"/>
      <c r="P2" s="1368"/>
      <c r="Q2" s="1368"/>
      <c r="R2" s="1368"/>
      <c r="S2" s="1368"/>
      <c r="T2" s="1368"/>
      <c r="U2" s="1368"/>
      <c r="V2" s="1368"/>
      <c r="W2" s="1368"/>
      <c r="X2" s="1368"/>
      <c r="Y2" s="1368"/>
      <c r="Z2" s="1368"/>
      <c r="AA2" s="1368"/>
      <c r="AB2" s="1368"/>
      <c r="AC2" s="1368"/>
      <c r="AD2" s="1368"/>
      <c r="AE2" s="1368"/>
      <c r="AF2" s="1368"/>
      <c r="AG2" s="1368"/>
      <c r="AH2" s="1368"/>
      <c r="AI2" s="1368"/>
      <c r="AJ2" s="1368"/>
      <c r="AK2" s="1368"/>
      <c r="AL2" s="1368"/>
      <c r="AM2" s="1368"/>
      <c r="AN2" s="1368"/>
      <c r="AO2" s="1368"/>
      <c r="AP2" s="1368"/>
      <c r="AQ2" s="1368"/>
      <c r="AR2" s="1368"/>
      <c r="AS2" s="1368"/>
      <c r="AT2" s="1368"/>
      <c r="AU2" s="1368"/>
      <c r="AV2" s="1368"/>
      <c r="AW2" s="1368"/>
      <c r="AX2" s="1368"/>
      <c r="AY2" s="1368"/>
      <c r="AZ2" s="1368"/>
      <c r="BA2" s="1368"/>
      <c r="BB2" s="1368"/>
      <c r="BC2" s="1368"/>
      <c r="BD2" s="1368"/>
      <c r="BE2" s="1368"/>
      <c r="BF2" s="1368"/>
      <c r="BG2" s="1368"/>
    </row>
    <row r="3" spans="1:60" s="19" customFormat="1" ht="13.15" x14ac:dyDescent="0.4">
      <c r="A3" s="5" t="s">
        <v>644</v>
      </c>
      <c r="B3" s="5"/>
      <c r="C3" s="5"/>
      <c r="D3" s="5"/>
      <c r="E3" s="5"/>
      <c r="F3" s="5"/>
      <c r="G3" s="5"/>
      <c r="H3" s="5"/>
      <c r="I3" s="5"/>
      <c r="J3" s="5"/>
      <c r="K3" s="5"/>
      <c r="L3" s="5"/>
      <c r="M3" s="6"/>
      <c r="N3" s="6"/>
      <c r="O3" s="7"/>
      <c r="P3" s="7"/>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1475"/>
    </row>
    <row r="4" spans="1:60" s="199" customFormat="1" ht="12.75" customHeight="1" x14ac:dyDescent="0.35">
      <c r="A4" s="1363"/>
      <c r="B4" s="1363"/>
      <c r="C4" s="1363"/>
      <c r="D4" s="1363"/>
      <c r="E4" s="1363"/>
      <c r="F4" s="1363"/>
      <c r="G4" s="1363"/>
      <c r="H4" s="1363"/>
      <c r="I4" s="1363"/>
      <c r="J4" s="1363"/>
      <c r="K4" s="1363"/>
      <c r="L4" s="1363"/>
      <c r="M4" s="1363"/>
      <c r="N4" s="1363"/>
      <c r="O4" s="1363"/>
      <c r="P4" s="1363"/>
      <c r="Q4" s="1363"/>
      <c r="R4" s="1363"/>
      <c r="S4" s="709"/>
      <c r="T4" s="709"/>
      <c r="U4" s="709"/>
      <c r="V4" s="1363"/>
      <c r="W4" s="1363"/>
      <c r="X4" s="1495"/>
      <c r="Y4" s="1495"/>
      <c r="Z4" s="1495"/>
      <c r="AA4" s="1495"/>
      <c r="AB4" s="1495"/>
      <c r="AC4" s="1495"/>
      <c r="AD4" s="1495"/>
      <c r="AE4" s="1495"/>
      <c r="AF4" s="1495"/>
      <c r="AG4" s="1495"/>
      <c r="AH4" s="1495"/>
      <c r="AI4" s="1495"/>
      <c r="AJ4" s="1495"/>
      <c r="AK4" s="1495"/>
      <c r="AL4" s="1495"/>
      <c r="AM4" s="1495"/>
      <c r="AN4" s="1495"/>
      <c r="AO4" s="1495"/>
      <c r="AP4" s="1495"/>
      <c r="AQ4" s="1495"/>
      <c r="AR4" s="1495"/>
      <c r="AS4" s="1495"/>
      <c r="AT4" s="1495"/>
      <c r="AU4" s="1495"/>
      <c r="AV4" s="1495"/>
      <c r="AW4" s="1495"/>
      <c r="AX4" s="1495"/>
      <c r="AY4" s="1495"/>
      <c r="AZ4" s="1495"/>
      <c r="BA4" s="1495"/>
      <c r="BB4" s="1495"/>
      <c r="BC4" s="1495"/>
      <c r="BD4" s="1495"/>
      <c r="BE4" s="1495"/>
      <c r="BF4" s="1495"/>
      <c r="BG4" s="1495"/>
      <c r="BH4" s="1363"/>
    </row>
    <row r="5" spans="1:60" s="199" customFormat="1" ht="12.75" customHeight="1" x14ac:dyDescent="0.35">
      <c r="A5" s="1363"/>
      <c r="B5" s="1363" t="s">
        <v>182</v>
      </c>
      <c r="C5" s="1363"/>
      <c r="D5" s="1363"/>
      <c r="E5" s="1363"/>
      <c r="F5" s="1363"/>
      <c r="G5" s="1363"/>
      <c r="H5" s="1363"/>
      <c r="I5" s="1363"/>
      <c r="J5" s="1363"/>
      <c r="K5" s="1363"/>
      <c r="L5" s="1363"/>
      <c r="M5" s="1363"/>
      <c r="N5" s="1363"/>
      <c r="O5" s="1363"/>
      <c r="P5" s="1363"/>
      <c r="Q5" s="1363"/>
      <c r="R5" s="1363"/>
      <c r="S5" s="1363"/>
      <c r="T5" s="1363"/>
      <c r="U5" s="1363"/>
      <c r="V5" s="1496"/>
      <c r="W5" s="1363"/>
      <c r="X5" s="1363"/>
      <c r="Y5" s="1496"/>
      <c r="Z5" s="1496"/>
      <c r="AA5" s="1496"/>
      <c r="AB5" s="1496"/>
      <c r="AC5" s="1496"/>
      <c r="AD5" s="1496"/>
      <c r="AE5" s="1496"/>
      <c r="AF5" s="1496"/>
      <c r="AG5" s="1496"/>
      <c r="AH5" s="1496"/>
      <c r="AI5" s="1496"/>
      <c r="AJ5" s="1496"/>
      <c r="AK5" s="1496"/>
      <c r="AL5" s="1496"/>
      <c r="AM5" s="1496"/>
      <c r="AN5" s="1496"/>
      <c r="AO5" s="1496"/>
      <c r="AP5" s="1496"/>
      <c r="AQ5" s="1496"/>
      <c r="AR5" s="1496"/>
      <c r="AS5" s="1496"/>
      <c r="AT5" s="1496"/>
      <c r="AU5" s="1496"/>
      <c r="AV5" s="1496"/>
      <c r="AW5" s="1496"/>
      <c r="AX5" s="1496"/>
      <c r="AY5" s="1496"/>
      <c r="AZ5" s="1496"/>
      <c r="BA5" s="1496"/>
      <c r="BB5" s="1496"/>
      <c r="BC5" s="1496"/>
      <c r="BD5" s="1496"/>
      <c r="BE5" s="1496"/>
      <c r="BF5" s="1496"/>
      <c r="BG5" s="1496"/>
      <c r="BH5" s="1363"/>
    </row>
    <row r="6" spans="1:60" s="199" customFormat="1" ht="12.75" customHeight="1" x14ac:dyDescent="0.35">
      <c r="A6" s="1363"/>
      <c r="B6" s="1363"/>
      <c r="C6" s="1368" t="s">
        <v>689</v>
      </c>
      <c r="D6" s="1363"/>
      <c r="E6" s="1363"/>
      <c r="F6" s="1363"/>
      <c r="G6" s="1363"/>
      <c r="H6" s="1363"/>
      <c r="I6" s="1363"/>
      <c r="J6" s="1363"/>
      <c r="K6" s="1363"/>
      <c r="L6" s="1363"/>
      <c r="M6" s="1363"/>
      <c r="N6" s="1363"/>
      <c r="O6" s="1363"/>
      <c r="P6" s="1363"/>
      <c r="Q6" s="1363"/>
      <c r="R6" s="1363"/>
      <c r="S6" s="1363"/>
      <c r="T6" s="1363"/>
      <c r="U6" s="1363"/>
      <c r="V6" s="1496"/>
      <c r="W6" s="1363"/>
      <c r="X6" s="1363"/>
      <c r="Y6" s="1496"/>
      <c r="Z6" s="1496"/>
      <c r="AA6" s="1496"/>
      <c r="AB6" s="1496"/>
      <c r="AC6" s="1496"/>
      <c r="AD6" s="1496"/>
      <c r="AE6" s="1496"/>
      <c r="AF6" s="1496"/>
      <c r="AG6" s="1496"/>
      <c r="AH6" s="1496"/>
      <c r="AI6" s="1496"/>
      <c r="AJ6" s="1496"/>
      <c r="AK6" s="1496"/>
      <c r="AL6" s="1496"/>
      <c r="AM6" s="1496"/>
      <c r="AN6" s="1496"/>
      <c r="AO6" s="1496"/>
      <c r="AP6" s="1496"/>
      <c r="AQ6" s="1496"/>
      <c r="AR6" s="1496"/>
      <c r="AS6" s="1496"/>
      <c r="AT6" s="1496"/>
      <c r="AU6" s="1496"/>
      <c r="AV6" s="1496"/>
      <c r="AW6" s="1496"/>
      <c r="AX6" s="1496"/>
      <c r="AY6" s="1496"/>
      <c r="AZ6" s="1496"/>
      <c r="BA6" s="1496"/>
      <c r="BB6" s="1496"/>
      <c r="BC6" s="1496"/>
      <c r="BD6" s="1496"/>
      <c r="BE6" s="1496"/>
      <c r="BF6" s="1496"/>
      <c r="BG6" s="1496"/>
      <c r="BH6" s="1363"/>
    </row>
    <row r="7" spans="1:60" s="199" customFormat="1" ht="12.75" customHeight="1" x14ac:dyDescent="0.35">
      <c r="A7" s="1363"/>
      <c r="B7" s="1363"/>
      <c r="C7" s="1363" t="s">
        <v>690</v>
      </c>
      <c r="D7" s="1363"/>
      <c r="E7" s="1363"/>
      <c r="F7" s="1363"/>
      <c r="G7" s="1363"/>
      <c r="H7" s="1363"/>
      <c r="I7" s="1363"/>
      <c r="J7" s="1363"/>
      <c r="K7" s="1363"/>
      <c r="L7" s="1363"/>
      <c r="M7" s="1363"/>
      <c r="N7" s="1363"/>
      <c r="O7" s="1363"/>
      <c r="P7" s="1363"/>
      <c r="Q7" s="1363"/>
      <c r="R7" s="1363"/>
      <c r="S7" s="1363"/>
      <c r="T7" s="1363"/>
      <c r="U7" s="1363"/>
      <c r="V7" s="1497"/>
      <c r="W7" s="1363"/>
      <c r="X7" s="1363"/>
      <c r="Y7" s="1497"/>
      <c r="Z7" s="1497"/>
      <c r="AA7" s="1497"/>
      <c r="AB7" s="1497"/>
      <c r="AC7" s="1497"/>
      <c r="AD7" s="1497"/>
      <c r="AE7" s="1497"/>
      <c r="AF7" s="1497"/>
      <c r="AG7" s="1497"/>
      <c r="AH7" s="1497"/>
      <c r="AI7" s="1497"/>
      <c r="AJ7" s="1497"/>
      <c r="AK7" s="1497"/>
      <c r="AL7" s="1497"/>
      <c r="AM7" s="1497"/>
      <c r="AN7" s="1497"/>
      <c r="AO7" s="1497"/>
      <c r="AP7" s="1497"/>
      <c r="AQ7" s="1497"/>
      <c r="AR7" s="1497"/>
      <c r="AS7" s="1497"/>
      <c r="AT7" s="1497"/>
      <c r="AU7" s="1497"/>
      <c r="AV7" s="1497"/>
      <c r="AW7" s="1497"/>
      <c r="AX7" s="1497"/>
      <c r="AY7" s="1497"/>
      <c r="AZ7" s="1497"/>
      <c r="BA7" s="1497"/>
      <c r="BB7" s="1497"/>
      <c r="BC7" s="1497"/>
      <c r="BD7" s="1497"/>
      <c r="BE7" s="1497"/>
      <c r="BF7" s="1497"/>
      <c r="BG7" s="1497"/>
      <c r="BH7" s="1363"/>
    </row>
    <row r="8" spans="1:60" s="199" customFormat="1" ht="12.75" customHeight="1" x14ac:dyDescent="0.35">
      <c r="A8" s="1363"/>
      <c r="B8" s="1363"/>
      <c r="C8" s="1363" t="s">
        <v>691</v>
      </c>
      <c r="D8" s="1363"/>
      <c r="E8" s="1363"/>
      <c r="F8" s="1363"/>
      <c r="G8" s="1363"/>
      <c r="H8" s="1363"/>
      <c r="I8" s="1363"/>
      <c r="J8" s="1363"/>
      <c r="K8" s="1363"/>
      <c r="L8" s="1363"/>
      <c r="M8" s="1363"/>
      <c r="N8" s="1363"/>
      <c r="O8" s="1363"/>
      <c r="P8" s="1363"/>
      <c r="Q8" s="1363"/>
      <c r="R8" s="1363"/>
      <c r="S8" s="1363"/>
      <c r="T8" s="1363"/>
      <c r="U8" s="1363"/>
      <c r="V8" s="1496"/>
      <c r="W8" s="1363"/>
      <c r="X8" s="1363"/>
      <c r="Y8" s="1496"/>
      <c r="Z8" s="1496"/>
      <c r="AA8" s="1496"/>
      <c r="AB8" s="1496"/>
      <c r="AC8" s="1496"/>
      <c r="AD8" s="1496"/>
      <c r="AE8" s="1496"/>
      <c r="AF8" s="1496"/>
      <c r="AG8" s="1496"/>
      <c r="AH8" s="1496"/>
      <c r="AI8" s="1496"/>
      <c r="AJ8" s="1496"/>
      <c r="AK8" s="1496"/>
      <c r="AL8" s="1496"/>
      <c r="AM8" s="1496"/>
      <c r="AN8" s="1496"/>
      <c r="AO8" s="1496"/>
      <c r="AP8" s="1496"/>
      <c r="AQ8" s="1496"/>
      <c r="AR8" s="1496"/>
      <c r="AS8" s="1496"/>
      <c r="AT8" s="1496"/>
      <c r="AU8" s="1496"/>
      <c r="AV8" s="1496"/>
      <c r="AW8" s="1496"/>
      <c r="AX8" s="1496"/>
      <c r="AY8" s="1496"/>
      <c r="AZ8" s="1496"/>
      <c r="BA8" s="1496"/>
      <c r="BB8" s="1496"/>
      <c r="BC8" s="1496"/>
      <c r="BD8" s="1496"/>
      <c r="BE8" s="1496"/>
      <c r="BF8" s="1496"/>
      <c r="BG8" s="1496"/>
      <c r="BH8" s="1363"/>
    </row>
    <row r="9" spans="1:60" s="199" customFormat="1" ht="12.75" customHeight="1" x14ac:dyDescent="0.35">
      <c r="A9" s="1363"/>
      <c r="B9" s="1363"/>
      <c r="C9" s="1363" t="s">
        <v>692</v>
      </c>
      <c r="D9" s="1363"/>
      <c r="E9" s="1363"/>
      <c r="F9" s="1363"/>
      <c r="G9" s="1363"/>
      <c r="H9" s="1363"/>
      <c r="I9" s="1363"/>
      <c r="J9" s="1363"/>
      <c r="K9" s="1363"/>
      <c r="L9" s="1363"/>
      <c r="M9" s="1363"/>
      <c r="N9" s="1363"/>
      <c r="O9" s="1363"/>
      <c r="P9" s="1363"/>
      <c r="Q9" s="1363"/>
      <c r="R9" s="1363"/>
      <c r="S9" s="1363"/>
      <c r="T9" s="1363"/>
      <c r="U9" s="1363"/>
      <c r="V9" s="1496"/>
      <c r="W9" s="1363"/>
      <c r="X9" s="1363"/>
      <c r="Y9" s="1496"/>
      <c r="Z9" s="1496"/>
      <c r="AA9" s="1496"/>
      <c r="AB9" s="1496"/>
      <c r="AC9" s="1496"/>
      <c r="AD9" s="1496"/>
      <c r="AE9" s="1496"/>
      <c r="AF9" s="1496"/>
      <c r="AG9" s="1496"/>
      <c r="AH9" s="1496"/>
      <c r="AI9" s="1496"/>
      <c r="AJ9" s="1496"/>
      <c r="AK9" s="1496"/>
      <c r="AL9" s="1496"/>
      <c r="AM9" s="1496"/>
      <c r="AN9" s="1496"/>
      <c r="AO9" s="1496"/>
      <c r="AP9" s="1496"/>
      <c r="AQ9" s="1496"/>
      <c r="AR9" s="1496"/>
      <c r="AS9" s="1496"/>
      <c r="AT9" s="1496"/>
      <c r="AU9" s="1496"/>
      <c r="AV9" s="1496"/>
      <c r="AW9" s="1496"/>
      <c r="AX9" s="1496"/>
      <c r="AY9" s="1496"/>
      <c r="AZ9" s="1496"/>
      <c r="BA9" s="1496"/>
      <c r="BB9" s="1496"/>
      <c r="BC9" s="1496"/>
      <c r="BD9" s="1496"/>
      <c r="BE9" s="1496"/>
      <c r="BF9" s="1496"/>
      <c r="BG9" s="1496"/>
      <c r="BH9" s="1363"/>
    </row>
    <row r="10" spans="1:60" s="303" customFormat="1" ht="13.15" x14ac:dyDescent="0.4">
      <c r="A10" s="1476"/>
      <c r="B10" s="1476"/>
      <c r="C10" s="1476"/>
      <c r="D10" s="1498" t="s">
        <v>613</v>
      </c>
      <c r="E10" s="1499"/>
      <c r="F10" s="1502" t="s">
        <v>156</v>
      </c>
      <c r="G10" s="1500"/>
      <c r="H10" s="1499"/>
      <c r="I10" s="1503">
        <v>0</v>
      </c>
      <c r="J10" s="1503">
        <f>I10+1</f>
        <v>1</v>
      </c>
      <c r="K10" s="1503">
        <f t="shared" ref="K10:BG10" si="0">J10+1</f>
        <v>2</v>
      </c>
      <c r="L10" s="1503">
        <f t="shared" si="0"/>
        <v>3</v>
      </c>
      <c r="M10" s="1503">
        <f t="shared" si="0"/>
        <v>4</v>
      </c>
      <c r="N10" s="1503">
        <f t="shared" si="0"/>
        <v>5</v>
      </c>
      <c r="O10" s="1503">
        <f t="shared" si="0"/>
        <v>6</v>
      </c>
      <c r="P10" s="1503">
        <f t="shared" si="0"/>
        <v>7</v>
      </c>
      <c r="Q10" s="1503">
        <f t="shared" si="0"/>
        <v>8</v>
      </c>
      <c r="R10" s="1503">
        <f t="shared" si="0"/>
        <v>9</v>
      </c>
      <c r="S10" s="1503">
        <f t="shared" si="0"/>
        <v>10</v>
      </c>
      <c r="T10" s="1503">
        <f t="shared" si="0"/>
        <v>11</v>
      </c>
      <c r="U10" s="1503">
        <f t="shared" si="0"/>
        <v>12</v>
      </c>
      <c r="V10" s="1503">
        <f t="shared" si="0"/>
        <v>13</v>
      </c>
      <c r="W10" s="1503">
        <f t="shared" si="0"/>
        <v>14</v>
      </c>
      <c r="X10" s="1503">
        <f t="shared" si="0"/>
        <v>15</v>
      </c>
      <c r="Y10" s="1503">
        <f t="shared" si="0"/>
        <v>16</v>
      </c>
      <c r="Z10" s="1503">
        <f t="shared" si="0"/>
        <v>17</v>
      </c>
      <c r="AA10" s="1503">
        <f t="shared" si="0"/>
        <v>18</v>
      </c>
      <c r="AB10" s="1503">
        <f t="shared" si="0"/>
        <v>19</v>
      </c>
      <c r="AC10" s="1503">
        <f t="shared" si="0"/>
        <v>20</v>
      </c>
      <c r="AD10" s="1503">
        <f t="shared" si="0"/>
        <v>21</v>
      </c>
      <c r="AE10" s="1503">
        <f t="shared" si="0"/>
        <v>22</v>
      </c>
      <c r="AF10" s="1503">
        <f t="shared" si="0"/>
        <v>23</v>
      </c>
      <c r="AG10" s="1503">
        <f t="shared" si="0"/>
        <v>24</v>
      </c>
      <c r="AH10" s="1503">
        <f t="shared" si="0"/>
        <v>25</v>
      </c>
      <c r="AI10" s="1503">
        <f t="shared" si="0"/>
        <v>26</v>
      </c>
      <c r="AJ10" s="1503">
        <f t="shared" si="0"/>
        <v>27</v>
      </c>
      <c r="AK10" s="1503">
        <f t="shared" si="0"/>
        <v>28</v>
      </c>
      <c r="AL10" s="1503">
        <f t="shared" si="0"/>
        <v>29</v>
      </c>
      <c r="AM10" s="1503">
        <f t="shared" si="0"/>
        <v>30</v>
      </c>
      <c r="AN10" s="1503">
        <f t="shared" si="0"/>
        <v>31</v>
      </c>
      <c r="AO10" s="1503">
        <f t="shared" si="0"/>
        <v>32</v>
      </c>
      <c r="AP10" s="1503">
        <f t="shared" si="0"/>
        <v>33</v>
      </c>
      <c r="AQ10" s="1503">
        <f t="shared" si="0"/>
        <v>34</v>
      </c>
      <c r="AR10" s="1503">
        <f t="shared" si="0"/>
        <v>35</v>
      </c>
      <c r="AS10" s="1503">
        <f t="shared" si="0"/>
        <v>36</v>
      </c>
      <c r="AT10" s="1503">
        <f t="shared" si="0"/>
        <v>37</v>
      </c>
      <c r="AU10" s="1503">
        <f t="shared" si="0"/>
        <v>38</v>
      </c>
      <c r="AV10" s="1503">
        <f t="shared" si="0"/>
        <v>39</v>
      </c>
      <c r="AW10" s="1503">
        <f t="shared" si="0"/>
        <v>40</v>
      </c>
      <c r="AX10" s="1503">
        <f t="shared" si="0"/>
        <v>41</v>
      </c>
      <c r="AY10" s="1503">
        <f t="shared" si="0"/>
        <v>42</v>
      </c>
      <c r="AZ10" s="1503">
        <f t="shared" si="0"/>
        <v>43</v>
      </c>
      <c r="BA10" s="1503">
        <f t="shared" si="0"/>
        <v>44</v>
      </c>
      <c r="BB10" s="1503">
        <f t="shared" si="0"/>
        <v>45</v>
      </c>
      <c r="BC10" s="1503">
        <f t="shared" si="0"/>
        <v>46</v>
      </c>
      <c r="BD10" s="1503">
        <f t="shared" si="0"/>
        <v>47</v>
      </c>
      <c r="BE10" s="1503">
        <f t="shared" si="0"/>
        <v>48</v>
      </c>
      <c r="BF10" s="1503">
        <f t="shared" si="0"/>
        <v>49</v>
      </c>
      <c r="BG10" s="1503">
        <f t="shared" si="0"/>
        <v>50</v>
      </c>
      <c r="BH10" s="1476"/>
    </row>
    <row r="11" spans="1:60" ht="13.15" x14ac:dyDescent="0.4">
      <c r="A11" s="1368"/>
      <c r="B11" s="1368"/>
      <c r="C11" s="1368"/>
      <c r="D11" s="1368"/>
      <c r="E11" s="1483"/>
      <c r="F11" s="1501" t="s">
        <v>51</v>
      </c>
      <c r="G11" s="1484"/>
      <c r="H11" s="1483"/>
      <c r="I11" s="1484"/>
      <c r="J11" s="1484">
        <f>'III. Inputs, Renewable Energy'!U20</f>
        <v>2018</v>
      </c>
      <c r="K11" s="1484">
        <f t="shared" ref="K11:AP11" si="1">J11+(K10-J10)</f>
        <v>2019</v>
      </c>
      <c r="L11" s="1484">
        <f t="shared" si="1"/>
        <v>2020</v>
      </c>
      <c r="M11" s="1484">
        <f t="shared" si="1"/>
        <v>2021</v>
      </c>
      <c r="N11" s="1484">
        <f t="shared" si="1"/>
        <v>2022</v>
      </c>
      <c r="O11" s="1484">
        <f t="shared" si="1"/>
        <v>2023</v>
      </c>
      <c r="P11" s="1484">
        <f t="shared" si="1"/>
        <v>2024</v>
      </c>
      <c r="Q11" s="1484">
        <f t="shared" si="1"/>
        <v>2025</v>
      </c>
      <c r="R11" s="1484">
        <f t="shared" si="1"/>
        <v>2026</v>
      </c>
      <c r="S11" s="1484">
        <f t="shared" si="1"/>
        <v>2027</v>
      </c>
      <c r="T11" s="1484">
        <f t="shared" si="1"/>
        <v>2028</v>
      </c>
      <c r="U11" s="1484">
        <f t="shared" si="1"/>
        <v>2029</v>
      </c>
      <c r="V11" s="1484">
        <f t="shared" si="1"/>
        <v>2030</v>
      </c>
      <c r="W11" s="1484">
        <f t="shared" si="1"/>
        <v>2031</v>
      </c>
      <c r="X11" s="1484">
        <f t="shared" si="1"/>
        <v>2032</v>
      </c>
      <c r="Y11" s="1484">
        <f t="shared" si="1"/>
        <v>2033</v>
      </c>
      <c r="Z11" s="1484">
        <f t="shared" si="1"/>
        <v>2034</v>
      </c>
      <c r="AA11" s="1484">
        <f t="shared" si="1"/>
        <v>2035</v>
      </c>
      <c r="AB11" s="1484">
        <f t="shared" si="1"/>
        <v>2036</v>
      </c>
      <c r="AC11" s="1484">
        <f t="shared" si="1"/>
        <v>2037</v>
      </c>
      <c r="AD11" s="1484">
        <f t="shared" si="1"/>
        <v>2038</v>
      </c>
      <c r="AE11" s="1484">
        <f t="shared" si="1"/>
        <v>2039</v>
      </c>
      <c r="AF11" s="1484">
        <f t="shared" si="1"/>
        <v>2040</v>
      </c>
      <c r="AG11" s="1484">
        <f t="shared" si="1"/>
        <v>2041</v>
      </c>
      <c r="AH11" s="1484">
        <f t="shared" si="1"/>
        <v>2042</v>
      </c>
      <c r="AI11" s="1484">
        <f t="shared" si="1"/>
        <v>2043</v>
      </c>
      <c r="AJ11" s="1484">
        <f t="shared" si="1"/>
        <v>2044</v>
      </c>
      <c r="AK11" s="1484">
        <f t="shared" si="1"/>
        <v>2045</v>
      </c>
      <c r="AL11" s="1484">
        <f t="shared" si="1"/>
        <v>2046</v>
      </c>
      <c r="AM11" s="1484">
        <f t="shared" si="1"/>
        <v>2047</v>
      </c>
      <c r="AN11" s="1484">
        <f t="shared" si="1"/>
        <v>2048</v>
      </c>
      <c r="AO11" s="1484">
        <f t="shared" si="1"/>
        <v>2049</v>
      </c>
      <c r="AP11" s="1484">
        <f t="shared" si="1"/>
        <v>2050</v>
      </c>
      <c r="AQ11" s="1484">
        <f t="shared" ref="AQ11:BG11" si="2">AP11+(AQ10-AP10)</f>
        <v>2051</v>
      </c>
      <c r="AR11" s="1484">
        <f t="shared" si="2"/>
        <v>2052</v>
      </c>
      <c r="AS11" s="1484">
        <f t="shared" si="2"/>
        <v>2053</v>
      </c>
      <c r="AT11" s="1484">
        <f t="shared" si="2"/>
        <v>2054</v>
      </c>
      <c r="AU11" s="1484">
        <f t="shared" si="2"/>
        <v>2055</v>
      </c>
      <c r="AV11" s="1484">
        <f t="shared" si="2"/>
        <v>2056</v>
      </c>
      <c r="AW11" s="1484">
        <f t="shared" si="2"/>
        <v>2057</v>
      </c>
      <c r="AX11" s="1484">
        <f t="shared" si="2"/>
        <v>2058</v>
      </c>
      <c r="AY11" s="1484">
        <f t="shared" si="2"/>
        <v>2059</v>
      </c>
      <c r="AZ11" s="1484">
        <f t="shared" si="2"/>
        <v>2060</v>
      </c>
      <c r="BA11" s="1484">
        <f t="shared" si="2"/>
        <v>2061</v>
      </c>
      <c r="BB11" s="1484">
        <f t="shared" si="2"/>
        <v>2062</v>
      </c>
      <c r="BC11" s="1484">
        <f t="shared" si="2"/>
        <v>2063</v>
      </c>
      <c r="BD11" s="1484">
        <f t="shared" si="2"/>
        <v>2064</v>
      </c>
      <c r="BE11" s="1484">
        <f t="shared" si="2"/>
        <v>2065</v>
      </c>
      <c r="BF11" s="1484">
        <f t="shared" si="2"/>
        <v>2066</v>
      </c>
      <c r="BG11" s="1484">
        <f t="shared" si="2"/>
        <v>2067</v>
      </c>
    </row>
    <row r="12" spans="1:60" ht="13.15" x14ac:dyDescent="0.4">
      <c r="A12" s="1368"/>
      <c r="B12" s="1368"/>
      <c r="C12" s="1368"/>
      <c r="D12" s="1477"/>
      <c r="E12" s="1382"/>
      <c r="F12" s="1382"/>
      <c r="G12" s="1478"/>
      <c r="H12" s="1382"/>
      <c r="I12" s="1478"/>
      <c r="J12" s="1478"/>
      <c r="K12" s="1478"/>
      <c r="L12" s="1478"/>
      <c r="M12" s="1478"/>
      <c r="N12" s="1478"/>
      <c r="O12" s="1478"/>
      <c r="P12" s="1478"/>
      <c r="Q12" s="1478"/>
      <c r="R12" s="1478"/>
      <c r="S12" s="1478"/>
      <c r="T12" s="1478"/>
      <c r="U12" s="1478"/>
      <c r="V12" s="1478"/>
      <c r="W12" s="1478"/>
      <c r="X12" s="1478"/>
      <c r="Y12" s="1478"/>
      <c r="Z12" s="1478"/>
      <c r="AA12" s="1478"/>
      <c r="AB12" s="1478"/>
      <c r="AC12" s="1478"/>
      <c r="AD12" s="1478"/>
      <c r="AE12" s="1478"/>
      <c r="AF12" s="1478"/>
      <c r="AG12" s="1478"/>
      <c r="AH12" s="1478"/>
      <c r="AI12" s="1478"/>
      <c r="AJ12" s="1478"/>
      <c r="AK12" s="1478"/>
      <c r="AL12" s="1478"/>
      <c r="AM12" s="1478"/>
      <c r="AN12" s="1478"/>
      <c r="AO12" s="1478"/>
      <c r="AP12" s="1478"/>
      <c r="AQ12" s="1478"/>
      <c r="AR12" s="1478"/>
      <c r="AS12" s="1478"/>
      <c r="AT12" s="1478"/>
      <c r="AU12" s="1478"/>
      <c r="AV12" s="1478"/>
      <c r="AW12" s="1478"/>
      <c r="AX12" s="1478"/>
      <c r="AY12" s="1478"/>
      <c r="AZ12" s="1478"/>
      <c r="BA12" s="1478"/>
      <c r="BB12" s="1478"/>
      <c r="BC12" s="1478"/>
      <c r="BD12" s="1478"/>
      <c r="BE12" s="1478"/>
      <c r="BF12" s="1478"/>
      <c r="BG12" s="1478"/>
    </row>
    <row r="13" spans="1:60" s="199" customFormat="1" ht="12.75" customHeight="1" x14ac:dyDescent="0.4">
      <c r="A13" s="13" t="s">
        <v>683</v>
      </c>
      <c r="B13" s="13"/>
      <c r="C13" s="13"/>
      <c r="D13" s="13"/>
      <c r="E13" s="13"/>
      <c r="F13" s="13"/>
      <c r="G13" s="13"/>
      <c r="H13" s="13"/>
      <c r="I13" s="13"/>
      <c r="J13" s="13"/>
      <c r="K13" s="13"/>
      <c r="L13" s="14"/>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363"/>
    </row>
    <row r="14" spans="1:60" x14ac:dyDescent="0.35">
      <c r="A14" s="1368"/>
      <c r="B14" s="1368"/>
      <c r="C14" s="1368"/>
      <c r="D14" s="1368"/>
      <c r="E14" s="1368"/>
      <c r="F14" s="1368"/>
      <c r="G14" s="1368"/>
      <c r="H14" s="1368"/>
      <c r="I14" s="1368"/>
      <c r="J14" s="1368"/>
      <c r="K14" s="1368"/>
      <c r="L14" s="1368"/>
      <c r="M14" s="1368"/>
      <c r="N14" s="1368"/>
      <c r="O14" s="1368"/>
      <c r="P14" s="1368"/>
      <c r="Q14" s="1368"/>
      <c r="R14" s="1368"/>
      <c r="S14" s="1368"/>
      <c r="T14" s="1368"/>
      <c r="U14" s="1368"/>
      <c r="V14" s="1368"/>
      <c r="W14" s="1368"/>
      <c r="X14" s="1368"/>
      <c r="Y14" s="1368"/>
      <c r="Z14" s="1368"/>
      <c r="AA14" s="1368"/>
      <c r="AB14" s="1368"/>
      <c r="AC14" s="1368"/>
      <c r="AD14" s="1368"/>
      <c r="AE14" s="1368"/>
      <c r="AF14" s="1368"/>
      <c r="AG14" s="1368"/>
      <c r="AH14" s="1368"/>
      <c r="AI14" s="1368"/>
      <c r="AJ14" s="1368"/>
      <c r="AK14" s="1368"/>
      <c r="AL14" s="1368"/>
      <c r="AM14" s="1368"/>
      <c r="AN14" s="1368"/>
      <c r="AO14" s="1368"/>
      <c r="AP14" s="1368"/>
      <c r="AQ14" s="1368"/>
      <c r="AR14" s="1368"/>
      <c r="AS14" s="1368"/>
      <c r="AT14" s="1368"/>
      <c r="AU14" s="1368"/>
      <c r="AV14" s="1368"/>
      <c r="AW14" s="1368"/>
      <c r="AX14" s="1368"/>
      <c r="AY14" s="1368"/>
      <c r="AZ14" s="1368"/>
      <c r="BA14" s="1368"/>
      <c r="BB14" s="1368"/>
      <c r="BC14" s="1368"/>
      <c r="BD14" s="1368"/>
      <c r="BE14" s="1368"/>
      <c r="BF14" s="1368"/>
      <c r="BG14" s="1368"/>
    </row>
    <row r="15" spans="1:60" x14ac:dyDescent="0.35">
      <c r="A15" s="1368"/>
      <c r="B15" s="1491" t="s">
        <v>542</v>
      </c>
      <c r="C15" s="1368"/>
      <c r="D15" s="1368"/>
      <c r="E15" s="1368"/>
      <c r="F15" s="1485"/>
      <c r="G15" s="1368"/>
      <c r="H15" s="1819"/>
      <c r="I15" s="1368"/>
      <c r="J15" s="1368"/>
      <c r="K15" s="1368"/>
      <c r="L15" s="1368"/>
      <c r="M15" s="1368"/>
      <c r="N15" s="1368"/>
      <c r="O15" s="1368"/>
      <c r="P15" s="1368"/>
      <c r="Q15" s="1368"/>
      <c r="R15" s="1368"/>
      <c r="S15" s="1368"/>
      <c r="T15" s="1368"/>
      <c r="U15" s="1368"/>
      <c r="V15" s="1368"/>
      <c r="W15" s="1368"/>
      <c r="X15" s="1368"/>
      <c r="Y15" s="1368"/>
      <c r="Z15" s="1368"/>
      <c r="AA15" s="1368"/>
      <c r="AB15" s="1368"/>
      <c r="AC15" s="1368"/>
      <c r="AD15" s="1368"/>
      <c r="AE15" s="1368"/>
      <c r="AF15" s="1368"/>
      <c r="AG15" s="1368"/>
      <c r="AH15" s="1368"/>
      <c r="AI15" s="1368"/>
      <c r="AJ15" s="1368"/>
      <c r="AK15" s="1368"/>
      <c r="AL15" s="1368"/>
      <c r="AM15" s="1368"/>
      <c r="AN15" s="1368"/>
      <c r="AO15" s="1368"/>
      <c r="AP15" s="1368"/>
      <c r="AQ15" s="1368"/>
      <c r="AR15" s="1368"/>
      <c r="AS15" s="1368"/>
      <c r="AT15" s="1368"/>
      <c r="AU15" s="1368"/>
      <c r="AV15" s="1368"/>
      <c r="AW15" s="1368"/>
      <c r="AX15" s="1368"/>
      <c r="AY15" s="1368"/>
      <c r="AZ15" s="1368"/>
      <c r="BA15" s="1368"/>
      <c r="BB15" s="1368"/>
      <c r="BC15" s="1368"/>
      <c r="BD15" s="1368"/>
      <c r="BE15" s="1368"/>
      <c r="BF15" s="1368"/>
      <c r="BG15" s="1368"/>
    </row>
    <row r="16" spans="1:60" x14ac:dyDescent="0.35">
      <c r="A16" s="1368"/>
      <c r="B16" s="1491"/>
      <c r="C16" s="1368" t="s">
        <v>685</v>
      </c>
      <c r="D16" s="1368"/>
      <c r="E16" s="1368"/>
      <c r="F16" s="1485"/>
      <c r="G16" s="1368"/>
      <c r="H16" s="1819"/>
      <c r="I16" s="1368"/>
      <c r="J16" s="1368"/>
      <c r="K16" s="1368"/>
      <c r="L16" s="1368"/>
      <c r="M16" s="1368"/>
      <c r="N16" s="1368"/>
      <c r="O16" s="1368"/>
      <c r="P16" s="1368"/>
      <c r="Q16" s="1368"/>
      <c r="R16" s="1368"/>
      <c r="S16" s="1368"/>
      <c r="T16" s="1368"/>
      <c r="U16" s="1368"/>
      <c r="V16" s="1368"/>
      <c r="W16" s="1368"/>
      <c r="X16" s="1368"/>
      <c r="Y16" s="1368"/>
      <c r="Z16" s="1368"/>
      <c r="AA16" s="1368"/>
      <c r="AB16" s="1368"/>
      <c r="AC16" s="1368"/>
      <c r="AD16" s="1368"/>
      <c r="AE16" s="1368"/>
      <c r="AF16" s="1368"/>
      <c r="AG16" s="1368"/>
      <c r="AH16" s="1368"/>
      <c r="AI16" s="1368"/>
      <c r="AJ16" s="1368"/>
      <c r="AK16" s="1368"/>
      <c r="AL16" s="1368"/>
      <c r="AM16" s="1368"/>
      <c r="AN16" s="1368"/>
      <c r="AO16" s="1368"/>
      <c r="AP16" s="1368"/>
      <c r="AQ16" s="1368"/>
      <c r="AR16" s="1368"/>
      <c r="AS16" s="1368"/>
      <c r="AT16" s="1368"/>
      <c r="AU16" s="1368"/>
      <c r="AV16" s="1368"/>
      <c r="AW16" s="1368"/>
      <c r="AX16" s="1368"/>
      <c r="AY16" s="1368"/>
      <c r="AZ16" s="1368"/>
      <c r="BA16" s="1368"/>
      <c r="BB16" s="1368"/>
      <c r="BC16" s="1368"/>
      <c r="BD16" s="1368"/>
      <c r="BE16" s="1368"/>
      <c r="BF16" s="1368"/>
      <c r="BG16" s="1368"/>
    </row>
    <row r="17" spans="1:60" x14ac:dyDescent="0.35">
      <c r="A17" s="1368"/>
      <c r="B17" s="1491"/>
      <c r="C17" s="1368"/>
      <c r="D17" s="1368" t="s">
        <v>170</v>
      </c>
      <c r="E17" s="1368"/>
      <c r="F17" s="1485" t="s">
        <v>727</v>
      </c>
      <c r="G17" s="1368"/>
      <c r="H17" s="1838">
        <f>'I. Summary Outputs'!L68</f>
        <v>1.9396741980726516E-2</v>
      </c>
      <c r="I17" s="1368"/>
      <c r="J17" s="1368"/>
      <c r="K17" s="1368"/>
      <c r="L17" s="1368"/>
      <c r="M17" s="1368"/>
      <c r="N17" s="1368"/>
      <c r="O17" s="1368"/>
      <c r="P17" s="1368"/>
      <c r="Q17" s="1368"/>
      <c r="R17" s="1368"/>
      <c r="S17" s="1368"/>
      <c r="T17" s="1368"/>
      <c r="U17" s="1368"/>
      <c r="V17" s="1368"/>
      <c r="W17" s="1368"/>
      <c r="X17" s="1368"/>
      <c r="Y17" s="1368"/>
      <c r="Z17" s="1368"/>
      <c r="AA17" s="1368"/>
      <c r="AB17" s="1368"/>
      <c r="AC17" s="1368"/>
      <c r="AD17" s="1368"/>
      <c r="AE17" s="1368"/>
      <c r="AF17" s="1368"/>
      <c r="AG17" s="1368"/>
      <c r="AH17" s="1368"/>
      <c r="AI17" s="1368"/>
      <c r="AJ17" s="1368"/>
      <c r="AK17" s="1368"/>
      <c r="AL17" s="1368"/>
      <c r="AM17" s="1368"/>
      <c r="AN17" s="1368"/>
      <c r="AO17" s="1368"/>
      <c r="AP17" s="1368"/>
      <c r="AQ17" s="1368"/>
      <c r="AR17" s="1368"/>
      <c r="AS17" s="1368"/>
      <c r="AT17" s="1368"/>
      <c r="AU17" s="1368"/>
      <c r="AV17" s="1368"/>
      <c r="AW17" s="1368"/>
      <c r="AX17" s="1368"/>
      <c r="AY17" s="1368"/>
      <c r="AZ17" s="1368"/>
      <c r="BA17" s="1368"/>
      <c r="BB17" s="1368"/>
      <c r="BC17" s="1368"/>
      <c r="BD17" s="1368"/>
      <c r="BE17" s="1368"/>
      <c r="BF17" s="1368"/>
      <c r="BG17" s="1368"/>
    </row>
    <row r="18" spans="1:60" x14ac:dyDescent="0.35">
      <c r="A18" s="1368"/>
      <c r="B18" s="1491"/>
      <c r="C18" s="1368"/>
      <c r="D18" s="1368" t="s">
        <v>171</v>
      </c>
      <c r="E18" s="1368"/>
      <c r="F18" s="1485" t="s">
        <v>727</v>
      </c>
      <c r="G18" s="1368"/>
      <c r="H18" s="1838">
        <f>'I. Summary Outputs'!N68</f>
        <v>4.8848620217207817E-3</v>
      </c>
      <c r="I18" s="1368"/>
      <c r="J18" s="1368"/>
      <c r="K18" s="1368"/>
      <c r="L18" s="1368"/>
      <c r="M18" s="1368"/>
      <c r="N18" s="1368"/>
      <c r="O18" s="1368"/>
      <c r="P18" s="1368"/>
      <c r="Q18" s="1368"/>
      <c r="R18" s="1368"/>
      <c r="S18" s="1368"/>
      <c r="T18" s="1368"/>
      <c r="U18" s="1368"/>
      <c r="V18" s="1368"/>
      <c r="W18" s="1368"/>
      <c r="X18" s="1368"/>
      <c r="Y18" s="1368"/>
      <c r="Z18" s="1368"/>
      <c r="AA18" s="1368"/>
      <c r="AB18" s="1368"/>
      <c r="AC18" s="1368"/>
      <c r="AD18" s="1368"/>
      <c r="AE18" s="1368"/>
      <c r="AF18" s="1368"/>
      <c r="AG18" s="1368"/>
      <c r="AH18" s="1368"/>
      <c r="AI18" s="1368"/>
      <c r="AJ18" s="1368"/>
      <c r="AK18" s="1368"/>
      <c r="AL18" s="1368"/>
      <c r="AM18" s="1368"/>
      <c r="AN18" s="1368"/>
      <c r="AO18" s="1368"/>
      <c r="AP18" s="1368"/>
      <c r="AQ18" s="1368"/>
      <c r="AR18" s="1368"/>
      <c r="AS18" s="1368"/>
      <c r="AT18" s="1368"/>
      <c r="AU18" s="1368"/>
      <c r="AV18" s="1368"/>
      <c r="AW18" s="1368"/>
      <c r="AX18" s="1368"/>
      <c r="AY18" s="1368"/>
      <c r="AZ18" s="1368"/>
      <c r="BA18" s="1368"/>
      <c r="BB18" s="1368"/>
      <c r="BC18" s="1368"/>
      <c r="BD18" s="1368"/>
      <c r="BE18" s="1368"/>
      <c r="BF18" s="1368"/>
      <c r="BG18" s="1368"/>
    </row>
    <row r="19" spans="1:60" x14ac:dyDescent="0.35">
      <c r="A19" s="1368"/>
      <c r="B19" s="1491"/>
      <c r="C19" s="1368" t="s">
        <v>684</v>
      </c>
      <c r="D19" s="1368"/>
      <c r="E19" s="1368"/>
      <c r="F19" s="1485"/>
      <c r="G19" s="1368"/>
      <c r="H19" s="1819"/>
      <c r="I19" s="1368"/>
      <c r="J19" s="1368"/>
      <c r="K19" s="1368"/>
      <c r="L19" s="1368"/>
      <c r="M19" s="1368"/>
      <c r="N19" s="1368"/>
      <c r="O19" s="1368"/>
      <c r="P19" s="1368"/>
      <c r="Q19" s="1368"/>
      <c r="R19" s="1368"/>
      <c r="S19" s="1368"/>
      <c r="T19" s="1368"/>
      <c r="U19" s="1368"/>
      <c r="V19" s="1368"/>
      <c r="W19" s="1368"/>
      <c r="X19" s="1368"/>
      <c r="Y19" s="1368"/>
      <c r="Z19" s="1368"/>
      <c r="AA19" s="1368"/>
      <c r="AB19" s="1368"/>
      <c r="AC19" s="1368"/>
      <c r="AD19" s="1368"/>
      <c r="AE19" s="1368"/>
      <c r="AF19" s="1368"/>
      <c r="AG19" s="1368"/>
      <c r="AH19" s="1368"/>
      <c r="AI19" s="1368"/>
      <c r="AJ19" s="1368"/>
      <c r="AK19" s="1368"/>
      <c r="AL19" s="1368"/>
      <c r="AM19" s="1368"/>
      <c r="AN19" s="1368"/>
      <c r="AO19" s="1368"/>
      <c r="AP19" s="1368"/>
      <c r="AQ19" s="1368"/>
      <c r="AR19" s="1368"/>
      <c r="AS19" s="1368"/>
      <c r="AT19" s="1368"/>
      <c r="AU19" s="1368"/>
      <c r="AV19" s="1368"/>
      <c r="AW19" s="1368"/>
      <c r="AX19" s="1368"/>
      <c r="AY19" s="1368"/>
      <c r="AZ19" s="1368"/>
      <c r="BA19" s="1368"/>
      <c r="BB19" s="1368"/>
      <c r="BC19" s="1368"/>
      <c r="BD19" s="1368"/>
      <c r="BE19" s="1368"/>
      <c r="BF19" s="1368"/>
      <c r="BG19" s="1368"/>
    </row>
    <row r="20" spans="1:60" x14ac:dyDescent="0.35">
      <c r="A20" s="1368"/>
      <c r="B20" s="1368"/>
      <c r="C20" s="1368"/>
      <c r="D20" s="1368" t="s">
        <v>170</v>
      </c>
      <c r="E20" s="1368"/>
      <c r="F20" s="1485" t="s">
        <v>728</v>
      </c>
      <c r="G20" s="1368"/>
      <c r="H20" s="1819">
        <f>'I. Summary Outputs'!L68*1000</f>
        <v>19.396741980726517</v>
      </c>
      <c r="I20" s="1368"/>
      <c r="J20" s="1368"/>
      <c r="K20" s="1368"/>
      <c r="L20" s="1368"/>
      <c r="M20" s="1368"/>
      <c r="N20" s="1368"/>
      <c r="O20" s="1368"/>
      <c r="P20" s="1368"/>
      <c r="Q20" s="1368"/>
      <c r="R20" s="1368"/>
      <c r="S20" s="1368"/>
      <c r="T20" s="1368"/>
      <c r="U20" s="1368"/>
      <c r="V20" s="1368"/>
      <c r="W20" s="1368"/>
      <c r="X20" s="1368"/>
      <c r="Y20" s="1368"/>
      <c r="Z20" s="1368"/>
      <c r="AA20" s="1368"/>
      <c r="AB20" s="1368"/>
      <c r="AC20" s="1368"/>
      <c r="AD20" s="1368"/>
      <c r="AE20" s="1368"/>
      <c r="AF20" s="1368"/>
      <c r="AG20" s="1368"/>
      <c r="AH20" s="1368"/>
      <c r="AI20" s="1368"/>
      <c r="AJ20" s="1368"/>
      <c r="AK20" s="1368"/>
      <c r="AL20" s="1368"/>
      <c r="AM20" s="1368"/>
      <c r="AN20" s="1368"/>
      <c r="AO20" s="1368"/>
      <c r="AP20" s="1368"/>
      <c r="AQ20" s="1368"/>
      <c r="AR20" s="1368"/>
      <c r="AS20" s="1368"/>
      <c r="AT20" s="1368"/>
      <c r="AU20" s="1368"/>
      <c r="AV20" s="1368"/>
      <c r="AW20" s="1368"/>
      <c r="AX20" s="1368"/>
      <c r="AY20" s="1368"/>
      <c r="AZ20" s="1368"/>
      <c r="BA20" s="1368"/>
      <c r="BB20" s="1368"/>
      <c r="BC20" s="1368"/>
      <c r="BD20" s="1368"/>
      <c r="BE20" s="1368"/>
      <c r="BF20" s="1368"/>
      <c r="BG20" s="1368"/>
    </row>
    <row r="21" spans="1:60" x14ac:dyDescent="0.35">
      <c r="A21" s="1368"/>
      <c r="B21" s="1368"/>
      <c r="C21" s="1368"/>
      <c r="D21" s="1368" t="s">
        <v>171</v>
      </c>
      <c r="E21" s="1368"/>
      <c r="F21" s="1485" t="s">
        <v>728</v>
      </c>
      <c r="G21" s="1368"/>
      <c r="H21" s="1819">
        <f>'I. Summary Outputs'!N68*1000</f>
        <v>4.8848620217207817</v>
      </c>
      <c r="I21" s="1368"/>
      <c r="J21" s="1368"/>
      <c r="K21" s="1368"/>
      <c r="L21" s="1368"/>
      <c r="M21" s="1368"/>
      <c r="N21" s="1368"/>
      <c r="O21" s="1368"/>
      <c r="P21" s="1368"/>
      <c r="Q21" s="1368"/>
      <c r="R21" s="1368"/>
      <c r="S21" s="1368"/>
      <c r="T21" s="1368"/>
      <c r="U21" s="1368"/>
      <c r="V21" s="1368"/>
      <c r="W21" s="1368"/>
      <c r="X21" s="1368"/>
      <c r="Y21" s="1368"/>
      <c r="Z21" s="1368"/>
      <c r="AA21" s="1368"/>
      <c r="AB21" s="1368"/>
      <c r="AC21" s="1368"/>
      <c r="AD21" s="1368"/>
      <c r="AE21" s="1368"/>
      <c r="AF21" s="1368"/>
      <c r="AG21" s="1368"/>
      <c r="AH21" s="1368"/>
      <c r="AI21" s="1368"/>
      <c r="AJ21" s="1368"/>
      <c r="AK21" s="1368"/>
      <c r="AL21" s="1368"/>
      <c r="AM21" s="1368"/>
      <c r="AN21" s="1368"/>
      <c r="AO21" s="1368"/>
      <c r="AP21" s="1368"/>
      <c r="AQ21" s="1368"/>
      <c r="AR21" s="1368"/>
      <c r="AS21" s="1368"/>
      <c r="AT21" s="1368"/>
      <c r="AU21" s="1368"/>
      <c r="AV21" s="1368"/>
      <c r="AW21" s="1368"/>
      <c r="AX21" s="1368"/>
      <c r="AY21" s="1368"/>
      <c r="AZ21" s="1368"/>
      <c r="BA21" s="1368"/>
      <c r="BB21" s="1368"/>
      <c r="BC21" s="1368"/>
      <c r="BD21" s="1368"/>
      <c r="BE21" s="1368"/>
      <c r="BF21" s="1368"/>
      <c r="BG21" s="1368"/>
    </row>
    <row r="22" spans="1:60" x14ac:dyDescent="0.35">
      <c r="A22" s="1368"/>
      <c r="B22" s="1368"/>
      <c r="C22" s="1368"/>
      <c r="D22" s="1368"/>
      <c r="E22" s="1368"/>
      <c r="F22" s="1368"/>
      <c r="G22" s="1368"/>
      <c r="H22" s="1368"/>
      <c r="I22" s="1368"/>
      <c r="J22" s="1368"/>
      <c r="K22" s="1368"/>
      <c r="L22" s="1368"/>
      <c r="M22" s="1368"/>
      <c r="N22" s="1368"/>
      <c r="O22" s="1368"/>
      <c r="P22" s="1368"/>
      <c r="Q22" s="1368"/>
      <c r="R22" s="1368"/>
      <c r="S22" s="1368"/>
      <c r="T22" s="1368"/>
      <c r="U22" s="1368"/>
      <c r="V22" s="1368"/>
      <c r="W22" s="1368"/>
      <c r="X22" s="1368"/>
      <c r="Y22" s="1368"/>
      <c r="Z22" s="1368"/>
      <c r="AA22" s="1368"/>
      <c r="AB22" s="1368"/>
      <c r="AC22" s="1368"/>
      <c r="AD22" s="1368"/>
      <c r="AE22" s="1368"/>
      <c r="AF22" s="1368"/>
      <c r="AG22" s="1368"/>
      <c r="AH22" s="1368"/>
      <c r="AI22" s="1368"/>
      <c r="AJ22" s="1368"/>
      <c r="AK22" s="1368"/>
      <c r="AL22" s="1368"/>
      <c r="AM22" s="1368"/>
      <c r="AN22" s="1368"/>
      <c r="AO22" s="1368"/>
      <c r="AP22" s="1368"/>
      <c r="AQ22" s="1368"/>
      <c r="AR22" s="1368"/>
      <c r="AS22" s="1368"/>
      <c r="AT22" s="1368"/>
      <c r="AU22" s="1368"/>
      <c r="AV22" s="1368"/>
      <c r="AW22" s="1368"/>
      <c r="AX22" s="1368"/>
      <c r="AY22" s="1368"/>
      <c r="AZ22" s="1368"/>
      <c r="BA22" s="1368"/>
      <c r="BB22" s="1368"/>
      <c r="BC22" s="1368"/>
      <c r="BD22" s="1368"/>
      <c r="BE22" s="1368"/>
      <c r="BF22" s="1368"/>
      <c r="BG22" s="1368"/>
    </row>
    <row r="23" spans="1:60" x14ac:dyDescent="0.35">
      <c r="A23" s="1368"/>
      <c r="B23" s="1368" t="s">
        <v>627</v>
      </c>
      <c r="C23" s="1368"/>
      <c r="D23" s="1368"/>
      <c r="E23" s="1368"/>
      <c r="F23" s="1384"/>
      <c r="G23" s="1368"/>
      <c r="H23" s="1368"/>
      <c r="I23" s="1368"/>
      <c r="J23" s="1492"/>
      <c r="K23" s="1368"/>
      <c r="L23" s="1368"/>
      <c r="M23" s="1368"/>
      <c r="N23" s="1368"/>
      <c r="O23" s="1368"/>
      <c r="P23" s="1368"/>
      <c r="Q23" s="1368"/>
      <c r="R23" s="1368"/>
      <c r="S23" s="1368"/>
      <c r="T23" s="1368"/>
      <c r="U23" s="1368"/>
      <c r="V23" s="1368"/>
      <c r="W23" s="1368"/>
      <c r="X23" s="1368"/>
      <c r="Y23" s="1368"/>
      <c r="Z23" s="1368"/>
      <c r="AA23" s="1368"/>
      <c r="AB23" s="1368"/>
      <c r="AC23" s="1368"/>
      <c r="AD23" s="1368"/>
      <c r="AE23" s="1368"/>
      <c r="AF23" s="1368"/>
      <c r="AG23" s="1368"/>
      <c r="AH23" s="1368"/>
      <c r="AI23" s="1368"/>
      <c r="AJ23" s="1368"/>
      <c r="AK23" s="1368"/>
      <c r="AL23" s="1368"/>
      <c r="AM23" s="1368"/>
      <c r="AN23" s="1368"/>
      <c r="AO23" s="1368"/>
      <c r="AP23" s="1368"/>
      <c r="AQ23" s="1368"/>
      <c r="AR23" s="1368"/>
      <c r="AS23" s="1368"/>
      <c r="AT23" s="1368"/>
      <c r="AU23" s="1368"/>
      <c r="AV23" s="1368"/>
      <c r="AW23" s="1368"/>
      <c r="AX23" s="1368"/>
      <c r="AY23" s="1368"/>
      <c r="AZ23" s="1368"/>
      <c r="BA23" s="1368"/>
      <c r="BB23" s="1368"/>
      <c r="BC23" s="1368"/>
      <c r="BD23" s="1368"/>
      <c r="BE23" s="1368"/>
      <c r="BF23" s="1368"/>
      <c r="BG23" s="1368"/>
    </row>
    <row r="24" spans="1:60" x14ac:dyDescent="0.35">
      <c r="A24" s="1368"/>
      <c r="B24" s="1368"/>
      <c r="C24" s="1368" t="s">
        <v>170</v>
      </c>
      <c r="D24" s="1368"/>
      <c r="E24" s="1368"/>
      <c r="F24" s="1384" t="s">
        <v>725</v>
      </c>
      <c r="G24" s="1368"/>
      <c r="H24" s="1368"/>
      <c r="I24" s="1368"/>
      <c r="J24" s="1703">
        <f>IFERROR(IF(J$10&lt;'III. Inputs, Renewable Energy'!$U$17,J$10/'III. Inputs, Renewable Energy'!$U$17*$H$35*$H20,IF(J$10&gt;'III. Inputs, Renewable Energy'!$U$16,HLOOKUP('III. Inputs, Renewable Energy'!$U$16+'III. Inputs, Renewable Energy'!$U$17-J$10,$J$10:$BG$24,15),$H$35*$H20)),0)</f>
        <v>2117277.3326993156</v>
      </c>
      <c r="K24" s="1703">
        <f>IFERROR(IF(K$10&lt;'III. Inputs, Renewable Energy'!$U$17,K$10/'III. Inputs, Renewable Energy'!$U$17*$H$35*$H20,IF(K$10&gt;'III. Inputs, Renewable Energy'!$U$16,HLOOKUP('III. Inputs, Renewable Energy'!$U$16+'III. Inputs, Renewable Energy'!$U$17-K$10,$J$10:$BG$24,15),$H$35*$H20)),0)</f>
        <v>4234554.6653986312</v>
      </c>
      <c r="L24" s="1703">
        <f>IFERROR(IF(L$10&lt;'III. Inputs, Renewable Energy'!$U$17,L$10/'III. Inputs, Renewable Energy'!$U$17*$H$35*$H20,IF(L$10&gt;'III. Inputs, Renewable Energy'!$U$16,HLOOKUP('III. Inputs, Renewable Energy'!$U$16+'III. Inputs, Renewable Energy'!$U$17-L$10,$J$10:$BG$24,15),$H$35*$H20)),0)</f>
        <v>6351831.9980979487</v>
      </c>
      <c r="M24" s="1703">
        <f>IFERROR(IF(M$10&lt;'III. Inputs, Renewable Energy'!$U$17,M$10/'III. Inputs, Renewable Energy'!$U$17*$H$35*$H20,IF(M$10&gt;'III. Inputs, Renewable Energy'!$U$16,HLOOKUP('III. Inputs, Renewable Energy'!$U$16+'III. Inputs, Renewable Energy'!$U$17-M$10,$J$10:$BG$24,15),$H$35*$H20)),0)</f>
        <v>8469109.3307972625</v>
      </c>
      <c r="N24" s="1703">
        <f>IFERROR(IF(N$10&lt;'III. Inputs, Renewable Energy'!$U$17,N$10/'III. Inputs, Renewable Energy'!$U$17*$H$35*$H20,IF(N$10&gt;'III. Inputs, Renewable Energy'!$U$16,HLOOKUP('III. Inputs, Renewable Energy'!$U$16+'III. Inputs, Renewable Energy'!$U$17-N$10,$J$10:$BG$24,15),$H$35*$H20)),0)</f>
        <v>10586386.66349658</v>
      </c>
      <c r="O24" s="1703">
        <f>IFERROR(IF(O$10&lt;'III. Inputs, Renewable Energy'!$U$17,O$10/'III. Inputs, Renewable Energy'!$U$17*$H$35*$H20,IF(O$10&gt;'III. Inputs, Renewable Energy'!$U$16,HLOOKUP('III. Inputs, Renewable Energy'!$U$16+'III. Inputs, Renewable Energy'!$U$17-O$10,$J$10:$BG$24,15),$H$35*$H20)),0)</f>
        <v>12703663.996195897</v>
      </c>
      <c r="P24" s="1703">
        <f>IFERROR(IF(P$10&lt;'III. Inputs, Renewable Energy'!$U$17,P$10/'III. Inputs, Renewable Energy'!$U$17*$H$35*$H20,IF(P$10&gt;'III. Inputs, Renewable Energy'!$U$16,HLOOKUP('III. Inputs, Renewable Energy'!$U$16+'III. Inputs, Renewable Energy'!$U$17-P$10,$J$10:$BG$24,15),$H$35*$H20)),0)</f>
        <v>14820941.328895209</v>
      </c>
      <c r="Q24" s="1703">
        <f>IFERROR(IF(Q$10&lt;'III. Inputs, Renewable Energy'!$U$17,Q$10/'III. Inputs, Renewable Energy'!$U$17*$H$35*$H20,IF(Q$10&gt;'III. Inputs, Renewable Energy'!$U$16,HLOOKUP('III. Inputs, Renewable Energy'!$U$16+'III. Inputs, Renewable Energy'!$U$17-Q$10,$J$10:$BG$24,15),$H$35*$H20)),0)</f>
        <v>16938218.661594525</v>
      </c>
      <c r="R24" s="1703">
        <f>IFERROR(IF(R$10&lt;'III. Inputs, Renewable Energy'!$U$17,R$10/'III. Inputs, Renewable Energy'!$U$17*$H$35*$H20,IF(R$10&gt;'III. Inputs, Renewable Energy'!$U$16,HLOOKUP('III. Inputs, Renewable Energy'!$U$16+'III. Inputs, Renewable Energy'!$U$17-R$10,$J$10:$BG$24,15),$H$35*$H20)),0)</f>
        <v>19055495.994293842</v>
      </c>
      <c r="S24" s="1703">
        <f>IFERROR(IF(S$10&lt;'III. Inputs, Renewable Energy'!$U$17,S$10/'III. Inputs, Renewable Energy'!$U$17*$H$35*$H20,IF(S$10&gt;'III. Inputs, Renewable Energy'!$U$16,HLOOKUP('III. Inputs, Renewable Energy'!$U$16+'III. Inputs, Renewable Energy'!$U$17-S$10,$J$10:$BG$24,15),$H$35*$H20)),0)</f>
        <v>21172773.32699316</v>
      </c>
      <c r="T24" s="1703">
        <f>IFERROR(IF(T$10&lt;'III. Inputs, Renewable Energy'!$U$17,T$10/'III. Inputs, Renewable Energy'!$U$17*$H$35*$H20,IF(T$10&gt;'III. Inputs, Renewable Energy'!$U$16,HLOOKUP('III. Inputs, Renewable Energy'!$U$16+'III. Inputs, Renewable Energy'!$U$17-T$10,$J$10:$BG$24,15),$H$35*$H20)),0)</f>
        <v>23290050.659692477</v>
      </c>
      <c r="U24" s="1703">
        <f>IFERROR(IF(U$10&lt;'III. Inputs, Renewable Energy'!$U$17,U$10/'III. Inputs, Renewable Energy'!$U$17*$H$35*$H20,IF(U$10&gt;'III. Inputs, Renewable Energy'!$U$16,HLOOKUP('III. Inputs, Renewable Energy'!$U$16+'III. Inputs, Renewable Energy'!$U$17-U$10,$J$10:$BG$24,15),$H$35*$H20)),0)</f>
        <v>25407327.992391795</v>
      </c>
      <c r="V24" s="1703">
        <f>IFERROR(IF(V$10&lt;'III. Inputs, Renewable Energy'!$U$17,V$10/'III. Inputs, Renewable Energy'!$U$17*$H$35*$H20,IF(V$10&gt;'III. Inputs, Renewable Energy'!$U$16,HLOOKUP('III. Inputs, Renewable Energy'!$U$16+'III. Inputs, Renewable Energy'!$U$17-V$10,$J$10:$BG$24,15),$H$35*$H20)),0)</f>
        <v>27524605.325091105</v>
      </c>
      <c r="W24" s="1703">
        <f>IFERROR(IF(W$10&lt;'III. Inputs, Renewable Energy'!$U$17,W$10/'III. Inputs, Renewable Energy'!$U$17*$H$35*$H20,IF(W$10&gt;'III. Inputs, Renewable Energy'!$U$16,HLOOKUP('III. Inputs, Renewable Energy'!$U$16+'III. Inputs, Renewable Energy'!$U$17-W$10,$J$10:$BG$24,15),$H$35*$H20)),0)</f>
        <v>27524605.325091105</v>
      </c>
      <c r="X24" s="1703">
        <f>IFERROR(IF(X$10&lt;'III. Inputs, Renewable Energy'!$U$17,X$10/'III. Inputs, Renewable Energy'!$U$17*$H$35*$H20,IF(X$10&gt;'III. Inputs, Renewable Energy'!$U$16,HLOOKUP('III. Inputs, Renewable Energy'!$U$16+'III. Inputs, Renewable Energy'!$U$17-X$10,$J$10:$BG$24,15),$H$35*$H20)),0)</f>
        <v>27524605.325091105</v>
      </c>
      <c r="Y24" s="1703">
        <f>IFERROR(IF(Y$10&lt;'III. Inputs, Renewable Energy'!$U$17,Y$10/'III. Inputs, Renewable Energy'!$U$17*$H$35*$H20,IF(Y$10&gt;'III. Inputs, Renewable Energy'!$U$16,HLOOKUP('III. Inputs, Renewable Energy'!$U$16+'III. Inputs, Renewable Energy'!$U$17-Y$10,$J$10:$BG$24,15),$H$35*$H20)),0)</f>
        <v>27524605.325091105</v>
      </c>
      <c r="Z24" s="1703">
        <f>IFERROR(IF(Z$10&lt;'III. Inputs, Renewable Energy'!$U$17,Z$10/'III. Inputs, Renewable Energy'!$U$17*$H$35*$H20,IF(Z$10&gt;'III. Inputs, Renewable Energy'!$U$16,HLOOKUP('III. Inputs, Renewable Energy'!$U$16+'III. Inputs, Renewable Energy'!$U$17-Z$10,$J$10:$BG$24,15),$H$35*$H20)),0)</f>
        <v>27524605.325091105</v>
      </c>
      <c r="AA24" s="1703">
        <f>IFERROR(IF(AA$10&lt;'III. Inputs, Renewable Energy'!$U$17,AA$10/'III. Inputs, Renewable Energy'!$U$17*$H$35*$H20,IF(AA$10&gt;'III. Inputs, Renewable Energy'!$U$16,HLOOKUP('III. Inputs, Renewable Energy'!$U$16+'III. Inputs, Renewable Energy'!$U$17-AA$10,$J$10:$BG$24,15),$H$35*$H20)),0)</f>
        <v>27524605.325091105</v>
      </c>
      <c r="AB24" s="1703">
        <f>IFERROR(IF(AB$10&lt;'III. Inputs, Renewable Energy'!$U$17,AB$10/'III. Inputs, Renewable Energy'!$U$17*$H$35*$H20,IF(AB$10&gt;'III. Inputs, Renewable Energy'!$U$16,HLOOKUP('III. Inputs, Renewable Energy'!$U$16+'III. Inputs, Renewable Energy'!$U$17-AB$10,$J$10:$BG$24,15),$H$35*$H20)),0)</f>
        <v>27524605.325091105</v>
      </c>
      <c r="AC24" s="1703">
        <f>IFERROR(IF(AC$10&lt;'III. Inputs, Renewable Energy'!$U$17,AC$10/'III. Inputs, Renewable Energy'!$U$17*$H$35*$H20,IF(AC$10&gt;'III. Inputs, Renewable Energy'!$U$16,HLOOKUP('III. Inputs, Renewable Energy'!$U$16+'III. Inputs, Renewable Energy'!$U$17-AC$10,$J$10:$BG$24,15),$H$35*$H20)),0)</f>
        <v>27524605.325091105</v>
      </c>
      <c r="AD24" s="1703">
        <f>IFERROR(IF(AD$10&lt;'III. Inputs, Renewable Energy'!$U$17,AD$10/'III. Inputs, Renewable Energy'!$U$17*$H$35*$H20,IF(AD$10&gt;'III. Inputs, Renewable Energy'!$U$16,HLOOKUP('III. Inputs, Renewable Energy'!$U$16+'III. Inputs, Renewable Energy'!$U$17-AD$10,$J$10:$BG$24,15),$H$35*$H20)),0)</f>
        <v>25407327.992391795</v>
      </c>
      <c r="AE24" s="1703">
        <f>IFERROR(IF(AE$10&lt;'III. Inputs, Renewable Energy'!$U$17,AE$10/'III. Inputs, Renewable Energy'!$U$17*$H$35*$H20,IF(AE$10&gt;'III. Inputs, Renewable Energy'!$U$16,HLOOKUP('III. Inputs, Renewable Energy'!$U$16+'III. Inputs, Renewable Energy'!$U$17-AE$10,$J$10:$BG$24,15),$H$35*$H20)),0)</f>
        <v>23290050.659692477</v>
      </c>
      <c r="AF24" s="1703">
        <f>IFERROR(IF(AF$10&lt;'III. Inputs, Renewable Energy'!$U$17,AF$10/'III. Inputs, Renewable Energy'!$U$17*$H$35*$H20,IF(AF$10&gt;'III. Inputs, Renewable Energy'!$U$16,HLOOKUP('III. Inputs, Renewable Energy'!$U$16+'III. Inputs, Renewable Energy'!$U$17-AF$10,$J$10:$BG$24,15),$H$35*$H20)),0)</f>
        <v>21172773.32699316</v>
      </c>
      <c r="AG24" s="1703">
        <f>IFERROR(IF(AG$10&lt;'III. Inputs, Renewable Energy'!$U$17,AG$10/'III. Inputs, Renewable Energy'!$U$17*$H$35*$H20,IF(AG$10&gt;'III. Inputs, Renewable Energy'!$U$16,HLOOKUP('III. Inputs, Renewable Energy'!$U$16+'III. Inputs, Renewable Energy'!$U$17-AG$10,$J$10:$BG$24,15),$H$35*$H20)),0)</f>
        <v>19055495.994293842</v>
      </c>
      <c r="AH24" s="1703">
        <f>IFERROR(IF(AH$10&lt;'III. Inputs, Renewable Energy'!$U$17,AH$10/'III. Inputs, Renewable Energy'!$U$17*$H$35*$H20,IF(AH$10&gt;'III. Inputs, Renewable Energy'!$U$16,HLOOKUP('III. Inputs, Renewable Energy'!$U$16+'III. Inputs, Renewable Energy'!$U$17-AH$10,$J$10:$BG$24,15),$H$35*$H20)),0)</f>
        <v>16938218.661594525</v>
      </c>
      <c r="AI24" s="1703">
        <f>IFERROR(IF(AI$10&lt;'III. Inputs, Renewable Energy'!$U$17,AI$10/'III. Inputs, Renewable Energy'!$U$17*$H$35*$H20,IF(AI$10&gt;'III. Inputs, Renewable Energy'!$U$16,HLOOKUP('III. Inputs, Renewable Energy'!$U$16+'III. Inputs, Renewable Energy'!$U$17-AI$10,$J$10:$BG$24,15),$H$35*$H20)),0)</f>
        <v>14820941.328895209</v>
      </c>
      <c r="AJ24" s="1703">
        <f>IFERROR(IF(AJ$10&lt;'III. Inputs, Renewable Energy'!$U$17,AJ$10/'III. Inputs, Renewable Energy'!$U$17*$H$35*$H20,IF(AJ$10&gt;'III. Inputs, Renewable Energy'!$U$16,HLOOKUP('III. Inputs, Renewable Energy'!$U$16+'III. Inputs, Renewable Energy'!$U$17-AJ$10,$J$10:$BG$24,15),$H$35*$H20)),0)</f>
        <v>12703663.996195897</v>
      </c>
      <c r="AK24" s="1703">
        <f>IFERROR(IF(AK$10&lt;'III. Inputs, Renewable Energy'!$U$17,AK$10/'III. Inputs, Renewable Energy'!$U$17*$H$35*$H20,IF(AK$10&gt;'III. Inputs, Renewable Energy'!$U$16,HLOOKUP('III. Inputs, Renewable Energy'!$U$16+'III. Inputs, Renewable Energy'!$U$17-AK$10,$J$10:$BG$24,15),$H$35*$H20)),0)</f>
        <v>10586386.66349658</v>
      </c>
      <c r="AL24" s="1703">
        <f>IFERROR(IF(AL$10&lt;'III. Inputs, Renewable Energy'!$U$17,AL$10/'III. Inputs, Renewable Energy'!$U$17*$H$35*$H20,IF(AL$10&gt;'III. Inputs, Renewable Energy'!$U$16,HLOOKUP('III. Inputs, Renewable Energy'!$U$16+'III. Inputs, Renewable Energy'!$U$17-AL$10,$J$10:$BG$24,15),$H$35*$H20)),0)</f>
        <v>8469109.3307972625</v>
      </c>
      <c r="AM24" s="1703">
        <f>IFERROR(IF(AM$10&lt;'III. Inputs, Renewable Energy'!$U$17,AM$10/'III. Inputs, Renewable Energy'!$U$17*$H$35*$H20,IF(AM$10&gt;'III. Inputs, Renewable Energy'!$U$16,HLOOKUP('III. Inputs, Renewable Energy'!$U$16+'III. Inputs, Renewable Energy'!$U$17-AM$10,$J$10:$BG$24,15),$H$35*$H20)),0)</f>
        <v>6351831.9980979487</v>
      </c>
      <c r="AN24" s="1703">
        <f>IFERROR(IF(AN$10&lt;'III. Inputs, Renewable Energy'!$U$17,AN$10/'III. Inputs, Renewable Energy'!$U$17*$H$35*$H20,IF(AN$10&gt;'III. Inputs, Renewable Energy'!$U$16,HLOOKUP('III. Inputs, Renewable Energy'!$U$16+'III. Inputs, Renewable Energy'!$U$17-AN$10,$J$10:$BG$24,15),$H$35*$H20)),0)</f>
        <v>4234554.6653986312</v>
      </c>
      <c r="AO24" s="1703">
        <f>IFERROR(IF(AO$10&lt;'III. Inputs, Renewable Energy'!$U$17,AO$10/'III. Inputs, Renewable Energy'!$U$17*$H$35*$H20,IF(AO$10&gt;'III. Inputs, Renewable Energy'!$U$16,HLOOKUP('III. Inputs, Renewable Energy'!$U$16+'III. Inputs, Renewable Energy'!$U$17-AO$10,$J$10:$BG$24,15),$H$35*$H20)),0)</f>
        <v>2117277.3326993156</v>
      </c>
      <c r="AP24" s="1703">
        <f>IFERROR(IF(AP$10&lt;'III. Inputs, Renewable Energy'!$U$17,AP$10/'III. Inputs, Renewable Energy'!$U$17*$H$35*$H20,IF(AP$10&gt;'III. Inputs, Renewable Energy'!$U$16,HLOOKUP('III. Inputs, Renewable Energy'!$U$16+'III. Inputs, Renewable Energy'!$U$17-AP$10,$J$10:$BG$24,15),$H$35*$H20)),0)</f>
        <v>0</v>
      </c>
      <c r="AQ24" s="1703">
        <f>IFERROR(IF(AQ$10&lt;'III. Inputs, Renewable Energy'!$U$17,AQ$10/'III. Inputs, Renewable Energy'!$U$17*$H$35*$H20,IF(AQ$10&gt;'III. Inputs, Renewable Energy'!$U$16,HLOOKUP('III. Inputs, Renewable Energy'!$U$16+'III. Inputs, Renewable Energy'!$U$17-AQ$10,$J$10:$BG$24,15),$H$35*$H20)),0)</f>
        <v>0</v>
      </c>
      <c r="AR24" s="1703">
        <f>IFERROR(IF(AR$10&lt;'III. Inputs, Renewable Energy'!$U$17,AR$10/'III. Inputs, Renewable Energy'!$U$17*$H$35*$H20,IF(AR$10&gt;'III. Inputs, Renewable Energy'!$U$16,HLOOKUP('III. Inputs, Renewable Energy'!$U$16+'III. Inputs, Renewable Energy'!$U$17-AR$10,$J$10:$BG$24,15),$H$35*$H20)),0)</f>
        <v>0</v>
      </c>
      <c r="AS24" s="1703">
        <f>IFERROR(IF(AS$10&lt;'III. Inputs, Renewable Energy'!$U$17,AS$10/'III. Inputs, Renewable Energy'!$U$17*$H$35*$H20,IF(AS$10&gt;'III. Inputs, Renewable Energy'!$U$16,HLOOKUP('III. Inputs, Renewable Energy'!$U$16+'III. Inputs, Renewable Energy'!$U$17-AS$10,$J$10:$BG$24,15),$H$35*$H20)),0)</f>
        <v>0</v>
      </c>
      <c r="AT24" s="1703">
        <f>IFERROR(IF(AT$10&lt;'III. Inputs, Renewable Energy'!$U$17,AT$10/'III. Inputs, Renewable Energy'!$U$17*$H$35*$H20,IF(AT$10&gt;'III. Inputs, Renewable Energy'!$U$16,HLOOKUP('III. Inputs, Renewable Energy'!$U$16+'III. Inputs, Renewable Energy'!$U$17-AT$10,$J$10:$BG$24,15),$H$35*$H20)),0)</f>
        <v>0</v>
      </c>
      <c r="AU24" s="1703">
        <f>IFERROR(IF(AU$10&lt;'III. Inputs, Renewable Energy'!$U$17,AU$10/'III. Inputs, Renewable Energy'!$U$17*$H$35*$H20,IF(AU$10&gt;'III. Inputs, Renewable Energy'!$U$16,HLOOKUP('III. Inputs, Renewable Energy'!$U$16+'III. Inputs, Renewable Energy'!$U$17-AU$10,$J$10:$BG$24,15),$H$35*$H20)),0)</f>
        <v>0</v>
      </c>
      <c r="AV24" s="1703">
        <f>IFERROR(IF(AV$10&lt;'III. Inputs, Renewable Energy'!$U$17,AV$10/'III. Inputs, Renewable Energy'!$U$17*$H$35*$H20,IF(AV$10&gt;'III. Inputs, Renewable Energy'!$U$16,HLOOKUP('III. Inputs, Renewable Energy'!$U$16+'III. Inputs, Renewable Energy'!$U$17-AV$10,$J$10:$BG$24,15),$H$35*$H20)),0)</f>
        <v>0</v>
      </c>
      <c r="AW24" s="1703">
        <f>IFERROR(IF(AW$10&lt;'III. Inputs, Renewable Energy'!$U$17,AW$10/'III. Inputs, Renewable Energy'!$U$17*$H$35*$H20,IF(AW$10&gt;'III. Inputs, Renewable Energy'!$U$16,HLOOKUP('III. Inputs, Renewable Energy'!$U$16+'III. Inputs, Renewable Energy'!$U$17-AW$10,$J$10:$BG$24,15),$H$35*$H20)),0)</f>
        <v>0</v>
      </c>
      <c r="AX24" s="1703">
        <f>IFERROR(IF(AX$10&lt;'III. Inputs, Renewable Energy'!$U$17,AX$10/'III. Inputs, Renewable Energy'!$U$17*$H$35*$H20,IF(AX$10&gt;'III. Inputs, Renewable Energy'!$U$16,HLOOKUP('III. Inputs, Renewable Energy'!$U$16+'III. Inputs, Renewable Energy'!$U$17-AX$10,$J$10:$BG$24,15),$H$35*$H20)),0)</f>
        <v>0</v>
      </c>
      <c r="AY24" s="1703">
        <f>IFERROR(IF(AY$10&lt;'III. Inputs, Renewable Energy'!$U$17,AY$10/'III. Inputs, Renewable Energy'!$U$17*$H$35*$H20,IF(AY$10&gt;'III. Inputs, Renewable Energy'!$U$16,HLOOKUP('III. Inputs, Renewable Energy'!$U$16+'III. Inputs, Renewable Energy'!$U$17-AY$10,$J$10:$BG$24,15),$H$35*$H20)),0)</f>
        <v>0</v>
      </c>
      <c r="AZ24" s="1703">
        <f>IFERROR(IF(AZ$10&lt;'III. Inputs, Renewable Energy'!$U$17,AZ$10/'III. Inputs, Renewable Energy'!$U$17*$H$35*$H20,IF(AZ$10&gt;'III. Inputs, Renewable Energy'!$U$16,HLOOKUP('III. Inputs, Renewable Energy'!$U$16+'III. Inputs, Renewable Energy'!$U$17-AZ$10,$J$10:$BG$24,15),$H$35*$H20)),0)</f>
        <v>0</v>
      </c>
      <c r="BA24" s="1703">
        <f>IFERROR(IF(BA$10&lt;'III. Inputs, Renewable Energy'!$U$17,BA$10/'III. Inputs, Renewable Energy'!$U$17*$H$35*$H20,IF(BA$10&gt;'III. Inputs, Renewable Energy'!$U$16,HLOOKUP('III. Inputs, Renewable Energy'!$U$16+'III. Inputs, Renewable Energy'!$U$17-BA$10,$J$10:$BG$24,15),$H$35*$H20)),0)</f>
        <v>0</v>
      </c>
      <c r="BB24" s="1703">
        <f>IFERROR(IF(BB$10&lt;'III. Inputs, Renewable Energy'!$U$17,BB$10/'III. Inputs, Renewable Energy'!$U$17*$H$35*$H20,IF(BB$10&gt;'III. Inputs, Renewable Energy'!$U$16,HLOOKUP('III. Inputs, Renewable Energy'!$U$16+'III. Inputs, Renewable Energy'!$U$17-BB$10,$J$10:$BG$24,15),$H$35*$H20)),0)</f>
        <v>0</v>
      </c>
      <c r="BC24" s="1703">
        <f>IFERROR(IF(BC$10&lt;'III. Inputs, Renewable Energy'!$U$17,BC$10/'III. Inputs, Renewable Energy'!$U$17*$H$35*$H20,IF(BC$10&gt;'III. Inputs, Renewable Energy'!$U$16,HLOOKUP('III. Inputs, Renewable Energy'!$U$16+'III. Inputs, Renewable Energy'!$U$17-BC$10,$J$10:$BG$24,15),$H$35*$H20)),0)</f>
        <v>0</v>
      </c>
      <c r="BD24" s="1703">
        <f>IFERROR(IF(BD$10&lt;'III. Inputs, Renewable Energy'!$U$17,BD$10/'III. Inputs, Renewable Energy'!$U$17*$H$35*$H20,IF(BD$10&gt;'III. Inputs, Renewable Energy'!$U$16,HLOOKUP('III. Inputs, Renewable Energy'!$U$16+'III. Inputs, Renewable Energy'!$U$17-BD$10,$J$10:$BG$24,15),$H$35*$H20)),0)</f>
        <v>0</v>
      </c>
      <c r="BE24" s="1703">
        <f>IFERROR(IF(BE$10&lt;'III. Inputs, Renewable Energy'!$U$17,BE$10/'III. Inputs, Renewable Energy'!$U$17*$H$35*$H20,IF(BE$10&gt;'III. Inputs, Renewable Energy'!$U$16,HLOOKUP('III. Inputs, Renewable Energy'!$U$16+'III. Inputs, Renewable Energy'!$U$17-BE$10,$J$10:$BG$24,15),$H$35*$H20)),0)</f>
        <v>0</v>
      </c>
      <c r="BF24" s="1703">
        <f>IFERROR(IF(BF$10&lt;'III. Inputs, Renewable Energy'!$U$17,BF$10/'III. Inputs, Renewable Energy'!$U$17*$H$35*$H20,IF(BF$10&gt;'III. Inputs, Renewable Energy'!$U$16,HLOOKUP('III. Inputs, Renewable Energy'!$U$16+'III. Inputs, Renewable Energy'!$U$17-BF$10,$J$10:$BG$24,15),$H$35*$H20)),0)</f>
        <v>0</v>
      </c>
      <c r="BG24" s="1703">
        <f>IFERROR(IF(BG$10&lt;'III. Inputs, Renewable Energy'!$U$17,BG$10/'III. Inputs, Renewable Energy'!$U$17*$H$35*$H20,IF(BG$10&gt;'III. Inputs, Renewable Energy'!$U$16,HLOOKUP('III. Inputs, Renewable Energy'!$U$16+'III. Inputs, Renewable Energy'!$U$17-BG$10,$J$10:$BG$24,15),$H$35*$H20)),0)</f>
        <v>0</v>
      </c>
    </row>
    <row r="25" spans="1:60" x14ac:dyDescent="0.35">
      <c r="A25" s="1368"/>
      <c r="B25" s="1368"/>
      <c r="C25" s="1368" t="s">
        <v>171</v>
      </c>
      <c r="D25" s="1368"/>
      <c r="E25" s="1368"/>
      <c r="F25" s="1384" t="s">
        <v>725</v>
      </c>
      <c r="G25" s="1368"/>
      <c r="H25" s="1368"/>
      <c r="I25" s="1368"/>
      <c r="J25" s="1703">
        <f>IFERROR(IF(J$10&lt;'III. Inputs, Renewable Energy'!$U$17,J$10/'III. Inputs, Renewable Energy'!$U$17*$H$35*$H21,IF(J$10&gt;'III. Inputs, Renewable Energy'!$U$16,HLOOKUP('III. Inputs, Renewable Energy'!$U$16+'III. Inputs, Renewable Energy'!$U$17-J$10,$J$10:$BG$25,16),$H$35*$H21)),0)</f>
        <v>533213.65218086878</v>
      </c>
      <c r="K25" s="1703">
        <f>IFERROR(IF(K$10&lt;'III. Inputs, Renewable Energy'!$U$17,K$10/'III. Inputs, Renewable Energy'!$U$17*$H$35*$H21,IF(K$10&gt;'III. Inputs, Renewable Energy'!$U$16,HLOOKUP('III. Inputs, Renewable Energy'!$U$16+'III. Inputs, Renewable Energy'!$U$17-K$10,$J$10:$BG$25,16),$H$35*$H21)),0)</f>
        <v>1066427.3043617376</v>
      </c>
      <c r="L25" s="1703">
        <f>IFERROR(IF(L$10&lt;'III. Inputs, Renewable Energy'!$U$17,L$10/'III. Inputs, Renewable Energy'!$U$17*$H$35*$H21,IF(L$10&gt;'III. Inputs, Renewable Energy'!$U$16,HLOOKUP('III. Inputs, Renewable Energy'!$U$16+'III. Inputs, Renewable Energy'!$U$17-L$10,$J$10:$BG$25,16),$H$35*$H21)),0)</f>
        <v>1599640.9565426065</v>
      </c>
      <c r="M25" s="1703">
        <f>IFERROR(IF(M$10&lt;'III. Inputs, Renewable Energy'!$U$17,M$10/'III. Inputs, Renewable Energy'!$U$17*$H$35*$H21,IF(M$10&gt;'III. Inputs, Renewable Energy'!$U$16,HLOOKUP('III. Inputs, Renewable Energy'!$U$16+'III. Inputs, Renewable Energy'!$U$17-M$10,$J$10:$BG$25,16),$H$35*$H21)),0)</f>
        <v>2132854.6087234751</v>
      </c>
      <c r="N25" s="1703">
        <f>IFERROR(IF(N$10&lt;'III. Inputs, Renewable Energy'!$U$17,N$10/'III. Inputs, Renewable Energy'!$U$17*$H$35*$H21,IF(N$10&gt;'III. Inputs, Renewable Energy'!$U$16,HLOOKUP('III. Inputs, Renewable Energy'!$U$16+'III. Inputs, Renewable Energy'!$U$17-N$10,$J$10:$BG$25,16),$H$35*$H21)),0)</f>
        <v>2666068.2609043438</v>
      </c>
      <c r="O25" s="1703">
        <f>IFERROR(IF(O$10&lt;'III. Inputs, Renewable Energy'!$U$17,O$10/'III. Inputs, Renewable Energy'!$U$17*$H$35*$H21,IF(O$10&gt;'III. Inputs, Renewable Energy'!$U$16,HLOOKUP('III. Inputs, Renewable Energy'!$U$16+'III. Inputs, Renewable Energy'!$U$17-O$10,$J$10:$BG$25,16),$H$35*$H21)),0)</f>
        <v>3199281.9130852129</v>
      </c>
      <c r="P25" s="1703">
        <f>IFERROR(IF(P$10&lt;'III. Inputs, Renewable Energy'!$U$17,P$10/'III. Inputs, Renewable Energy'!$U$17*$H$35*$H21,IF(P$10&gt;'III. Inputs, Renewable Energy'!$U$16,HLOOKUP('III. Inputs, Renewable Energy'!$U$16+'III. Inputs, Renewable Energy'!$U$17-P$10,$J$10:$BG$25,16),$H$35*$H21)),0)</f>
        <v>3732495.5652660807</v>
      </c>
      <c r="Q25" s="1703">
        <f>IFERROR(IF(Q$10&lt;'III. Inputs, Renewable Energy'!$U$17,Q$10/'III. Inputs, Renewable Energy'!$U$17*$H$35*$H21,IF(Q$10&gt;'III. Inputs, Renewable Energy'!$U$16,HLOOKUP('III. Inputs, Renewable Energy'!$U$16+'III. Inputs, Renewable Energy'!$U$17-Q$10,$J$10:$BG$25,16),$H$35*$H21)),0)</f>
        <v>4265709.2174469503</v>
      </c>
      <c r="R25" s="1703">
        <f>IFERROR(IF(R$10&lt;'III. Inputs, Renewable Energy'!$U$17,R$10/'III. Inputs, Renewable Energy'!$U$17*$H$35*$H21,IF(R$10&gt;'III. Inputs, Renewable Energy'!$U$16,HLOOKUP('III. Inputs, Renewable Energy'!$U$16+'III. Inputs, Renewable Energy'!$U$17-R$10,$J$10:$BG$25,16),$H$35*$H21)),0)</f>
        <v>4798922.8696278185</v>
      </c>
      <c r="S25" s="1703">
        <f>IFERROR(IF(S$10&lt;'III. Inputs, Renewable Energy'!$U$17,S$10/'III. Inputs, Renewable Energy'!$U$17*$H$35*$H21,IF(S$10&gt;'III. Inputs, Renewable Energy'!$U$16,HLOOKUP('III. Inputs, Renewable Energy'!$U$16+'III. Inputs, Renewable Energy'!$U$17-S$10,$J$10:$BG$25,16),$H$35*$H21)),0)</f>
        <v>5332136.5218086876</v>
      </c>
      <c r="T25" s="1703">
        <f>IFERROR(IF(T$10&lt;'III. Inputs, Renewable Energy'!$U$17,T$10/'III. Inputs, Renewable Energy'!$U$17*$H$35*$H21,IF(T$10&gt;'III. Inputs, Renewable Energy'!$U$16,HLOOKUP('III. Inputs, Renewable Energy'!$U$16+'III. Inputs, Renewable Energy'!$U$17-T$10,$J$10:$BG$25,16),$H$35*$H21)),0)</f>
        <v>5865350.1739895567</v>
      </c>
      <c r="U25" s="1703">
        <f>IFERROR(IF(U$10&lt;'III. Inputs, Renewable Energy'!$U$17,U$10/'III. Inputs, Renewable Energy'!$U$17*$H$35*$H21,IF(U$10&gt;'III. Inputs, Renewable Energy'!$U$16,HLOOKUP('III. Inputs, Renewable Energy'!$U$16+'III. Inputs, Renewable Energy'!$U$17-U$10,$J$10:$BG$25,16),$H$35*$H21)),0)</f>
        <v>6398563.8261704259</v>
      </c>
      <c r="V25" s="1703">
        <f>IFERROR(IF(V$10&lt;'III. Inputs, Renewable Energy'!$U$17,V$10/'III. Inputs, Renewable Energy'!$U$17*$H$35*$H21,IF(V$10&gt;'III. Inputs, Renewable Energy'!$U$16,HLOOKUP('III. Inputs, Renewable Energy'!$U$16+'III. Inputs, Renewable Energy'!$U$17-V$10,$J$10:$BG$25,16),$H$35*$H21)),0)</f>
        <v>6931777.4783512941</v>
      </c>
      <c r="W25" s="1703">
        <f>IFERROR(IF(W$10&lt;'III. Inputs, Renewable Energy'!$U$17,W$10/'III. Inputs, Renewable Energy'!$U$17*$H$35*$H21,IF(W$10&gt;'III. Inputs, Renewable Energy'!$U$16,HLOOKUP('III. Inputs, Renewable Energy'!$U$16+'III. Inputs, Renewable Energy'!$U$17-W$10,$J$10:$BG$25,16),$H$35*$H21)),0)</f>
        <v>6931777.4783512941</v>
      </c>
      <c r="X25" s="1703">
        <f>IFERROR(IF(X$10&lt;'III. Inputs, Renewable Energy'!$U$17,X$10/'III. Inputs, Renewable Energy'!$U$17*$H$35*$H21,IF(X$10&gt;'III. Inputs, Renewable Energy'!$U$16,HLOOKUP('III. Inputs, Renewable Energy'!$U$16+'III. Inputs, Renewable Energy'!$U$17-X$10,$J$10:$BG$25,16),$H$35*$H21)),0)</f>
        <v>6931777.4783512941</v>
      </c>
      <c r="Y25" s="1703">
        <f>IFERROR(IF(Y$10&lt;'III. Inputs, Renewable Energy'!$U$17,Y$10/'III. Inputs, Renewable Energy'!$U$17*$H$35*$H21,IF(Y$10&gt;'III. Inputs, Renewable Energy'!$U$16,HLOOKUP('III. Inputs, Renewable Energy'!$U$16+'III. Inputs, Renewable Energy'!$U$17-Y$10,$J$10:$BG$25,16),$H$35*$H21)),0)</f>
        <v>6931777.4783512941</v>
      </c>
      <c r="Z25" s="1703">
        <f>IFERROR(IF(Z$10&lt;'III. Inputs, Renewable Energy'!$U$17,Z$10/'III. Inputs, Renewable Energy'!$U$17*$H$35*$H21,IF(Z$10&gt;'III. Inputs, Renewable Energy'!$U$16,HLOOKUP('III. Inputs, Renewable Energy'!$U$16+'III. Inputs, Renewable Energy'!$U$17-Z$10,$J$10:$BG$25,16),$H$35*$H21)),0)</f>
        <v>6931777.4783512941</v>
      </c>
      <c r="AA25" s="1703">
        <f>IFERROR(IF(AA$10&lt;'III. Inputs, Renewable Energy'!$U$17,AA$10/'III. Inputs, Renewable Energy'!$U$17*$H$35*$H21,IF(AA$10&gt;'III. Inputs, Renewable Energy'!$U$16,HLOOKUP('III. Inputs, Renewable Energy'!$U$16+'III. Inputs, Renewable Energy'!$U$17-AA$10,$J$10:$BG$25,16),$H$35*$H21)),0)</f>
        <v>6931777.4783512941</v>
      </c>
      <c r="AB25" s="1703">
        <f>IFERROR(IF(AB$10&lt;'III. Inputs, Renewable Energy'!$U$17,AB$10/'III. Inputs, Renewable Energy'!$U$17*$H$35*$H21,IF(AB$10&gt;'III. Inputs, Renewable Energy'!$U$16,HLOOKUP('III. Inputs, Renewable Energy'!$U$16+'III. Inputs, Renewable Energy'!$U$17-AB$10,$J$10:$BG$25,16),$H$35*$H21)),0)</f>
        <v>6931777.4783512941</v>
      </c>
      <c r="AC25" s="1703">
        <f>IFERROR(IF(AC$10&lt;'III. Inputs, Renewable Energy'!$U$17,AC$10/'III. Inputs, Renewable Energy'!$U$17*$H$35*$H21,IF(AC$10&gt;'III. Inputs, Renewable Energy'!$U$16,HLOOKUP('III. Inputs, Renewable Energy'!$U$16+'III. Inputs, Renewable Energy'!$U$17-AC$10,$J$10:$BG$25,16),$H$35*$H21)),0)</f>
        <v>6931777.4783512941</v>
      </c>
      <c r="AD25" s="1703">
        <f>IFERROR(IF(AD$10&lt;'III. Inputs, Renewable Energy'!$U$17,AD$10/'III. Inputs, Renewable Energy'!$U$17*$H$35*$H21,IF(AD$10&gt;'III. Inputs, Renewable Energy'!$U$16,HLOOKUP('III. Inputs, Renewable Energy'!$U$16+'III. Inputs, Renewable Energy'!$U$17-AD$10,$J$10:$BG$25,16),$H$35*$H21)),0)</f>
        <v>6398563.8261704259</v>
      </c>
      <c r="AE25" s="1703">
        <f>IFERROR(IF(AE$10&lt;'III. Inputs, Renewable Energy'!$U$17,AE$10/'III. Inputs, Renewable Energy'!$U$17*$H$35*$H21,IF(AE$10&gt;'III. Inputs, Renewable Energy'!$U$16,HLOOKUP('III. Inputs, Renewable Energy'!$U$16+'III. Inputs, Renewable Energy'!$U$17-AE$10,$J$10:$BG$25,16),$H$35*$H21)),0)</f>
        <v>5865350.1739895567</v>
      </c>
      <c r="AF25" s="1703">
        <f>IFERROR(IF(AF$10&lt;'III. Inputs, Renewable Energy'!$U$17,AF$10/'III. Inputs, Renewable Energy'!$U$17*$H$35*$H21,IF(AF$10&gt;'III. Inputs, Renewable Energy'!$U$16,HLOOKUP('III. Inputs, Renewable Energy'!$U$16+'III. Inputs, Renewable Energy'!$U$17-AF$10,$J$10:$BG$25,16),$H$35*$H21)),0)</f>
        <v>5332136.5218086876</v>
      </c>
      <c r="AG25" s="1703">
        <f>IFERROR(IF(AG$10&lt;'III. Inputs, Renewable Energy'!$U$17,AG$10/'III. Inputs, Renewable Energy'!$U$17*$H$35*$H21,IF(AG$10&gt;'III. Inputs, Renewable Energy'!$U$16,HLOOKUP('III. Inputs, Renewable Energy'!$U$16+'III. Inputs, Renewable Energy'!$U$17-AG$10,$J$10:$BG$25,16),$H$35*$H21)),0)</f>
        <v>4798922.8696278185</v>
      </c>
      <c r="AH25" s="1703">
        <f>IFERROR(IF(AH$10&lt;'III. Inputs, Renewable Energy'!$U$17,AH$10/'III. Inputs, Renewable Energy'!$U$17*$H$35*$H21,IF(AH$10&gt;'III. Inputs, Renewable Energy'!$U$16,HLOOKUP('III. Inputs, Renewable Energy'!$U$16+'III. Inputs, Renewable Energy'!$U$17-AH$10,$J$10:$BG$25,16),$H$35*$H21)),0)</f>
        <v>4265709.2174469503</v>
      </c>
      <c r="AI25" s="1703">
        <f>IFERROR(IF(AI$10&lt;'III. Inputs, Renewable Energy'!$U$17,AI$10/'III. Inputs, Renewable Energy'!$U$17*$H$35*$H21,IF(AI$10&gt;'III. Inputs, Renewable Energy'!$U$16,HLOOKUP('III. Inputs, Renewable Energy'!$U$16+'III. Inputs, Renewable Energy'!$U$17-AI$10,$J$10:$BG$25,16),$H$35*$H21)),0)</f>
        <v>3732495.5652660807</v>
      </c>
      <c r="AJ25" s="1703">
        <f>IFERROR(IF(AJ$10&lt;'III. Inputs, Renewable Energy'!$U$17,AJ$10/'III. Inputs, Renewable Energy'!$U$17*$H$35*$H21,IF(AJ$10&gt;'III. Inputs, Renewable Energy'!$U$16,HLOOKUP('III. Inputs, Renewable Energy'!$U$16+'III. Inputs, Renewable Energy'!$U$17-AJ$10,$J$10:$BG$25,16),$H$35*$H21)),0)</f>
        <v>3199281.9130852129</v>
      </c>
      <c r="AK25" s="1703">
        <f>IFERROR(IF(AK$10&lt;'III. Inputs, Renewable Energy'!$U$17,AK$10/'III. Inputs, Renewable Energy'!$U$17*$H$35*$H21,IF(AK$10&gt;'III. Inputs, Renewable Energy'!$U$16,HLOOKUP('III. Inputs, Renewable Energy'!$U$16+'III. Inputs, Renewable Energy'!$U$17-AK$10,$J$10:$BG$25,16),$H$35*$H21)),0)</f>
        <v>2666068.2609043438</v>
      </c>
      <c r="AL25" s="1703">
        <f>IFERROR(IF(AL$10&lt;'III. Inputs, Renewable Energy'!$U$17,AL$10/'III. Inputs, Renewable Energy'!$U$17*$H$35*$H21,IF(AL$10&gt;'III. Inputs, Renewable Energy'!$U$16,HLOOKUP('III. Inputs, Renewable Energy'!$U$16+'III. Inputs, Renewable Energy'!$U$17-AL$10,$J$10:$BG$25,16),$H$35*$H21)),0)</f>
        <v>2132854.6087234751</v>
      </c>
      <c r="AM25" s="1703">
        <f>IFERROR(IF(AM$10&lt;'III. Inputs, Renewable Energy'!$U$17,AM$10/'III. Inputs, Renewable Energy'!$U$17*$H$35*$H21,IF(AM$10&gt;'III. Inputs, Renewable Energy'!$U$16,HLOOKUP('III. Inputs, Renewable Energy'!$U$16+'III. Inputs, Renewable Energy'!$U$17-AM$10,$J$10:$BG$25,16),$H$35*$H21)),0)</f>
        <v>1599640.9565426065</v>
      </c>
      <c r="AN25" s="1703">
        <f>IFERROR(IF(AN$10&lt;'III. Inputs, Renewable Energy'!$U$17,AN$10/'III. Inputs, Renewable Energy'!$U$17*$H$35*$H21,IF(AN$10&gt;'III. Inputs, Renewable Energy'!$U$16,HLOOKUP('III. Inputs, Renewable Energy'!$U$16+'III. Inputs, Renewable Energy'!$U$17-AN$10,$J$10:$BG$25,16),$H$35*$H21)),0)</f>
        <v>1066427.3043617376</v>
      </c>
      <c r="AO25" s="1703">
        <f>IFERROR(IF(AO$10&lt;'III. Inputs, Renewable Energy'!$U$17,AO$10/'III. Inputs, Renewable Energy'!$U$17*$H$35*$H21,IF(AO$10&gt;'III. Inputs, Renewable Energy'!$U$16,HLOOKUP('III. Inputs, Renewable Energy'!$U$16+'III. Inputs, Renewable Energy'!$U$17-AO$10,$J$10:$BG$25,16),$H$35*$H21)),0)</f>
        <v>533213.65218086878</v>
      </c>
      <c r="AP25" s="1703">
        <f>IFERROR(IF(AP$10&lt;'III. Inputs, Renewable Energy'!$U$17,AP$10/'III. Inputs, Renewable Energy'!$U$17*$H$35*$H21,IF(AP$10&gt;'III. Inputs, Renewable Energy'!$U$16,HLOOKUP('III. Inputs, Renewable Energy'!$U$16+'III. Inputs, Renewable Energy'!$U$17-AP$10,$J$10:$BG$25,16),$H$35*$H21)),0)</f>
        <v>0</v>
      </c>
      <c r="AQ25" s="1703">
        <f>IFERROR(IF(AQ$10&lt;'III. Inputs, Renewable Energy'!$U$17,AQ$10/'III. Inputs, Renewable Energy'!$U$17*$H$35*$H21,IF(AQ$10&gt;'III. Inputs, Renewable Energy'!$U$16,HLOOKUP('III. Inputs, Renewable Energy'!$U$16+'III. Inputs, Renewable Energy'!$U$17-AQ$10,$J$10:$BG$25,16),$H$35*$H21)),0)</f>
        <v>0</v>
      </c>
      <c r="AR25" s="1703">
        <f>IFERROR(IF(AR$10&lt;'III. Inputs, Renewable Energy'!$U$17,AR$10/'III. Inputs, Renewable Energy'!$U$17*$H$35*$H21,IF(AR$10&gt;'III. Inputs, Renewable Energy'!$U$16,HLOOKUP('III. Inputs, Renewable Energy'!$U$16+'III. Inputs, Renewable Energy'!$U$17-AR$10,$J$10:$BG$25,16),$H$35*$H21)),0)</f>
        <v>0</v>
      </c>
      <c r="AS25" s="1703">
        <f>IFERROR(IF(AS$10&lt;'III. Inputs, Renewable Energy'!$U$17,AS$10/'III. Inputs, Renewable Energy'!$U$17*$H$35*$H21,IF(AS$10&gt;'III. Inputs, Renewable Energy'!$U$16,HLOOKUP('III. Inputs, Renewable Energy'!$U$16+'III. Inputs, Renewable Energy'!$U$17-AS$10,$J$10:$BG$25,16),$H$35*$H21)),0)</f>
        <v>0</v>
      </c>
      <c r="AT25" s="1703">
        <f>IFERROR(IF(AT$10&lt;'III. Inputs, Renewable Energy'!$U$17,AT$10/'III. Inputs, Renewable Energy'!$U$17*$H$35*$H21,IF(AT$10&gt;'III. Inputs, Renewable Energy'!$U$16,HLOOKUP('III. Inputs, Renewable Energy'!$U$16+'III. Inputs, Renewable Energy'!$U$17-AT$10,$J$10:$BG$25,16),$H$35*$H21)),0)</f>
        <v>0</v>
      </c>
      <c r="AU25" s="1703">
        <f>IFERROR(IF(AU$10&lt;'III. Inputs, Renewable Energy'!$U$17,AU$10/'III. Inputs, Renewable Energy'!$U$17*$H$35*$H21,IF(AU$10&gt;'III. Inputs, Renewable Energy'!$U$16,HLOOKUP('III. Inputs, Renewable Energy'!$U$16+'III. Inputs, Renewable Energy'!$U$17-AU$10,$J$10:$BG$25,16),$H$35*$H21)),0)</f>
        <v>0</v>
      </c>
      <c r="AV25" s="1703">
        <f>IFERROR(IF(AV$10&lt;'III. Inputs, Renewable Energy'!$U$17,AV$10/'III. Inputs, Renewable Energy'!$U$17*$H$35*$H21,IF(AV$10&gt;'III. Inputs, Renewable Energy'!$U$16,HLOOKUP('III. Inputs, Renewable Energy'!$U$16+'III. Inputs, Renewable Energy'!$U$17-AV$10,$J$10:$BG$25,16),$H$35*$H21)),0)</f>
        <v>0</v>
      </c>
      <c r="AW25" s="1703">
        <f>IFERROR(IF(AW$10&lt;'III. Inputs, Renewable Energy'!$U$17,AW$10/'III. Inputs, Renewable Energy'!$U$17*$H$35*$H21,IF(AW$10&gt;'III. Inputs, Renewable Energy'!$U$16,HLOOKUP('III. Inputs, Renewable Energy'!$U$16+'III. Inputs, Renewable Energy'!$U$17-AW$10,$J$10:$BG$25,16),$H$35*$H21)),0)</f>
        <v>0</v>
      </c>
      <c r="AX25" s="1703">
        <f>IFERROR(IF(AX$10&lt;'III. Inputs, Renewable Energy'!$U$17,AX$10/'III. Inputs, Renewable Energy'!$U$17*$H$35*$H21,IF(AX$10&gt;'III. Inputs, Renewable Energy'!$U$16,HLOOKUP('III. Inputs, Renewable Energy'!$U$16+'III. Inputs, Renewable Energy'!$U$17-AX$10,$J$10:$BG$25,16),$H$35*$H21)),0)</f>
        <v>0</v>
      </c>
      <c r="AY25" s="1703">
        <f>IFERROR(IF(AY$10&lt;'III. Inputs, Renewable Energy'!$U$17,AY$10/'III. Inputs, Renewable Energy'!$U$17*$H$35*$H21,IF(AY$10&gt;'III. Inputs, Renewable Energy'!$U$16,HLOOKUP('III. Inputs, Renewable Energy'!$U$16+'III. Inputs, Renewable Energy'!$U$17-AY$10,$J$10:$BG$25,16),$H$35*$H21)),0)</f>
        <v>0</v>
      </c>
      <c r="AZ25" s="1703">
        <f>IFERROR(IF(AZ$10&lt;'III. Inputs, Renewable Energy'!$U$17,AZ$10/'III. Inputs, Renewable Energy'!$U$17*$H$35*$H21,IF(AZ$10&gt;'III. Inputs, Renewable Energy'!$U$16,HLOOKUP('III. Inputs, Renewable Energy'!$U$16+'III. Inputs, Renewable Energy'!$U$17-AZ$10,$J$10:$BG$25,16),$H$35*$H21)),0)</f>
        <v>0</v>
      </c>
      <c r="BA25" s="1703">
        <f>IFERROR(IF(BA$10&lt;'III. Inputs, Renewable Energy'!$U$17,BA$10/'III. Inputs, Renewable Energy'!$U$17*$H$35*$H21,IF(BA$10&gt;'III. Inputs, Renewable Energy'!$U$16,HLOOKUP('III. Inputs, Renewable Energy'!$U$16+'III. Inputs, Renewable Energy'!$U$17-BA$10,$J$10:$BG$25,16),$H$35*$H21)),0)</f>
        <v>0</v>
      </c>
      <c r="BB25" s="1703">
        <f>IFERROR(IF(BB$10&lt;'III. Inputs, Renewable Energy'!$U$17,BB$10/'III. Inputs, Renewable Energy'!$U$17*$H$35*$H21,IF(BB$10&gt;'III. Inputs, Renewable Energy'!$U$16,HLOOKUP('III. Inputs, Renewable Energy'!$U$16+'III. Inputs, Renewable Energy'!$U$17-BB$10,$J$10:$BG$25,16),$H$35*$H21)),0)</f>
        <v>0</v>
      </c>
      <c r="BC25" s="1703">
        <f>IFERROR(IF(BC$10&lt;'III. Inputs, Renewable Energy'!$U$17,BC$10/'III. Inputs, Renewable Energy'!$U$17*$H$35*$H21,IF(BC$10&gt;'III. Inputs, Renewable Energy'!$U$16,HLOOKUP('III. Inputs, Renewable Energy'!$U$16+'III. Inputs, Renewable Energy'!$U$17-BC$10,$J$10:$BG$25,16),$H$35*$H21)),0)</f>
        <v>0</v>
      </c>
      <c r="BD25" s="1703">
        <f>IFERROR(IF(BD$10&lt;'III. Inputs, Renewable Energy'!$U$17,BD$10/'III. Inputs, Renewable Energy'!$U$17*$H$35*$H21,IF(BD$10&gt;'III. Inputs, Renewable Energy'!$U$16,HLOOKUP('III. Inputs, Renewable Energy'!$U$16+'III. Inputs, Renewable Energy'!$U$17-BD$10,$J$10:$BG$25,16),$H$35*$H21)),0)</f>
        <v>0</v>
      </c>
      <c r="BE25" s="1703">
        <f>IFERROR(IF(BE$10&lt;'III. Inputs, Renewable Energy'!$U$17,BE$10/'III. Inputs, Renewable Energy'!$U$17*$H$35*$H21,IF(BE$10&gt;'III. Inputs, Renewable Energy'!$U$16,HLOOKUP('III. Inputs, Renewable Energy'!$U$16+'III. Inputs, Renewable Energy'!$U$17-BE$10,$J$10:$BG$25,16),$H$35*$H21)),0)</f>
        <v>0</v>
      </c>
      <c r="BF25" s="1703">
        <f>IFERROR(IF(BF$10&lt;'III. Inputs, Renewable Energy'!$U$17,BF$10/'III. Inputs, Renewable Energy'!$U$17*$H$35*$H21,IF(BF$10&gt;'III. Inputs, Renewable Energy'!$U$16,HLOOKUP('III. Inputs, Renewable Energy'!$U$16+'III. Inputs, Renewable Energy'!$U$17-BF$10,$J$10:$BG$25,16),$H$35*$H21)),0)</f>
        <v>0</v>
      </c>
      <c r="BG25" s="1703">
        <f>IFERROR(IF(BG$10&lt;'III. Inputs, Renewable Energy'!$U$17,BG$10/'III. Inputs, Renewable Energy'!$U$17*$H$35*$H21,IF(BG$10&gt;'III. Inputs, Renewable Energy'!$U$16,HLOOKUP('III. Inputs, Renewable Energy'!$U$16+'III. Inputs, Renewable Energy'!$U$17-BG$10,$J$10:$BG$25,16),$H$35*$H21)),0)</f>
        <v>0</v>
      </c>
    </row>
    <row r="26" spans="1:60" x14ac:dyDescent="0.35">
      <c r="A26" s="1368"/>
      <c r="B26" s="1368"/>
      <c r="C26" s="1368"/>
      <c r="D26" s="1368"/>
      <c r="E26" s="1368"/>
      <c r="F26" s="1368"/>
      <c r="G26" s="1368"/>
      <c r="H26" s="1368"/>
      <c r="I26" s="1368"/>
      <c r="J26" s="1368"/>
      <c r="K26" s="1368"/>
      <c r="L26" s="1368"/>
      <c r="M26" s="1368"/>
      <c r="N26" s="1368"/>
      <c r="O26" s="1368"/>
      <c r="P26" s="1368"/>
      <c r="Q26" s="1368"/>
      <c r="R26" s="1368"/>
      <c r="S26" s="1368"/>
      <c r="T26" s="1368"/>
      <c r="U26" s="1368"/>
      <c r="V26" s="1368"/>
      <c r="W26" s="1368"/>
      <c r="X26" s="1368"/>
      <c r="Y26" s="1368"/>
      <c r="Z26" s="1368"/>
      <c r="AA26" s="1368"/>
      <c r="AB26" s="1368"/>
      <c r="AC26" s="1368"/>
      <c r="AD26" s="1368"/>
      <c r="AE26" s="1368"/>
      <c r="AF26" s="1368"/>
      <c r="AG26" s="1368"/>
      <c r="AH26" s="1368"/>
      <c r="AI26" s="1368"/>
      <c r="AJ26" s="1368"/>
      <c r="AK26" s="1368"/>
      <c r="AL26" s="1368"/>
      <c r="AM26" s="1368"/>
      <c r="AN26" s="1368"/>
      <c r="AO26" s="1368"/>
      <c r="AP26" s="1368"/>
      <c r="AQ26" s="1368"/>
      <c r="AR26" s="1368"/>
      <c r="AS26" s="1368"/>
      <c r="AT26" s="1368"/>
      <c r="AU26" s="1368"/>
      <c r="AV26" s="1368"/>
      <c r="AW26" s="1368"/>
      <c r="AX26" s="1368"/>
      <c r="AY26" s="1368"/>
      <c r="AZ26" s="1368"/>
      <c r="BA26" s="1368"/>
      <c r="BB26" s="1368"/>
      <c r="BC26" s="1368"/>
      <c r="BD26" s="1368"/>
      <c r="BE26" s="1368"/>
      <c r="BF26" s="1368"/>
      <c r="BG26" s="1368"/>
    </row>
    <row r="27" spans="1:60" x14ac:dyDescent="0.35">
      <c r="A27" s="1368"/>
      <c r="B27" s="1370" t="s">
        <v>543</v>
      </c>
      <c r="C27" s="1368"/>
      <c r="D27" s="1368"/>
      <c r="E27" s="1368"/>
      <c r="F27" s="1368"/>
      <c r="G27" s="1368"/>
      <c r="H27" s="1368"/>
      <c r="I27" s="1368"/>
      <c r="J27" s="1368"/>
      <c r="K27" s="1368"/>
      <c r="L27" s="1368"/>
      <c r="M27" s="1368"/>
      <c r="N27" s="1368"/>
      <c r="O27" s="1368"/>
      <c r="P27" s="1368"/>
      <c r="Q27" s="1368"/>
      <c r="R27" s="1368"/>
      <c r="S27" s="1368"/>
      <c r="T27" s="1368"/>
      <c r="U27" s="1368"/>
      <c r="V27" s="1368"/>
      <c r="W27" s="1368"/>
      <c r="X27" s="1368"/>
      <c r="Y27" s="1368"/>
      <c r="Z27" s="1368"/>
      <c r="AA27" s="1368"/>
      <c r="AB27" s="1368"/>
      <c r="AC27" s="1368"/>
      <c r="AD27" s="1368"/>
      <c r="AE27" s="1368"/>
      <c r="AF27" s="1368"/>
      <c r="AG27" s="1368"/>
      <c r="AH27" s="1368"/>
      <c r="AI27" s="1368"/>
      <c r="AJ27" s="1368"/>
      <c r="AK27" s="1368"/>
      <c r="AL27" s="1368"/>
      <c r="AM27" s="1368"/>
      <c r="AN27" s="1368"/>
      <c r="AO27" s="1368"/>
      <c r="AP27" s="1368"/>
      <c r="AQ27" s="1368"/>
      <c r="AR27" s="1368"/>
      <c r="AS27" s="1368"/>
      <c r="AT27" s="1368"/>
      <c r="AU27" s="1368"/>
      <c r="AV27" s="1368"/>
      <c r="AW27" s="1368"/>
      <c r="AX27" s="1368"/>
      <c r="AY27" s="1368"/>
      <c r="AZ27" s="1368"/>
      <c r="BA27" s="1368"/>
      <c r="BB27" s="1368"/>
      <c r="BC27" s="1368"/>
      <c r="BD27" s="1368"/>
      <c r="BE27" s="1368"/>
      <c r="BF27" s="1368"/>
      <c r="BG27" s="1368"/>
    </row>
    <row r="28" spans="1:60" ht="13.15" x14ac:dyDescent="0.4">
      <c r="A28" s="1368"/>
      <c r="B28" s="1479" t="s">
        <v>628</v>
      </c>
      <c r="C28" s="1480"/>
      <c r="D28" s="1493"/>
      <c r="E28" s="1493"/>
      <c r="F28" s="1481" t="s">
        <v>725</v>
      </c>
      <c r="G28" s="1480"/>
      <c r="H28" s="1480"/>
      <c r="I28" s="1704">
        <f>NPV('III. Inputs, Renewable Energy'!$U$19,J24:BG24)</f>
        <v>200588622.92974377</v>
      </c>
      <c r="J28" s="1368"/>
      <c r="K28" s="1368"/>
      <c r="L28" s="1368"/>
      <c r="M28" s="1368"/>
      <c r="N28" s="1368"/>
      <c r="O28" s="1368"/>
      <c r="P28" s="1368"/>
      <c r="Q28" s="1368"/>
      <c r="R28" s="1368"/>
      <c r="S28" s="1368"/>
      <c r="T28" s="1368"/>
      <c r="U28" s="1368"/>
      <c r="V28" s="1368"/>
      <c r="W28" s="1368"/>
      <c r="X28" s="1368"/>
      <c r="Y28" s="1368"/>
      <c r="Z28" s="1368"/>
      <c r="AA28" s="1368"/>
      <c r="AB28" s="1368"/>
      <c r="AC28" s="1368"/>
      <c r="AD28" s="1368"/>
      <c r="AE28" s="1368"/>
      <c r="AF28" s="1368"/>
      <c r="AG28" s="1368"/>
      <c r="AH28" s="1368"/>
      <c r="AI28" s="1368"/>
      <c r="AJ28" s="1368"/>
      <c r="AK28" s="1368"/>
      <c r="AL28" s="1368"/>
      <c r="AM28" s="1368"/>
      <c r="AN28" s="1368"/>
      <c r="AO28" s="1368"/>
      <c r="AP28" s="1368"/>
      <c r="AQ28" s="1368"/>
      <c r="AR28" s="1368"/>
      <c r="AS28" s="1368"/>
      <c r="AT28" s="1368"/>
      <c r="AU28" s="1368"/>
      <c r="AV28" s="1368"/>
      <c r="AW28" s="1368"/>
      <c r="AX28" s="1368"/>
      <c r="AY28" s="1368"/>
      <c r="AZ28" s="1368"/>
      <c r="BA28" s="1368"/>
      <c r="BB28" s="1368"/>
      <c r="BC28" s="1368"/>
      <c r="BD28" s="1368"/>
      <c r="BE28" s="1368"/>
      <c r="BF28" s="1368"/>
      <c r="BG28" s="1368"/>
    </row>
    <row r="29" spans="1:60" ht="13.15" x14ac:dyDescent="0.4">
      <c r="A29" s="1368"/>
      <c r="B29" s="1482" t="s">
        <v>629</v>
      </c>
      <c r="C29" s="1483"/>
      <c r="D29" s="1494"/>
      <c r="E29" s="1494"/>
      <c r="F29" s="1484" t="s">
        <v>725</v>
      </c>
      <c r="G29" s="1483"/>
      <c r="H29" s="1483"/>
      <c r="I29" s="1705">
        <f>NPV('III. Inputs, Renewable Energy'!$U$19,J25:BG25)</f>
        <v>50516099.410529718</v>
      </c>
      <c r="J29" s="1368"/>
      <c r="K29" s="1368"/>
      <c r="L29" s="1368"/>
      <c r="M29" s="1368"/>
      <c r="N29" s="1368"/>
      <c r="O29" s="1368"/>
      <c r="P29" s="1368"/>
      <c r="Q29" s="1368"/>
      <c r="R29" s="1368"/>
      <c r="S29" s="1368"/>
      <c r="T29" s="1368"/>
      <c r="U29" s="1368"/>
      <c r="V29" s="1368"/>
      <c r="W29" s="1368"/>
      <c r="X29" s="1368"/>
      <c r="Y29" s="1368"/>
      <c r="Z29" s="1368"/>
      <c r="AA29" s="1368"/>
      <c r="AB29" s="1368"/>
      <c r="AC29" s="1368"/>
      <c r="AD29" s="1368"/>
      <c r="AE29" s="1368"/>
      <c r="AF29" s="1368"/>
      <c r="AG29" s="1368"/>
      <c r="AH29" s="1368"/>
      <c r="AI29" s="1368"/>
      <c r="AJ29" s="1368"/>
      <c r="AK29" s="1368"/>
      <c r="AL29" s="1368"/>
      <c r="AM29" s="1368"/>
      <c r="AN29" s="1368"/>
      <c r="AO29" s="1368"/>
      <c r="AP29" s="1368"/>
      <c r="AQ29" s="1368"/>
      <c r="AR29" s="1368"/>
      <c r="AS29" s="1368"/>
      <c r="AT29" s="1368"/>
      <c r="AU29" s="1368"/>
      <c r="AV29" s="1368"/>
      <c r="AW29" s="1368"/>
      <c r="AX29" s="1368"/>
      <c r="AY29" s="1368"/>
      <c r="AZ29" s="1368"/>
      <c r="BA29" s="1368"/>
      <c r="BB29" s="1368"/>
      <c r="BC29" s="1368"/>
      <c r="BD29" s="1368"/>
      <c r="BE29" s="1368"/>
      <c r="BF29" s="1368"/>
      <c r="BG29" s="1368"/>
    </row>
    <row r="30" spans="1:60" ht="13.15" x14ac:dyDescent="0.4">
      <c r="A30" s="1368"/>
      <c r="B30" s="1368"/>
      <c r="C30" s="1368"/>
      <c r="D30" s="1477"/>
      <c r="E30" s="1382"/>
      <c r="F30" s="1382"/>
      <c r="G30" s="1478"/>
      <c r="H30" s="1382"/>
      <c r="I30" s="1478"/>
      <c r="J30" s="1478"/>
      <c r="K30" s="1478"/>
      <c r="L30" s="1478"/>
      <c r="M30" s="1478"/>
      <c r="N30" s="1478"/>
      <c r="O30" s="1478"/>
      <c r="P30" s="1478"/>
      <c r="Q30" s="1478"/>
      <c r="R30" s="1478"/>
      <c r="S30" s="1478"/>
      <c r="T30" s="1478"/>
      <c r="U30" s="1478"/>
      <c r="V30" s="1478"/>
      <c r="W30" s="1478"/>
      <c r="X30" s="1478"/>
      <c r="Y30" s="1478"/>
      <c r="Z30" s="1478"/>
      <c r="AA30" s="1478"/>
      <c r="AB30" s="1478"/>
      <c r="AC30" s="1478"/>
      <c r="AD30" s="1478"/>
      <c r="AE30" s="1478"/>
      <c r="AF30" s="1478"/>
      <c r="AG30" s="1478"/>
      <c r="AH30" s="1478"/>
      <c r="AI30" s="1478"/>
      <c r="AJ30" s="1478"/>
      <c r="AK30" s="1478"/>
      <c r="AL30" s="1478"/>
      <c r="AM30" s="1478"/>
      <c r="AN30" s="1478"/>
      <c r="AO30" s="1478"/>
      <c r="AP30" s="1478"/>
      <c r="AQ30" s="1478"/>
      <c r="AR30" s="1478"/>
      <c r="AS30" s="1478"/>
      <c r="AT30" s="1478"/>
      <c r="AU30" s="1478"/>
      <c r="AV30" s="1478"/>
      <c r="AW30" s="1478"/>
      <c r="AX30" s="1478"/>
      <c r="AY30" s="1478"/>
      <c r="AZ30" s="1478"/>
      <c r="BA30" s="1478"/>
      <c r="BB30" s="1478"/>
      <c r="BC30" s="1478"/>
      <c r="BD30" s="1478"/>
      <c r="BE30" s="1478"/>
      <c r="BF30" s="1478"/>
      <c r="BG30" s="1478"/>
    </row>
    <row r="31" spans="1:60" ht="13.15" x14ac:dyDescent="0.4">
      <c r="A31" s="1368"/>
      <c r="B31" s="1368"/>
      <c r="C31" s="1368"/>
      <c r="D31" s="1477"/>
      <c r="E31" s="1382"/>
      <c r="F31" s="1382"/>
      <c r="G31" s="1478"/>
      <c r="H31" s="1382"/>
      <c r="I31" s="1478"/>
      <c r="J31" s="1478"/>
      <c r="K31" s="1478"/>
      <c r="L31" s="1478"/>
      <c r="M31" s="1478"/>
      <c r="N31" s="1478"/>
      <c r="O31" s="1478"/>
      <c r="P31" s="1478"/>
      <c r="Q31" s="1478"/>
      <c r="R31" s="1478"/>
      <c r="S31" s="1478"/>
      <c r="T31" s="1478"/>
      <c r="U31" s="1478"/>
      <c r="V31" s="1478"/>
      <c r="W31" s="1478"/>
      <c r="X31" s="1478"/>
      <c r="Y31" s="1478"/>
      <c r="Z31" s="1478"/>
      <c r="AA31" s="1478"/>
      <c r="AB31" s="1478"/>
      <c r="AC31" s="1478"/>
      <c r="AD31" s="1478"/>
      <c r="AE31" s="1478"/>
      <c r="AF31" s="1478"/>
      <c r="AG31" s="1478"/>
      <c r="AH31" s="1478"/>
      <c r="AI31" s="1478"/>
      <c r="AJ31" s="1478"/>
      <c r="AK31" s="1478"/>
      <c r="AL31" s="1478"/>
      <c r="AM31" s="1478"/>
      <c r="AN31" s="1478"/>
      <c r="AO31" s="1478"/>
      <c r="AP31" s="1478"/>
      <c r="AQ31" s="1478"/>
      <c r="AR31" s="1478"/>
      <c r="AS31" s="1478"/>
      <c r="AT31" s="1478"/>
      <c r="AU31" s="1478"/>
      <c r="AV31" s="1478"/>
      <c r="AW31" s="1478"/>
      <c r="AX31" s="1478"/>
      <c r="AY31" s="1478"/>
      <c r="AZ31" s="1478"/>
      <c r="BA31" s="1478"/>
      <c r="BB31" s="1478"/>
      <c r="BC31" s="1478"/>
      <c r="BD31" s="1478"/>
      <c r="BE31" s="1478"/>
      <c r="BF31" s="1478"/>
      <c r="BG31" s="1478"/>
    </row>
    <row r="32" spans="1:60" s="199" customFormat="1" ht="12.75" customHeight="1" x14ac:dyDescent="0.4">
      <c r="A32" s="13" t="s">
        <v>686</v>
      </c>
      <c r="B32" s="13"/>
      <c r="C32" s="13"/>
      <c r="D32" s="13"/>
      <c r="E32" s="13"/>
      <c r="F32" s="13"/>
      <c r="G32" s="13"/>
      <c r="H32" s="13"/>
      <c r="I32" s="13"/>
      <c r="J32" s="13"/>
      <c r="K32" s="13"/>
      <c r="L32" s="14"/>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363"/>
    </row>
    <row r="33" spans="1:60" ht="13.15" x14ac:dyDescent="0.4">
      <c r="A33" s="1368"/>
      <c r="B33" s="1368"/>
      <c r="C33" s="1368"/>
      <c r="D33" s="1368"/>
      <c r="E33" s="1368"/>
      <c r="F33" s="1368"/>
      <c r="G33" s="1368"/>
      <c r="H33" s="1368"/>
      <c r="I33" s="1478"/>
      <c r="J33" s="1478"/>
      <c r="K33" s="1478"/>
      <c r="L33" s="1478"/>
      <c r="M33" s="1478"/>
      <c r="N33" s="1478"/>
      <c r="O33" s="1478"/>
      <c r="P33" s="1478"/>
      <c r="Q33" s="1478"/>
      <c r="R33" s="1478"/>
      <c r="S33" s="1478"/>
      <c r="T33" s="1478"/>
      <c r="U33" s="1478"/>
      <c r="V33" s="1478"/>
      <c r="W33" s="1478"/>
      <c r="X33" s="1478"/>
      <c r="Y33" s="1478"/>
      <c r="Z33" s="1478"/>
      <c r="AA33" s="1478"/>
      <c r="AB33" s="1478"/>
      <c r="AC33" s="1478"/>
      <c r="AD33" s="1478"/>
      <c r="AE33" s="1478"/>
      <c r="AF33" s="1478"/>
      <c r="AG33" s="1478"/>
      <c r="AH33" s="1478"/>
      <c r="AI33" s="1478"/>
      <c r="AJ33" s="1478"/>
      <c r="AK33" s="1478"/>
      <c r="AL33" s="1478"/>
      <c r="AM33" s="1478"/>
      <c r="AN33" s="1478"/>
      <c r="AO33" s="1478"/>
      <c r="AP33" s="1478"/>
      <c r="AQ33" s="1478"/>
      <c r="AR33" s="1478"/>
      <c r="AS33" s="1478"/>
      <c r="AT33" s="1478"/>
      <c r="AU33" s="1478"/>
      <c r="AV33" s="1478"/>
      <c r="AW33" s="1478"/>
      <c r="AX33" s="1478"/>
      <c r="AY33" s="1478"/>
      <c r="AZ33" s="1478"/>
      <c r="BA33" s="1478"/>
      <c r="BB33" s="1478"/>
      <c r="BC33" s="1478"/>
      <c r="BD33" s="1478"/>
      <c r="BE33" s="1478"/>
      <c r="BF33" s="1478"/>
      <c r="BG33" s="1478"/>
    </row>
    <row r="34" spans="1:60" ht="13.15" x14ac:dyDescent="0.4">
      <c r="A34" s="1368"/>
      <c r="B34" s="1368"/>
      <c r="C34" s="1368"/>
      <c r="D34" s="1368"/>
      <c r="E34" s="1368"/>
      <c r="F34" s="1368"/>
      <c r="G34" s="1368"/>
      <c r="H34" s="1368"/>
      <c r="I34" s="1478"/>
      <c r="J34" s="1478"/>
      <c r="K34" s="1478"/>
      <c r="L34" s="1478"/>
      <c r="M34" s="1478"/>
      <c r="N34" s="1478"/>
      <c r="O34" s="1478"/>
      <c r="P34" s="1478"/>
      <c r="Q34" s="1478"/>
      <c r="R34" s="1478"/>
      <c r="S34" s="1478"/>
      <c r="T34" s="1478"/>
      <c r="U34" s="1478"/>
      <c r="V34" s="1478"/>
      <c r="W34" s="1478"/>
      <c r="X34" s="1478"/>
      <c r="Y34" s="1478"/>
      <c r="Z34" s="1478"/>
      <c r="AA34" s="1478"/>
      <c r="AB34" s="1478"/>
      <c r="AC34" s="1478"/>
      <c r="AD34" s="1478"/>
      <c r="AE34" s="1478"/>
      <c r="AF34" s="1478"/>
      <c r="AG34" s="1478"/>
      <c r="AH34" s="1478"/>
      <c r="AI34" s="1478"/>
      <c r="AJ34" s="1478"/>
      <c r="AK34" s="1478"/>
      <c r="AL34" s="1478"/>
      <c r="AM34" s="1478"/>
      <c r="AN34" s="1478"/>
      <c r="AO34" s="1478"/>
      <c r="AP34" s="1478"/>
      <c r="AQ34" s="1478"/>
      <c r="AR34" s="1478"/>
      <c r="AS34" s="1478"/>
      <c r="AT34" s="1478"/>
      <c r="AU34" s="1478"/>
      <c r="AV34" s="1478"/>
      <c r="AW34" s="1478"/>
      <c r="AX34" s="1478"/>
      <c r="AY34" s="1478"/>
      <c r="AZ34" s="1478"/>
      <c r="BA34" s="1478"/>
      <c r="BB34" s="1478"/>
      <c r="BC34" s="1478"/>
      <c r="BD34" s="1478"/>
      <c r="BE34" s="1478"/>
      <c r="BF34" s="1478"/>
      <c r="BG34" s="1478"/>
    </row>
    <row r="35" spans="1:60" ht="13.15" x14ac:dyDescent="0.4">
      <c r="A35" s="1368"/>
      <c r="B35" s="1368"/>
      <c r="C35" s="1368"/>
      <c r="D35" s="1370" t="s">
        <v>458</v>
      </c>
      <c r="E35" s="1383"/>
      <c r="F35" s="1485" t="s">
        <v>86</v>
      </c>
      <c r="G35" s="1368"/>
      <c r="H35" s="1486">
        <f>'I. Summary Outputs'!L26</f>
        <v>1419032.4000000001</v>
      </c>
      <c r="I35" s="1478"/>
      <c r="J35" s="1478"/>
      <c r="K35" s="1478"/>
      <c r="L35" s="1478"/>
      <c r="M35" s="1478"/>
      <c r="N35" s="1478"/>
      <c r="O35" s="1478"/>
      <c r="P35" s="1478"/>
      <c r="Q35" s="1478"/>
      <c r="R35" s="1478"/>
      <c r="S35" s="1478"/>
      <c r="T35" s="1478"/>
      <c r="U35" s="1478"/>
      <c r="V35" s="1478"/>
      <c r="W35" s="1478"/>
      <c r="X35" s="1478"/>
      <c r="Y35" s="1478"/>
      <c r="Z35" s="1478"/>
      <c r="AA35" s="1478"/>
      <c r="AB35" s="1478"/>
      <c r="AC35" s="1478"/>
      <c r="AD35" s="1478"/>
      <c r="AE35" s="1478"/>
      <c r="AF35" s="1478"/>
      <c r="AG35" s="1478"/>
      <c r="AH35" s="1478"/>
      <c r="AI35" s="1478"/>
      <c r="AJ35" s="1478"/>
      <c r="AK35" s="1478"/>
      <c r="AL35" s="1478"/>
      <c r="AM35" s="1478"/>
      <c r="AN35" s="1478"/>
      <c r="AO35" s="1478"/>
      <c r="AP35" s="1478"/>
      <c r="AQ35" s="1478"/>
      <c r="AR35" s="1478"/>
      <c r="AS35" s="1478"/>
      <c r="AT35" s="1478"/>
      <c r="AU35" s="1478"/>
      <c r="AV35" s="1478"/>
      <c r="AW35" s="1478"/>
      <c r="AX35" s="1478"/>
      <c r="AY35" s="1478"/>
      <c r="AZ35" s="1478"/>
      <c r="BA35" s="1478"/>
      <c r="BB35" s="1478"/>
      <c r="BC35" s="1478"/>
      <c r="BD35" s="1478"/>
      <c r="BE35" s="1478"/>
      <c r="BF35" s="1478"/>
      <c r="BG35" s="1478"/>
    </row>
    <row r="36" spans="1:60" ht="13.15" x14ac:dyDescent="0.4">
      <c r="A36" s="1368"/>
      <c r="B36" s="1368"/>
      <c r="C36" s="1368"/>
      <c r="D36" s="1370" t="s">
        <v>454</v>
      </c>
      <c r="E36" s="1383"/>
      <c r="F36" s="1485" t="s">
        <v>728</v>
      </c>
      <c r="G36" s="1368"/>
      <c r="H36" s="1819">
        <f>'I. Summary Outputs'!N61*1000</f>
        <v>56.192921390768568</v>
      </c>
      <c r="I36" s="1478"/>
      <c r="J36" s="1389"/>
      <c r="K36" s="1478"/>
      <c r="L36" s="1478"/>
      <c r="M36" s="1478"/>
      <c r="N36" s="1478"/>
      <c r="O36" s="1478"/>
      <c r="P36" s="1478"/>
      <c r="Q36" s="1478"/>
      <c r="R36" s="1478"/>
      <c r="S36" s="1478"/>
      <c r="T36" s="1478"/>
      <c r="U36" s="1478"/>
      <c r="V36" s="1478"/>
      <c r="W36" s="1478"/>
      <c r="X36" s="1478"/>
      <c r="Y36" s="1478"/>
      <c r="Z36" s="1478"/>
      <c r="AA36" s="1478"/>
      <c r="AB36" s="1478"/>
      <c r="AC36" s="1478"/>
      <c r="AD36" s="1478"/>
      <c r="AE36" s="1478"/>
      <c r="AF36" s="1478"/>
      <c r="AG36" s="1478"/>
      <c r="AH36" s="1478"/>
      <c r="AI36" s="1478"/>
      <c r="AJ36" s="1478"/>
      <c r="AK36" s="1478"/>
      <c r="AL36" s="1478"/>
      <c r="AM36" s="1478"/>
      <c r="AN36" s="1478"/>
      <c r="AO36" s="1478"/>
      <c r="AP36" s="1478"/>
      <c r="AQ36" s="1478"/>
      <c r="AR36" s="1478"/>
      <c r="AS36" s="1478"/>
      <c r="AT36" s="1478"/>
      <c r="AU36" s="1478"/>
      <c r="AV36" s="1478"/>
      <c r="AW36" s="1478"/>
      <c r="AX36" s="1478"/>
      <c r="AY36" s="1478"/>
      <c r="AZ36" s="1478"/>
      <c r="BA36" s="1478"/>
      <c r="BB36" s="1478"/>
      <c r="BC36" s="1478"/>
      <c r="BD36" s="1478"/>
      <c r="BE36" s="1478"/>
      <c r="BF36" s="1478"/>
      <c r="BG36" s="1478"/>
    </row>
    <row r="37" spans="1:60" ht="13.15" x14ac:dyDescent="0.4">
      <c r="A37" s="1368"/>
      <c r="B37" s="1368"/>
      <c r="C37" s="1368"/>
      <c r="D37" s="1370" t="s">
        <v>614</v>
      </c>
      <c r="E37" s="1383"/>
      <c r="F37" s="1384" t="s">
        <v>725</v>
      </c>
      <c r="G37" s="1485"/>
      <c r="H37" s="1703">
        <f>H36*H35</f>
        <v>79739576.104153663</v>
      </c>
      <c r="I37" s="1478"/>
      <c r="J37" s="1478"/>
      <c r="K37" s="1478"/>
      <c r="L37" s="1478"/>
      <c r="M37" s="1478"/>
      <c r="N37" s="1478"/>
      <c r="O37" s="1478"/>
      <c r="P37" s="1478"/>
      <c r="Q37" s="1478"/>
      <c r="R37" s="1478"/>
      <c r="S37" s="1478"/>
      <c r="T37" s="1478"/>
      <c r="U37" s="1478"/>
      <c r="V37" s="1478"/>
      <c r="W37" s="1478"/>
      <c r="X37" s="1478"/>
      <c r="Y37" s="1478"/>
      <c r="Z37" s="1478"/>
      <c r="AA37" s="1478"/>
      <c r="AB37" s="1478"/>
      <c r="AC37" s="1478"/>
      <c r="AD37" s="1478"/>
      <c r="AE37" s="1478"/>
      <c r="AF37" s="1478"/>
      <c r="AG37" s="1478"/>
      <c r="AH37" s="1478"/>
      <c r="AI37" s="1478"/>
      <c r="AJ37" s="1478"/>
      <c r="AK37" s="1478"/>
      <c r="AL37" s="1478"/>
      <c r="AM37" s="1478"/>
      <c r="AN37" s="1478"/>
      <c r="AO37" s="1478"/>
      <c r="AP37" s="1478"/>
      <c r="AQ37" s="1478"/>
      <c r="AR37" s="1478"/>
      <c r="AS37" s="1478"/>
      <c r="AT37" s="1478"/>
      <c r="AU37" s="1478"/>
      <c r="AV37" s="1478"/>
      <c r="AW37" s="1478"/>
      <c r="AX37" s="1478"/>
      <c r="AY37" s="1478"/>
      <c r="AZ37" s="1478"/>
      <c r="BA37" s="1478"/>
      <c r="BB37" s="1478"/>
      <c r="BC37" s="1478"/>
      <c r="BD37" s="1478"/>
      <c r="BE37" s="1478"/>
      <c r="BF37" s="1478"/>
      <c r="BG37" s="1478"/>
    </row>
    <row r="38" spans="1:60" ht="13.15" x14ac:dyDescent="0.4">
      <c r="A38" s="1368"/>
      <c r="B38" s="1368"/>
      <c r="C38" s="1368"/>
      <c r="D38" s="1477"/>
      <c r="E38" s="1382"/>
      <c r="F38" s="1382"/>
      <c r="G38" s="1478"/>
      <c r="H38" s="1382"/>
      <c r="I38" s="1478"/>
      <c r="J38" s="1478"/>
      <c r="K38" s="1478"/>
      <c r="L38" s="1478"/>
      <c r="M38" s="1478"/>
      <c r="N38" s="1478"/>
      <c r="O38" s="1478"/>
      <c r="P38" s="1478"/>
      <c r="Q38" s="1478"/>
      <c r="R38" s="1478"/>
      <c r="S38" s="1478"/>
      <c r="T38" s="1478"/>
      <c r="U38" s="1478"/>
      <c r="V38" s="1478"/>
      <c r="W38" s="1478"/>
      <c r="X38" s="1478"/>
      <c r="Y38" s="1478"/>
      <c r="Z38" s="1478"/>
      <c r="AA38" s="1478"/>
      <c r="AB38" s="1478"/>
      <c r="AC38" s="1478"/>
      <c r="AD38" s="1478"/>
      <c r="AE38" s="1478"/>
      <c r="AF38" s="1478"/>
      <c r="AG38" s="1478"/>
      <c r="AH38" s="1478"/>
      <c r="AI38" s="1478"/>
      <c r="AJ38" s="1478"/>
      <c r="AK38" s="1478"/>
      <c r="AL38" s="1478"/>
      <c r="AM38" s="1478"/>
      <c r="AN38" s="1478"/>
      <c r="AO38" s="1478"/>
      <c r="AP38" s="1478"/>
      <c r="AQ38" s="1478"/>
      <c r="AR38" s="1478"/>
      <c r="AS38" s="1478"/>
      <c r="AT38" s="1478"/>
      <c r="AU38" s="1478"/>
      <c r="AV38" s="1478"/>
      <c r="AW38" s="1478"/>
      <c r="AX38" s="1478"/>
      <c r="AY38" s="1478"/>
      <c r="AZ38" s="1478"/>
      <c r="BA38" s="1478"/>
      <c r="BB38" s="1478"/>
      <c r="BC38" s="1478"/>
      <c r="BD38" s="1478"/>
      <c r="BE38" s="1478"/>
      <c r="BF38" s="1478"/>
      <c r="BG38" s="1478"/>
    </row>
    <row r="39" spans="1:60" ht="13.15" x14ac:dyDescent="0.4">
      <c r="A39" s="1368"/>
      <c r="B39" s="1368"/>
      <c r="C39" s="1368"/>
      <c r="D39" s="1389" t="s">
        <v>617</v>
      </c>
      <c r="E39" s="1382"/>
      <c r="F39" s="1384" t="s">
        <v>725</v>
      </c>
      <c r="G39" s="1478"/>
      <c r="H39" s="1382"/>
      <c r="I39" s="1478"/>
      <c r="J39" s="1703">
        <f>IFERROR(IF(J$10&lt;'III. Inputs, Renewable Energy'!$U$17,J$10/'III. Inputs, Renewable Energy'!$U$17*$H$37,IF(J$10&gt;'III. Inputs, Renewable Energy'!$U$16,HLOOKUP('III. Inputs, Renewable Energy'!$U$16+'III. Inputs, Renewable Energy'!$U$17-J$10,$J$10:$BG$39,30),$H$37)),0)</f>
        <v>6133813.5464733588</v>
      </c>
      <c r="K39" s="1703">
        <f>IFERROR(IF(K$10&lt;'III. Inputs, Renewable Energy'!$U$17,K$10/'III. Inputs, Renewable Energy'!$U$17*$H$37,IF(K$10&gt;'III. Inputs, Renewable Energy'!$U$16,HLOOKUP('III. Inputs, Renewable Energy'!$U$16+'III. Inputs, Renewable Energy'!$U$17-K$10,$J$10:$BG$39,30),$H$37)),0)</f>
        <v>12267627.092946718</v>
      </c>
      <c r="L39" s="1703">
        <f>IFERROR(IF(L$10&lt;'III. Inputs, Renewable Energy'!$U$17,L$10/'III. Inputs, Renewable Energy'!$U$17*$H$37,IF(L$10&gt;'III. Inputs, Renewable Energy'!$U$16,HLOOKUP('III. Inputs, Renewable Energy'!$U$16+'III. Inputs, Renewable Energy'!$U$17-L$10,$J$10:$BG$39,30),$H$37)),0)</f>
        <v>18401440.639420077</v>
      </c>
      <c r="M39" s="1703">
        <f>IFERROR(IF(M$10&lt;'III. Inputs, Renewable Energy'!$U$17,M$10/'III. Inputs, Renewable Energy'!$U$17*$H$37,IF(M$10&gt;'III. Inputs, Renewable Energy'!$U$16,HLOOKUP('III. Inputs, Renewable Energy'!$U$16+'III. Inputs, Renewable Energy'!$U$17-M$10,$J$10:$BG$39,30),$H$37)),0)</f>
        <v>24535254.185893435</v>
      </c>
      <c r="N39" s="1703">
        <f>IFERROR(IF(N$10&lt;'III. Inputs, Renewable Energy'!$U$17,N$10/'III. Inputs, Renewable Energy'!$U$17*$H$37,IF(N$10&gt;'III. Inputs, Renewable Energy'!$U$16,HLOOKUP('III. Inputs, Renewable Energy'!$U$16+'III. Inputs, Renewable Energy'!$U$17-N$10,$J$10:$BG$39,30),$H$37)),0)</f>
        <v>30669067.732366797</v>
      </c>
      <c r="O39" s="1703">
        <f>IFERROR(IF(O$10&lt;'III. Inputs, Renewable Energy'!$U$17,O$10/'III. Inputs, Renewable Energy'!$U$17*$H$37,IF(O$10&gt;'III. Inputs, Renewable Energy'!$U$16,HLOOKUP('III. Inputs, Renewable Energy'!$U$16+'III. Inputs, Renewable Energy'!$U$17-O$10,$J$10:$BG$39,30),$H$37)),0)</f>
        <v>36802881.278840154</v>
      </c>
      <c r="P39" s="1703">
        <f>IFERROR(IF(P$10&lt;'III. Inputs, Renewable Energy'!$U$17,P$10/'III. Inputs, Renewable Energy'!$U$17*$H$37,IF(P$10&gt;'III. Inputs, Renewable Energy'!$U$16,HLOOKUP('III. Inputs, Renewable Energy'!$U$16+'III. Inputs, Renewable Energy'!$U$17-P$10,$J$10:$BG$39,30),$H$37)),0)</f>
        <v>42936694.825313509</v>
      </c>
      <c r="Q39" s="1703">
        <f>IFERROR(IF(Q$10&lt;'III. Inputs, Renewable Energy'!$U$17,Q$10/'III. Inputs, Renewable Energy'!$U$17*$H$37,IF(Q$10&gt;'III. Inputs, Renewable Energy'!$U$16,HLOOKUP('III. Inputs, Renewable Energy'!$U$16+'III. Inputs, Renewable Energy'!$U$17-Q$10,$J$10:$BG$39,30),$H$37)),0)</f>
        <v>49070508.37178687</v>
      </c>
      <c r="R39" s="1703">
        <f>IFERROR(IF(R$10&lt;'III. Inputs, Renewable Energy'!$U$17,R$10/'III. Inputs, Renewable Energy'!$U$17*$H$37,IF(R$10&gt;'III. Inputs, Renewable Energy'!$U$16,HLOOKUP('III. Inputs, Renewable Energy'!$U$16+'III. Inputs, Renewable Energy'!$U$17-R$10,$J$10:$BG$39,30),$H$37)),0)</f>
        <v>55204321.918260224</v>
      </c>
      <c r="S39" s="1703">
        <f>IFERROR(IF(S$10&lt;'III. Inputs, Renewable Energy'!$U$17,S$10/'III. Inputs, Renewable Energy'!$U$17*$H$37,IF(S$10&gt;'III. Inputs, Renewable Energy'!$U$16,HLOOKUP('III. Inputs, Renewable Energy'!$U$16+'III. Inputs, Renewable Energy'!$U$17-S$10,$J$10:$BG$39,30),$H$37)),0)</f>
        <v>61338135.464733593</v>
      </c>
      <c r="T39" s="1703">
        <f>IFERROR(IF(T$10&lt;'III. Inputs, Renewable Energy'!$U$17,T$10/'III. Inputs, Renewable Energy'!$U$17*$H$37,IF(T$10&gt;'III. Inputs, Renewable Energy'!$U$16,HLOOKUP('III. Inputs, Renewable Energy'!$U$16+'III. Inputs, Renewable Energy'!$U$17-T$10,$J$10:$BG$39,30),$H$37)),0)</f>
        <v>67471949.01120694</v>
      </c>
      <c r="U39" s="1703">
        <f>IFERROR(IF(U$10&lt;'III. Inputs, Renewable Energy'!$U$17,U$10/'III. Inputs, Renewable Energy'!$U$17*$H$37,IF(U$10&gt;'III. Inputs, Renewable Energy'!$U$16,HLOOKUP('III. Inputs, Renewable Energy'!$U$16+'III. Inputs, Renewable Energy'!$U$17-U$10,$J$10:$BG$39,30),$H$37)),0)</f>
        <v>73605762.557680309</v>
      </c>
      <c r="V39" s="1703">
        <f>IFERROR(IF(V$10&lt;'III. Inputs, Renewable Energy'!$U$17,V$10/'III. Inputs, Renewable Energy'!$U$17*$H$37,IF(V$10&gt;'III. Inputs, Renewable Energy'!$U$16,HLOOKUP('III. Inputs, Renewable Energy'!$U$16+'III. Inputs, Renewable Energy'!$U$17-V$10,$J$10:$BG$39,30),$H$37)),0)</f>
        <v>79739576.104153663</v>
      </c>
      <c r="W39" s="1703">
        <f>IFERROR(IF(W$10&lt;'III. Inputs, Renewable Energy'!$U$17,W$10/'III. Inputs, Renewable Energy'!$U$17*$H$37,IF(W$10&gt;'III. Inputs, Renewable Energy'!$U$16,HLOOKUP('III. Inputs, Renewable Energy'!$U$16+'III. Inputs, Renewable Energy'!$U$17-W$10,$J$10:$BG$39,30),$H$37)),0)</f>
        <v>79739576.104153663</v>
      </c>
      <c r="X39" s="1703">
        <f>IFERROR(IF(X$10&lt;'III. Inputs, Renewable Energy'!$U$17,X$10/'III. Inputs, Renewable Energy'!$U$17*$H$37,IF(X$10&gt;'III. Inputs, Renewable Energy'!$U$16,HLOOKUP('III. Inputs, Renewable Energy'!$U$16+'III. Inputs, Renewable Energy'!$U$17-X$10,$J$10:$BG$39,30),$H$37)),0)</f>
        <v>79739576.104153663</v>
      </c>
      <c r="Y39" s="1703">
        <f>IFERROR(IF(Y$10&lt;'III. Inputs, Renewable Energy'!$U$17,Y$10/'III. Inputs, Renewable Energy'!$U$17*$H$37,IF(Y$10&gt;'III. Inputs, Renewable Energy'!$U$16,HLOOKUP('III. Inputs, Renewable Energy'!$U$16+'III. Inputs, Renewable Energy'!$U$17-Y$10,$J$10:$BG$39,30),$H$37)),0)</f>
        <v>79739576.104153663</v>
      </c>
      <c r="Z39" s="1703">
        <f>IFERROR(IF(Z$10&lt;'III. Inputs, Renewable Energy'!$U$17,Z$10/'III. Inputs, Renewable Energy'!$U$17*$H$37,IF(Z$10&gt;'III. Inputs, Renewable Energy'!$U$16,HLOOKUP('III. Inputs, Renewable Energy'!$U$16+'III. Inputs, Renewable Energy'!$U$17-Z$10,$J$10:$BG$39,30),$H$37)),0)</f>
        <v>79739576.104153663</v>
      </c>
      <c r="AA39" s="1703">
        <f>IFERROR(IF(AA$10&lt;'III. Inputs, Renewable Energy'!$U$17,AA$10/'III. Inputs, Renewable Energy'!$U$17*$H$37,IF(AA$10&gt;'III. Inputs, Renewable Energy'!$U$16,HLOOKUP('III. Inputs, Renewable Energy'!$U$16+'III. Inputs, Renewable Energy'!$U$17-AA$10,$J$10:$BG$39,30),$H$37)),0)</f>
        <v>79739576.104153663</v>
      </c>
      <c r="AB39" s="1703">
        <f>IFERROR(IF(AB$10&lt;'III. Inputs, Renewable Energy'!$U$17,AB$10/'III. Inputs, Renewable Energy'!$U$17*$H$37,IF(AB$10&gt;'III. Inputs, Renewable Energy'!$U$16,HLOOKUP('III. Inputs, Renewable Energy'!$U$16+'III. Inputs, Renewable Energy'!$U$17-AB$10,$J$10:$BG$39,30),$H$37)),0)</f>
        <v>79739576.104153663</v>
      </c>
      <c r="AC39" s="1703">
        <f>IFERROR(IF(AC$10&lt;'III. Inputs, Renewable Energy'!$U$17,AC$10/'III. Inputs, Renewable Energy'!$U$17*$H$37,IF(AC$10&gt;'III. Inputs, Renewable Energy'!$U$16,HLOOKUP('III. Inputs, Renewable Energy'!$U$16+'III. Inputs, Renewable Energy'!$U$17-AC$10,$J$10:$BG$39,30),$H$37)),0)</f>
        <v>79739576.104153663</v>
      </c>
      <c r="AD39" s="1703">
        <f>IFERROR(IF(AD$10&lt;'III. Inputs, Renewable Energy'!$U$17,AD$10/'III. Inputs, Renewable Energy'!$U$17*$H$37,IF(AD$10&gt;'III. Inputs, Renewable Energy'!$U$16,HLOOKUP('III. Inputs, Renewable Energy'!$U$16+'III. Inputs, Renewable Energy'!$U$17-AD$10,$J$10:$BG$39,30),$H$37)),0)</f>
        <v>73605762.557680309</v>
      </c>
      <c r="AE39" s="1703">
        <f>IFERROR(IF(AE$10&lt;'III. Inputs, Renewable Energy'!$U$17,AE$10/'III. Inputs, Renewable Energy'!$U$17*$H$37,IF(AE$10&gt;'III. Inputs, Renewable Energy'!$U$16,HLOOKUP('III. Inputs, Renewable Energy'!$U$16+'III. Inputs, Renewable Energy'!$U$17-AE$10,$J$10:$BG$39,30),$H$37)),0)</f>
        <v>67471949.01120694</v>
      </c>
      <c r="AF39" s="1703">
        <f>IFERROR(IF(AF$10&lt;'III. Inputs, Renewable Energy'!$U$17,AF$10/'III. Inputs, Renewable Energy'!$U$17*$H$37,IF(AF$10&gt;'III. Inputs, Renewable Energy'!$U$16,HLOOKUP('III. Inputs, Renewable Energy'!$U$16+'III. Inputs, Renewable Energy'!$U$17-AF$10,$J$10:$BG$39,30),$H$37)),0)</f>
        <v>61338135.464733593</v>
      </c>
      <c r="AG39" s="1703">
        <f>IFERROR(IF(AG$10&lt;'III. Inputs, Renewable Energy'!$U$17,AG$10/'III. Inputs, Renewable Energy'!$U$17*$H$37,IF(AG$10&gt;'III. Inputs, Renewable Energy'!$U$16,HLOOKUP('III. Inputs, Renewable Energy'!$U$16+'III. Inputs, Renewable Energy'!$U$17-AG$10,$J$10:$BG$39,30),$H$37)),0)</f>
        <v>55204321.918260224</v>
      </c>
      <c r="AH39" s="1703">
        <f>IFERROR(IF(AH$10&lt;'III. Inputs, Renewable Energy'!$U$17,AH$10/'III. Inputs, Renewable Energy'!$U$17*$H$37,IF(AH$10&gt;'III. Inputs, Renewable Energy'!$U$16,HLOOKUP('III. Inputs, Renewable Energy'!$U$16+'III. Inputs, Renewable Energy'!$U$17-AH$10,$J$10:$BG$39,30),$H$37)),0)</f>
        <v>49070508.37178687</v>
      </c>
      <c r="AI39" s="1703">
        <f>IFERROR(IF(AI$10&lt;'III. Inputs, Renewable Energy'!$U$17,AI$10/'III. Inputs, Renewable Energy'!$U$17*$H$37,IF(AI$10&gt;'III. Inputs, Renewable Energy'!$U$16,HLOOKUP('III. Inputs, Renewable Energy'!$U$16+'III. Inputs, Renewable Energy'!$U$17-AI$10,$J$10:$BG$39,30),$H$37)),0)</f>
        <v>42936694.825313509</v>
      </c>
      <c r="AJ39" s="1703">
        <f>IFERROR(IF(AJ$10&lt;'III. Inputs, Renewable Energy'!$U$17,AJ$10/'III. Inputs, Renewable Energy'!$U$17*$H$37,IF(AJ$10&gt;'III. Inputs, Renewable Energy'!$U$16,HLOOKUP('III. Inputs, Renewable Energy'!$U$16+'III. Inputs, Renewable Energy'!$U$17-AJ$10,$J$10:$BG$39,30),$H$37)),0)</f>
        <v>36802881.278840154</v>
      </c>
      <c r="AK39" s="1703">
        <f>IFERROR(IF(AK$10&lt;'III. Inputs, Renewable Energy'!$U$17,AK$10/'III. Inputs, Renewable Energy'!$U$17*$H$37,IF(AK$10&gt;'III. Inputs, Renewable Energy'!$U$16,HLOOKUP('III. Inputs, Renewable Energy'!$U$16+'III. Inputs, Renewable Energy'!$U$17-AK$10,$J$10:$BG$39,30),$H$37)),0)</f>
        <v>30669067.732366797</v>
      </c>
      <c r="AL39" s="1703">
        <f>IFERROR(IF(AL$10&lt;'III. Inputs, Renewable Energy'!$U$17,AL$10/'III. Inputs, Renewable Energy'!$U$17*$H$37,IF(AL$10&gt;'III. Inputs, Renewable Energy'!$U$16,HLOOKUP('III. Inputs, Renewable Energy'!$U$16+'III. Inputs, Renewable Energy'!$U$17-AL$10,$J$10:$BG$39,30),$H$37)),0)</f>
        <v>24535254.185893435</v>
      </c>
      <c r="AM39" s="1703">
        <f>IFERROR(IF(AM$10&lt;'III. Inputs, Renewable Energy'!$U$17,AM$10/'III. Inputs, Renewable Energy'!$U$17*$H$37,IF(AM$10&gt;'III. Inputs, Renewable Energy'!$U$16,HLOOKUP('III. Inputs, Renewable Energy'!$U$16+'III. Inputs, Renewable Energy'!$U$17-AM$10,$J$10:$BG$39,30),$H$37)),0)</f>
        <v>18401440.639420077</v>
      </c>
      <c r="AN39" s="1703">
        <f>IFERROR(IF(AN$10&lt;'III. Inputs, Renewable Energy'!$U$17,AN$10/'III. Inputs, Renewable Energy'!$U$17*$H$37,IF(AN$10&gt;'III. Inputs, Renewable Energy'!$U$16,HLOOKUP('III. Inputs, Renewable Energy'!$U$16+'III. Inputs, Renewable Energy'!$U$17-AN$10,$J$10:$BG$39,30),$H$37)),0)</f>
        <v>12267627.092946718</v>
      </c>
      <c r="AO39" s="1703">
        <f>IFERROR(IF(AO$10&lt;'III. Inputs, Renewable Energy'!$U$17,AO$10/'III. Inputs, Renewable Energy'!$U$17*$H$37,IF(AO$10&gt;'III. Inputs, Renewable Energy'!$U$16,HLOOKUP('III. Inputs, Renewable Energy'!$U$16+'III. Inputs, Renewable Energy'!$U$17-AO$10,$J$10:$BG$39,30),$H$37)),0)</f>
        <v>6133813.5464733588</v>
      </c>
      <c r="AP39" s="1703">
        <f>IFERROR(IF(AP$10&lt;'III. Inputs, Renewable Energy'!$U$17,AP$10/'III. Inputs, Renewable Energy'!$U$17*$H$37,IF(AP$10&gt;'III. Inputs, Renewable Energy'!$U$16,HLOOKUP('III. Inputs, Renewable Energy'!$U$16+'III. Inputs, Renewable Energy'!$U$17-AP$10,$J$10:$BG$39,30),$H$37)),0)</f>
        <v>0</v>
      </c>
      <c r="AQ39" s="1703">
        <f>IFERROR(IF(AQ$10&lt;'III. Inputs, Renewable Energy'!$U$17,AQ$10/'III. Inputs, Renewable Energy'!$U$17*$H$37,IF(AQ$10&gt;'III. Inputs, Renewable Energy'!$U$16,HLOOKUP('III. Inputs, Renewable Energy'!$U$16+'III. Inputs, Renewable Energy'!$U$17-AQ$10,$J$10:$BG$39,30),$H$37)),0)</f>
        <v>0</v>
      </c>
      <c r="AR39" s="1703">
        <f>IFERROR(IF(AR$10&lt;'III. Inputs, Renewable Energy'!$U$17,AR$10/'III. Inputs, Renewable Energy'!$U$17*$H$37,IF(AR$10&gt;'III. Inputs, Renewable Energy'!$U$16,HLOOKUP('III. Inputs, Renewable Energy'!$U$16+'III. Inputs, Renewable Energy'!$U$17-AR$10,$J$10:$BG$39,30),$H$37)),0)</f>
        <v>0</v>
      </c>
      <c r="AS39" s="1703">
        <f>IFERROR(IF(AS$10&lt;'III. Inputs, Renewable Energy'!$U$17,AS$10/'III. Inputs, Renewable Energy'!$U$17*$H$37,IF(AS$10&gt;'III. Inputs, Renewable Energy'!$U$16,HLOOKUP('III. Inputs, Renewable Energy'!$U$16+'III. Inputs, Renewable Energy'!$U$17-AS$10,$J$10:$BG$39,30),$H$37)),0)</f>
        <v>0</v>
      </c>
      <c r="AT39" s="1703">
        <f>IFERROR(IF(AT$10&lt;'III. Inputs, Renewable Energy'!$U$17,AT$10/'III. Inputs, Renewable Energy'!$U$17*$H$37,IF(AT$10&gt;'III. Inputs, Renewable Energy'!$U$16,HLOOKUP('III. Inputs, Renewable Energy'!$U$16+'III. Inputs, Renewable Energy'!$U$17-AT$10,$J$10:$BG$39,30),$H$37)),0)</f>
        <v>0</v>
      </c>
      <c r="AU39" s="1703">
        <f>IFERROR(IF(AU$10&lt;'III. Inputs, Renewable Energy'!$U$17,AU$10/'III. Inputs, Renewable Energy'!$U$17*$H$37,IF(AU$10&gt;'III. Inputs, Renewable Energy'!$U$16,HLOOKUP('III. Inputs, Renewable Energy'!$U$16+'III. Inputs, Renewable Energy'!$U$17-AU$10,$J$10:$BG$39,30),$H$37)),0)</f>
        <v>0</v>
      </c>
      <c r="AV39" s="1703">
        <f>IFERROR(IF(AV$10&lt;'III. Inputs, Renewable Energy'!$U$17,AV$10/'III. Inputs, Renewable Energy'!$U$17*$H$37,IF(AV$10&gt;'III. Inputs, Renewable Energy'!$U$16,HLOOKUP('III. Inputs, Renewable Energy'!$U$16+'III. Inputs, Renewable Energy'!$U$17-AV$10,$J$10:$BG$39,30),$H$37)),0)</f>
        <v>0</v>
      </c>
      <c r="AW39" s="1703">
        <f>IFERROR(IF(AW$10&lt;'III. Inputs, Renewable Energy'!$U$17,AW$10/'III. Inputs, Renewable Energy'!$U$17*$H$37,IF(AW$10&gt;'III. Inputs, Renewable Energy'!$U$16,HLOOKUP('III. Inputs, Renewable Energy'!$U$16+'III. Inputs, Renewable Energy'!$U$17-AW$10,$J$10:$BG$39,30),$H$37)),0)</f>
        <v>0</v>
      </c>
      <c r="AX39" s="1703">
        <f>IFERROR(IF(AX$10&lt;'III. Inputs, Renewable Energy'!$U$17,AX$10/'III. Inputs, Renewable Energy'!$U$17*$H$37,IF(AX$10&gt;'III. Inputs, Renewable Energy'!$U$16,HLOOKUP('III. Inputs, Renewable Energy'!$U$16+'III. Inputs, Renewable Energy'!$U$17-AX$10,$J$10:$BG$39,30),$H$37)),0)</f>
        <v>0</v>
      </c>
      <c r="AY39" s="1703">
        <f>IFERROR(IF(AY$10&lt;'III. Inputs, Renewable Energy'!$U$17,AY$10/'III. Inputs, Renewable Energy'!$U$17*$H$37,IF(AY$10&gt;'III. Inputs, Renewable Energy'!$U$16,HLOOKUP('III. Inputs, Renewable Energy'!$U$16+'III. Inputs, Renewable Energy'!$U$17-AY$10,$J$10:$BG$39,30),$H$37)),0)</f>
        <v>0</v>
      </c>
      <c r="AZ39" s="1703">
        <f>IFERROR(IF(AZ$10&lt;'III. Inputs, Renewable Energy'!$U$17,AZ$10/'III. Inputs, Renewable Energy'!$U$17*$H$37,IF(AZ$10&gt;'III. Inputs, Renewable Energy'!$U$16,HLOOKUP('III. Inputs, Renewable Energy'!$U$16+'III. Inputs, Renewable Energy'!$U$17-AZ$10,$J$10:$BG$39,30),$H$37)),0)</f>
        <v>0</v>
      </c>
      <c r="BA39" s="1703">
        <f>IFERROR(IF(BA$10&lt;'III. Inputs, Renewable Energy'!$U$17,BA$10/'III. Inputs, Renewable Energy'!$U$17*$H$37,IF(BA$10&gt;'III. Inputs, Renewable Energy'!$U$16,HLOOKUP('III. Inputs, Renewable Energy'!$U$16+'III. Inputs, Renewable Energy'!$U$17-BA$10,$J$10:$BG$39,30),$H$37)),0)</f>
        <v>0</v>
      </c>
      <c r="BB39" s="1703">
        <f>IFERROR(IF(BB$10&lt;'III. Inputs, Renewable Energy'!$U$17,BB$10/'III. Inputs, Renewable Energy'!$U$17*$H$37,IF(BB$10&gt;'III. Inputs, Renewable Energy'!$U$16,HLOOKUP('III. Inputs, Renewable Energy'!$U$16+'III. Inputs, Renewable Energy'!$U$17-BB$10,$J$10:$BG$39,30),$H$37)),0)</f>
        <v>0</v>
      </c>
      <c r="BC39" s="1703">
        <f>IFERROR(IF(BC$10&lt;'III. Inputs, Renewable Energy'!$U$17,BC$10/'III. Inputs, Renewable Energy'!$U$17*$H$37,IF(BC$10&gt;'III. Inputs, Renewable Energy'!$U$16,HLOOKUP('III. Inputs, Renewable Energy'!$U$16+'III. Inputs, Renewable Energy'!$U$17-BC$10,$J$10:$BG$39,30),$H$37)),0)</f>
        <v>0</v>
      </c>
      <c r="BD39" s="1703">
        <f>IFERROR(IF(BD$10&lt;'III. Inputs, Renewable Energy'!$U$17,BD$10/'III. Inputs, Renewable Energy'!$U$17*$H$37,IF(BD$10&gt;'III. Inputs, Renewable Energy'!$U$16,HLOOKUP('III. Inputs, Renewable Energy'!$U$16+'III. Inputs, Renewable Energy'!$U$17-BD$10,$J$10:$BG$39,30),$H$37)),0)</f>
        <v>0</v>
      </c>
      <c r="BE39" s="1703">
        <f>IFERROR(IF(BE$10&lt;'III. Inputs, Renewable Energy'!$U$17,BE$10/'III. Inputs, Renewable Energy'!$U$17*$H$37,IF(BE$10&gt;'III. Inputs, Renewable Energy'!$U$16,HLOOKUP('III. Inputs, Renewable Energy'!$U$16+'III. Inputs, Renewable Energy'!$U$17-BE$10,$J$10:$BG$39,30),$H$37)),0)</f>
        <v>0</v>
      </c>
      <c r="BF39" s="1703">
        <f>IFERROR(IF(BF$10&lt;'III. Inputs, Renewable Energy'!$U$17,BF$10/'III. Inputs, Renewable Energy'!$U$17*$H$37,IF(BF$10&gt;'III. Inputs, Renewable Energy'!$U$16,HLOOKUP('III. Inputs, Renewable Energy'!$U$16+'III. Inputs, Renewable Energy'!$U$17-BF$10,$J$10:$BG$39,30),$H$37)),0)</f>
        <v>0</v>
      </c>
      <c r="BG39" s="1703">
        <f>IFERROR(IF(BG$10&lt;'III. Inputs, Renewable Energy'!$U$17,BG$10/'III. Inputs, Renewable Energy'!$U$17*$H$37,IF(BG$10&gt;'III. Inputs, Renewable Energy'!$U$16,HLOOKUP('III. Inputs, Renewable Energy'!$U$16+'III. Inputs, Renewable Energy'!$U$17-BG$10,$J$10:$BG$39,30),$H$37)),0)</f>
        <v>0</v>
      </c>
    </row>
    <row r="40" spans="1:60" ht="13.15" x14ac:dyDescent="0.4">
      <c r="A40" s="1368"/>
      <c r="B40" s="1368"/>
      <c r="C40" s="1368"/>
      <c r="D40" s="1389" t="s">
        <v>615</v>
      </c>
      <c r="E40" s="1382"/>
      <c r="F40" s="1384" t="s">
        <v>725</v>
      </c>
      <c r="G40" s="1478"/>
      <c r="H40" s="1382"/>
      <c r="I40" s="1478"/>
      <c r="J40" s="1703">
        <f>J39*'III. Inputs, Renewable Energy'!$V$197</f>
        <v>61338.13546473359</v>
      </c>
      <c r="K40" s="1703">
        <f>K39*'III. Inputs, Renewable Energy'!$V$197</f>
        <v>122676.27092946718</v>
      </c>
      <c r="L40" s="1703">
        <f>L39*'III. Inputs, Renewable Energy'!$V$197</f>
        <v>184014.40639420078</v>
      </c>
      <c r="M40" s="1703">
        <f>M39*'III. Inputs, Renewable Energy'!$V$197</f>
        <v>245352.54185893436</v>
      </c>
      <c r="N40" s="1703">
        <f>N39*'III. Inputs, Renewable Energy'!$V$197</f>
        <v>306690.67732366797</v>
      </c>
      <c r="O40" s="1703">
        <f>O39*'III. Inputs, Renewable Energy'!$V$197</f>
        <v>368028.81278840156</v>
      </c>
      <c r="P40" s="1703">
        <f>P39*'III. Inputs, Renewable Energy'!$V$197</f>
        <v>429366.94825313508</v>
      </c>
      <c r="Q40" s="1703">
        <f>Q39*'III. Inputs, Renewable Energy'!$V$197</f>
        <v>490705.08371786872</v>
      </c>
      <c r="R40" s="1703">
        <f>R39*'III. Inputs, Renewable Energy'!$V$197</f>
        <v>552043.21918260225</v>
      </c>
      <c r="S40" s="1703">
        <f>S39*'III. Inputs, Renewable Energy'!$V$197</f>
        <v>613381.35464733595</v>
      </c>
      <c r="T40" s="1703">
        <f>T39*'III. Inputs, Renewable Energy'!$V$197</f>
        <v>674719.49011206941</v>
      </c>
      <c r="U40" s="1703">
        <f>U39*'III. Inputs, Renewable Energy'!$V$197</f>
        <v>736057.62557680311</v>
      </c>
      <c r="V40" s="1703">
        <f>V39*'III. Inputs, Renewable Energy'!$V$197</f>
        <v>797395.76104153669</v>
      </c>
      <c r="W40" s="1703">
        <f>W39*'III. Inputs, Renewable Energy'!$V$197</f>
        <v>797395.76104153669</v>
      </c>
      <c r="X40" s="1703">
        <f>X39*'III. Inputs, Renewable Energy'!$V$197</f>
        <v>797395.76104153669</v>
      </c>
      <c r="Y40" s="1703">
        <f>Y39*'III. Inputs, Renewable Energy'!$V$197</f>
        <v>797395.76104153669</v>
      </c>
      <c r="Z40" s="1703">
        <f>Z39*'III. Inputs, Renewable Energy'!$V$197</f>
        <v>797395.76104153669</v>
      </c>
      <c r="AA40" s="1703">
        <f>AA39*'III. Inputs, Renewable Energy'!$V$197</f>
        <v>797395.76104153669</v>
      </c>
      <c r="AB40" s="1703">
        <f>AB39*'III. Inputs, Renewable Energy'!$V$197</f>
        <v>797395.76104153669</v>
      </c>
      <c r="AC40" s="1703">
        <f>AC39*'III. Inputs, Renewable Energy'!$V$197</f>
        <v>797395.76104153669</v>
      </c>
      <c r="AD40" s="1703">
        <f>AD39*'III. Inputs, Renewable Energy'!$V$197</f>
        <v>736057.62557680311</v>
      </c>
      <c r="AE40" s="1703">
        <f>AE39*'III. Inputs, Renewable Energy'!$V$197</f>
        <v>674719.49011206941</v>
      </c>
      <c r="AF40" s="1703">
        <f>AF39*'III. Inputs, Renewable Energy'!$V$197</f>
        <v>613381.35464733595</v>
      </c>
      <c r="AG40" s="1703">
        <f>AG39*'III. Inputs, Renewable Energy'!$V$197</f>
        <v>552043.21918260225</v>
      </c>
      <c r="AH40" s="1703">
        <f>AH39*'III. Inputs, Renewable Energy'!$V$197</f>
        <v>490705.08371786872</v>
      </c>
      <c r="AI40" s="1703">
        <f>AI39*'III. Inputs, Renewable Energy'!$V$197</f>
        <v>429366.94825313508</v>
      </c>
      <c r="AJ40" s="1703">
        <f>AJ39*'III. Inputs, Renewable Energy'!$V$197</f>
        <v>368028.81278840156</v>
      </c>
      <c r="AK40" s="1703">
        <f>AK39*'III. Inputs, Renewable Energy'!$V$197</f>
        <v>306690.67732366797</v>
      </c>
      <c r="AL40" s="1703">
        <f>AL39*'III. Inputs, Renewable Energy'!$V$197</f>
        <v>245352.54185893436</v>
      </c>
      <c r="AM40" s="1703">
        <f>AM39*'III. Inputs, Renewable Energy'!$V$197</f>
        <v>184014.40639420078</v>
      </c>
      <c r="AN40" s="1703">
        <f>AN39*'III. Inputs, Renewable Energy'!$V$197</f>
        <v>122676.27092946718</v>
      </c>
      <c r="AO40" s="1703">
        <f>AO39*'III. Inputs, Renewable Energy'!$V$197</f>
        <v>61338.13546473359</v>
      </c>
      <c r="AP40" s="1703">
        <f>AP39*'III. Inputs, Renewable Energy'!$V$197</f>
        <v>0</v>
      </c>
      <c r="AQ40" s="1703">
        <f>AQ39*'III. Inputs, Renewable Energy'!$V$197</f>
        <v>0</v>
      </c>
      <c r="AR40" s="1703">
        <f>AR39*'III. Inputs, Renewable Energy'!$V$197</f>
        <v>0</v>
      </c>
      <c r="AS40" s="1703">
        <f>AS39*'III. Inputs, Renewable Energy'!$V$197</f>
        <v>0</v>
      </c>
      <c r="AT40" s="1703">
        <f>AT39*'III. Inputs, Renewable Energy'!$V$197</f>
        <v>0</v>
      </c>
      <c r="AU40" s="1703">
        <f>AU39*'III. Inputs, Renewable Energy'!$V$197</f>
        <v>0</v>
      </c>
      <c r="AV40" s="1703">
        <f>AV39*'III. Inputs, Renewable Energy'!$V$197</f>
        <v>0</v>
      </c>
      <c r="AW40" s="1703">
        <f>AW39*'III. Inputs, Renewable Energy'!$V$197</f>
        <v>0</v>
      </c>
      <c r="AX40" s="1703">
        <f>AX39*'III. Inputs, Renewable Energy'!$V$197</f>
        <v>0</v>
      </c>
      <c r="AY40" s="1703">
        <f>AY39*'III. Inputs, Renewable Energy'!$V$197</f>
        <v>0</v>
      </c>
      <c r="AZ40" s="1703">
        <f>AZ39*'III. Inputs, Renewable Energy'!$V$197</f>
        <v>0</v>
      </c>
      <c r="BA40" s="1703">
        <f>BA39*'III. Inputs, Renewable Energy'!$V$197</f>
        <v>0</v>
      </c>
      <c r="BB40" s="1703">
        <f>BB39*'III. Inputs, Renewable Energy'!$V$197</f>
        <v>0</v>
      </c>
      <c r="BC40" s="1703">
        <f>BC39*'III. Inputs, Renewable Energy'!$V$197</f>
        <v>0</v>
      </c>
      <c r="BD40" s="1703">
        <f>BD39*'III. Inputs, Renewable Energy'!$V$197</f>
        <v>0</v>
      </c>
      <c r="BE40" s="1703">
        <f>BE39*'III. Inputs, Renewable Energy'!$V$197</f>
        <v>0</v>
      </c>
      <c r="BF40" s="1703">
        <f>BF39*'III. Inputs, Renewable Energy'!$V$197</f>
        <v>0</v>
      </c>
      <c r="BG40" s="1703">
        <f>BG39*'III. Inputs, Renewable Energy'!$V$197</f>
        <v>0</v>
      </c>
    </row>
    <row r="41" spans="1:60" ht="13.15" x14ac:dyDescent="0.4">
      <c r="A41" s="1368"/>
      <c r="B41" s="1368"/>
      <c r="C41" s="1368"/>
      <c r="D41" s="1389" t="s">
        <v>616</v>
      </c>
      <c r="E41" s="1382"/>
      <c r="F41" s="1384" t="s">
        <v>725</v>
      </c>
      <c r="G41" s="1478"/>
      <c r="H41" s="1382"/>
      <c r="I41" s="1478"/>
      <c r="J41" s="1703">
        <f>J40*'III. Inputs, Renewable Energy'!$V$198</f>
        <v>61338.13546473359</v>
      </c>
      <c r="K41" s="1703">
        <f>K40*'III. Inputs, Renewable Energy'!$V$198</f>
        <v>122676.27092946718</v>
      </c>
      <c r="L41" s="1703">
        <f>L40*'III. Inputs, Renewable Energy'!$V$198</f>
        <v>184014.40639420078</v>
      </c>
      <c r="M41" s="1703">
        <f>M40*'III. Inputs, Renewable Energy'!$V$198</f>
        <v>245352.54185893436</v>
      </c>
      <c r="N41" s="1703">
        <f>N40*'III. Inputs, Renewable Energy'!$V$198</f>
        <v>306690.67732366797</v>
      </c>
      <c r="O41" s="1703">
        <f>O40*'III. Inputs, Renewable Energy'!$V$198</f>
        <v>368028.81278840156</v>
      </c>
      <c r="P41" s="1703">
        <f>P40*'III. Inputs, Renewable Energy'!$V$198</f>
        <v>429366.94825313508</v>
      </c>
      <c r="Q41" s="1703">
        <f>Q40*'III. Inputs, Renewable Energy'!$V$198</f>
        <v>490705.08371786872</v>
      </c>
      <c r="R41" s="1703">
        <f>R40*'III. Inputs, Renewable Energy'!$V$198</f>
        <v>552043.21918260225</v>
      </c>
      <c r="S41" s="1703">
        <f>S40*'III. Inputs, Renewable Energy'!$V$198</f>
        <v>613381.35464733595</v>
      </c>
      <c r="T41" s="1703">
        <f>T40*'III. Inputs, Renewable Energy'!$V$198</f>
        <v>674719.49011206941</v>
      </c>
      <c r="U41" s="1703">
        <f>U40*'III. Inputs, Renewable Energy'!$V$198</f>
        <v>736057.62557680311</v>
      </c>
      <c r="V41" s="1703">
        <f>V40*'III. Inputs, Renewable Energy'!$V$198</f>
        <v>797395.76104153669</v>
      </c>
      <c r="W41" s="1703">
        <f>W40*'III. Inputs, Renewable Energy'!$V$198</f>
        <v>797395.76104153669</v>
      </c>
      <c r="X41" s="1703">
        <f>X40*'III. Inputs, Renewable Energy'!$V$198</f>
        <v>797395.76104153669</v>
      </c>
      <c r="Y41" s="1703">
        <f>Y40*'III. Inputs, Renewable Energy'!$V$198</f>
        <v>797395.76104153669</v>
      </c>
      <c r="Z41" s="1703">
        <f>Z40*'III. Inputs, Renewable Energy'!$V$198</f>
        <v>797395.76104153669</v>
      </c>
      <c r="AA41" s="1703">
        <f>AA40*'III. Inputs, Renewable Energy'!$V$198</f>
        <v>797395.76104153669</v>
      </c>
      <c r="AB41" s="1703">
        <f>AB40*'III. Inputs, Renewable Energy'!$V$198</f>
        <v>797395.76104153669</v>
      </c>
      <c r="AC41" s="1703">
        <f>AC40*'III. Inputs, Renewable Energy'!$V$198</f>
        <v>797395.76104153669</v>
      </c>
      <c r="AD41" s="1703">
        <f>AD40*'III. Inputs, Renewable Energy'!$V$198</f>
        <v>736057.62557680311</v>
      </c>
      <c r="AE41" s="1703">
        <f>AE40*'III. Inputs, Renewable Energy'!$V$198</f>
        <v>674719.49011206941</v>
      </c>
      <c r="AF41" s="1703">
        <f>AF40*'III. Inputs, Renewable Energy'!$V$198</f>
        <v>613381.35464733595</v>
      </c>
      <c r="AG41" s="1703">
        <f>AG40*'III. Inputs, Renewable Energy'!$V$198</f>
        <v>552043.21918260225</v>
      </c>
      <c r="AH41" s="1703">
        <f>AH40*'III. Inputs, Renewable Energy'!$V$198</f>
        <v>490705.08371786872</v>
      </c>
      <c r="AI41" s="1703">
        <f>AI40*'III. Inputs, Renewable Energy'!$V$198</f>
        <v>429366.94825313508</v>
      </c>
      <c r="AJ41" s="1703">
        <f>AJ40*'III. Inputs, Renewable Energy'!$V$198</f>
        <v>368028.81278840156</v>
      </c>
      <c r="AK41" s="1703">
        <f>AK40*'III. Inputs, Renewable Energy'!$V$198</f>
        <v>306690.67732366797</v>
      </c>
      <c r="AL41" s="1703">
        <f>AL40*'III. Inputs, Renewable Energy'!$V$198</f>
        <v>245352.54185893436</v>
      </c>
      <c r="AM41" s="1703">
        <f>AM40*'III. Inputs, Renewable Energy'!$V$198</f>
        <v>184014.40639420078</v>
      </c>
      <c r="AN41" s="1703">
        <f>AN40*'III. Inputs, Renewable Energy'!$V$198</f>
        <v>122676.27092946718</v>
      </c>
      <c r="AO41" s="1703">
        <f>AO40*'III. Inputs, Renewable Energy'!$V$198</f>
        <v>61338.13546473359</v>
      </c>
      <c r="AP41" s="1703">
        <f>AP40*'III. Inputs, Renewable Energy'!$V$198</f>
        <v>0</v>
      </c>
      <c r="AQ41" s="1703">
        <f>AQ40*'III. Inputs, Renewable Energy'!$V$198</f>
        <v>0</v>
      </c>
      <c r="AR41" s="1703">
        <f>AR40*'III. Inputs, Renewable Energy'!$V$198</f>
        <v>0</v>
      </c>
      <c r="AS41" s="1703">
        <f>AS40*'III. Inputs, Renewable Energy'!$V$198</f>
        <v>0</v>
      </c>
      <c r="AT41" s="1703">
        <f>AT40*'III. Inputs, Renewable Energy'!$V$198</f>
        <v>0</v>
      </c>
      <c r="AU41" s="1703">
        <f>AU40*'III. Inputs, Renewable Energy'!$V$198</f>
        <v>0</v>
      </c>
      <c r="AV41" s="1703">
        <f>AV40*'III. Inputs, Renewable Energy'!$V$198</f>
        <v>0</v>
      </c>
      <c r="AW41" s="1703">
        <f>AW40*'III. Inputs, Renewable Energy'!$V$198</f>
        <v>0</v>
      </c>
      <c r="AX41" s="1703">
        <f>AX40*'III. Inputs, Renewable Energy'!$V$198</f>
        <v>0</v>
      </c>
      <c r="AY41" s="1703">
        <f>AY40*'III. Inputs, Renewable Energy'!$V$198</f>
        <v>0</v>
      </c>
      <c r="AZ41" s="1703">
        <f>AZ40*'III. Inputs, Renewable Energy'!$V$198</f>
        <v>0</v>
      </c>
      <c r="BA41" s="1703">
        <f>BA40*'III. Inputs, Renewable Energy'!$V$198</f>
        <v>0</v>
      </c>
      <c r="BB41" s="1703">
        <f>BB40*'III. Inputs, Renewable Energy'!$V$198</f>
        <v>0</v>
      </c>
      <c r="BC41" s="1703">
        <f>BC40*'III. Inputs, Renewable Energy'!$V$198</f>
        <v>0</v>
      </c>
      <c r="BD41" s="1703">
        <f>BD40*'III. Inputs, Renewable Energy'!$V$198</f>
        <v>0</v>
      </c>
      <c r="BE41" s="1703">
        <f>BE40*'III. Inputs, Renewable Energy'!$V$198</f>
        <v>0</v>
      </c>
      <c r="BF41" s="1703">
        <f>BF40*'III. Inputs, Renewable Energy'!$V$198</f>
        <v>0</v>
      </c>
      <c r="BG41" s="1703">
        <f>BG40*'III. Inputs, Renewable Energy'!$V$198</f>
        <v>0</v>
      </c>
    </row>
    <row r="42" spans="1:60" ht="13.15" x14ac:dyDescent="0.4">
      <c r="A42" s="1368"/>
      <c r="B42" s="1368"/>
      <c r="C42" s="1368"/>
      <c r="D42" s="1389"/>
      <c r="E42" s="1382"/>
      <c r="F42" s="1384"/>
      <c r="G42" s="1478"/>
      <c r="H42" s="1382"/>
      <c r="I42" s="1478"/>
      <c r="J42" s="1703"/>
      <c r="K42" s="1478"/>
      <c r="L42" s="1478"/>
      <c r="M42" s="1478"/>
      <c r="N42" s="1478"/>
      <c r="O42" s="1478"/>
      <c r="P42" s="1478"/>
      <c r="Q42" s="1478"/>
      <c r="R42" s="1478"/>
      <c r="S42" s="1478"/>
      <c r="T42" s="1478"/>
      <c r="U42" s="1478"/>
      <c r="V42" s="1478"/>
      <c r="W42" s="1478"/>
      <c r="X42" s="1478"/>
      <c r="Y42" s="1478"/>
      <c r="Z42" s="1478"/>
      <c r="AA42" s="1478"/>
      <c r="AB42" s="1478"/>
      <c r="AC42" s="1478"/>
      <c r="AD42" s="1478"/>
      <c r="AE42" s="1478"/>
      <c r="AF42" s="1478"/>
      <c r="AG42" s="1478"/>
      <c r="AH42" s="1478"/>
      <c r="AI42" s="1478"/>
      <c r="AJ42" s="1478"/>
      <c r="AK42" s="1478"/>
      <c r="AL42" s="1478"/>
      <c r="AM42" s="1478"/>
      <c r="AN42" s="1478"/>
      <c r="AO42" s="1478"/>
      <c r="AP42" s="1478"/>
      <c r="AQ42" s="1478"/>
      <c r="AR42" s="1478"/>
      <c r="AS42" s="1478"/>
      <c r="AT42" s="1478"/>
      <c r="AU42" s="1478"/>
      <c r="AV42" s="1478"/>
      <c r="AW42" s="1478"/>
      <c r="AX42" s="1478"/>
      <c r="AY42" s="1478"/>
      <c r="AZ42" s="1478"/>
      <c r="BA42" s="1478"/>
      <c r="BB42" s="1478"/>
      <c r="BC42" s="1478"/>
      <c r="BD42" s="1478"/>
      <c r="BE42" s="1478"/>
      <c r="BF42" s="1478"/>
      <c r="BG42" s="1478"/>
    </row>
    <row r="43" spans="1:60" ht="13.15" x14ac:dyDescent="0.4">
      <c r="A43" s="1368"/>
      <c r="B43" s="1368"/>
      <c r="C43" s="1368"/>
      <c r="D43" s="1487" t="s">
        <v>455</v>
      </c>
      <c r="E43" s="1488"/>
      <c r="F43" s="1489" t="s">
        <v>725</v>
      </c>
      <c r="G43" s="1490"/>
      <c r="H43" s="1488"/>
      <c r="I43" s="1706">
        <f>NPV('III. Inputs, Renewable Energy'!$U$19,J41:BG41)</f>
        <v>5811110.3046963457</v>
      </c>
      <c r="J43" s="1703"/>
      <c r="K43" s="1478"/>
      <c r="L43" s="1478"/>
      <c r="M43" s="1478"/>
      <c r="N43" s="1478"/>
      <c r="O43" s="1478"/>
      <c r="P43" s="1478"/>
      <c r="Q43" s="1478"/>
      <c r="R43" s="1478"/>
      <c r="S43" s="1478"/>
      <c r="T43" s="1478"/>
      <c r="U43" s="1478"/>
      <c r="V43" s="1478"/>
      <c r="W43" s="1478"/>
      <c r="X43" s="1478"/>
      <c r="Y43" s="1478"/>
      <c r="Z43" s="1478"/>
      <c r="AA43" s="1478"/>
      <c r="AB43" s="1478"/>
      <c r="AC43" s="1478"/>
      <c r="AD43" s="1478"/>
      <c r="AE43" s="1478"/>
      <c r="AF43" s="1478"/>
      <c r="AG43" s="1478"/>
      <c r="AH43" s="1478"/>
      <c r="AI43" s="1478"/>
      <c r="AJ43" s="1478"/>
      <c r="AK43" s="1478"/>
      <c r="AL43" s="1478"/>
      <c r="AM43" s="1478"/>
      <c r="AN43" s="1478"/>
      <c r="AO43" s="1478"/>
      <c r="AP43" s="1478"/>
      <c r="AQ43" s="1478"/>
      <c r="AR43" s="1478"/>
      <c r="AS43" s="1478"/>
      <c r="AT43" s="1478"/>
      <c r="AU43" s="1478"/>
      <c r="AV43" s="1478"/>
      <c r="AW43" s="1478"/>
      <c r="AX43" s="1478"/>
      <c r="AY43" s="1478"/>
      <c r="AZ43" s="1478"/>
      <c r="BA43" s="1478"/>
      <c r="BB43" s="1478"/>
      <c r="BC43" s="1478"/>
      <c r="BD43" s="1478"/>
      <c r="BE43" s="1478"/>
      <c r="BF43" s="1478"/>
      <c r="BG43" s="1478"/>
    </row>
    <row r="44" spans="1:60" ht="13.15" x14ac:dyDescent="0.4">
      <c r="A44" s="1368"/>
      <c r="B44" s="1368"/>
      <c r="C44" s="1368"/>
      <c r="D44" s="1477"/>
      <c r="E44" s="1382"/>
      <c r="F44" s="1385"/>
      <c r="G44" s="1478"/>
      <c r="H44" s="1382"/>
      <c r="I44" s="1707"/>
      <c r="J44" s="1703"/>
      <c r="K44" s="1478"/>
      <c r="L44" s="1478"/>
      <c r="M44" s="1478"/>
      <c r="N44" s="1478"/>
      <c r="O44" s="1478"/>
      <c r="P44" s="1478"/>
      <c r="Q44" s="1478"/>
      <c r="R44" s="1478"/>
      <c r="S44" s="1478"/>
      <c r="T44" s="1478"/>
      <c r="U44" s="1478"/>
      <c r="V44" s="1478"/>
      <c r="W44" s="1478"/>
      <c r="X44" s="1478"/>
      <c r="Y44" s="1478"/>
      <c r="Z44" s="1478"/>
      <c r="AA44" s="1478"/>
      <c r="AB44" s="1478"/>
      <c r="AC44" s="1478"/>
      <c r="AD44" s="1478"/>
      <c r="AE44" s="1478"/>
      <c r="AF44" s="1478"/>
      <c r="AG44" s="1478"/>
      <c r="AH44" s="1478"/>
      <c r="AI44" s="1478"/>
      <c r="AJ44" s="1478"/>
      <c r="AK44" s="1478"/>
      <c r="AL44" s="1478"/>
      <c r="AM44" s="1478"/>
      <c r="AN44" s="1478"/>
      <c r="AO44" s="1478"/>
      <c r="AP44" s="1478"/>
      <c r="AQ44" s="1478"/>
      <c r="AR44" s="1478"/>
      <c r="AS44" s="1478"/>
      <c r="AT44" s="1478"/>
      <c r="AU44" s="1478"/>
      <c r="AV44" s="1478"/>
      <c r="AW44" s="1478"/>
      <c r="AX44" s="1478"/>
      <c r="AY44" s="1478"/>
      <c r="AZ44" s="1478"/>
      <c r="BA44" s="1478"/>
      <c r="BB44" s="1478"/>
      <c r="BC44" s="1478"/>
      <c r="BD44" s="1478"/>
      <c r="BE44" s="1478"/>
      <c r="BF44" s="1478"/>
      <c r="BG44" s="1478"/>
    </row>
    <row r="45" spans="1:60" s="199" customFormat="1" ht="12.75" customHeight="1" x14ac:dyDescent="0.4">
      <c r="A45" s="13" t="s">
        <v>687</v>
      </c>
      <c r="B45" s="13"/>
      <c r="C45" s="13"/>
      <c r="D45" s="13"/>
      <c r="E45" s="13"/>
      <c r="F45" s="13"/>
      <c r="G45" s="13"/>
      <c r="H45" s="13"/>
      <c r="I45" s="13"/>
      <c r="J45" s="13"/>
      <c r="K45" s="13"/>
      <c r="L45" s="14"/>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363"/>
    </row>
    <row r="46" spans="1:60" ht="13.15" x14ac:dyDescent="0.4">
      <c r="A46" s="1368"/>
      <c r="B46" s="1368"/>
      <c r="C46" s="1368"/>
      <c r="D46" s="1477"/>
      <c r="E46" s="1382"/>
      <c r="F46" s="1385"/>
      <c r="G46" s="1478"/>
      <c r="H46" s="1382"/>
      <c r="I46" s="1707"/>
      <c r="J46" s="1703"/>
      <c r="K46" s="1478"/>
      <c r="L46" s="1478"/>
      <c r="M46" s="1478"/>
      <c r="N46" s="1478"/>
      <c r="O46" s="1478"/>
      <c r="P46" s="1478"/>
      <c r="Q46" s="1478"/>
      <c r="R46" s="1478"/>
      <c r="S46" s="1478"/>
      <c r="T46" s="1478"/>
      <c r="U46" s="1478"/>
      <c r="V46" s="1478"/>
      <c r="W46" s="1478"/>
      <c r="X46" s="1478"/>
      <c r="Y46" s="1478"/>
      <c r="Z46" s="1478"/>
      <c r="AA46" s="1478"/>
      <c r="AB46" s="1478"/>
      <c r="AC46" s="1478"/>
      <c r="AD46" s="1478"/>
      <c r="AE46" s="1478"/>
      <c r="AF46" s="1478"/>
      <c r="AG46" s="1478"/>
      <c r="AH46" s="1478"/>
      <c r="AI46" s="1478"/>
      <c r="AJ46" s="1478"/>
      <c r="AK46" s="1478"/>
      <c r="AL46" s="1478"/>
      <c r="AM46" s="1478"/>
      <c r="AN46" s="1478"/>
      <c r="AO46" s="1478"/>
      <c r="AP46" s="1478"/>
      <c r="AQ46" s="1478"/>
      <c r="AR46" s="1478"/>
      <c r="AS46" s="1478"/>
      <c r="AT46" s="1478"/>
      <c r="AU46" s="1478"/>
      <c r="AV46" s="1478"/>
      <c r="AW46" s="1478"/>
      <c r="AX46" s="1478"/>
      <c r="AY46" s="1478"/>
      <c r="AZ46" s="1478"/>
      <c r="BA46" s="1478"/>
      <c r="BB46" s="1478"/>
      <c r="BC46" s="1478"/>
      <c r="BD46" s="1478"/>
      <c r="BE46" s="1478"/>
      <c r="BF46" s="1478"/>
      <c r="BG46" s="1478"/>
    </row>
    <row r="47" spans="1:60" ht="13.15" x14ac:dyDescent="0.4">
      <c r="A47" s="1368"/>
      <c r="B47" s="1368"/>
      <c r="C47" s="1368"/>
      <c r="D47" s="1389" t="s">
        <v>617</v>
      </c>
      <c r="E47" s="1382"/>
      <c r="F47" s="1384" t="s">
        <v>725</v>
      </c>
      <c r="G47" s="1478"/>
      <c r="H47" s="1382"/>
      <c r="I47" s="1707"/>
      <c r="J47" s="1703">
        <f>IFERROR(IF(J$10&lt;'III. Inputs, Renewable Energy'!$U$17,J$10/'III. Inputs, Renewable Energy'!$U$17*$H$37,IF(J$10&gt;'III. Inputs, Renewable Energy'!$U$16,HLOOKUP('III. Inputs, Renewable Energy'!$U$16+'III. Inputs, Renewable Energy'!$U$17-J$10,$J$10:$BG$47,38),$H$37)),0)</f>
        <v>6133813.5464733588</v>
      </c>
      <c r="K47" s="1703">
        <f>IFERROR(IF(K$10&lt;'III. Inputs, Renewable Energy'!$U$17,K$10/'III. Inputs, Renewable Energy'!$U$17*$H$37,IF(K$10&gt;'III. Inputs, Renewable Energy'!$U$16,HLOOKUP('III. Inputs, Renewable Energy'!$U$16+'III. Inputs, Renewable Energy'!$U$17-K$10,$J$10:$BG$47,38),$H$37)),0)</f>
        <v>12267627.092946718</v>
      </c>
      <c r="L47" s="1703">
        <f>IFERROR(IF(L$10&lt;'III. Inputs, Renewable Energy'!$U$17,L$10/'III. Inputs, Renewable Energy'!$U$17*$H$37,IF(L$10&gt;'III. Inputs, Renewable Energy'!$U$16,HLOOKUP('III. Inputs, Renewable Energy'!$U$16+'III. Inputs, Renewable Energy'!$U$17-L$10,$J$10:$BG$47,38),$H$37)),0)</f>
        <v>18401440.639420077</v>
      </c>
      <c r="M47" s="1703">
        <f>IFERROR(IF(M$10&lt;'III. Inputs, Renewable Energy'!$U$17,M$10/'III. Inputs, Renewable Energy'!$U$17*$H$37,IF(M$10&gt;'III. Inputs, Renewable Energy'!$U$16,HLOOKUP('III. Inputs, Renewable Energy'!$U$16+'III. Inputs, Renewable Energy'!$U$17-M$10,$J$10:$BG$47,38),$H$37)),0)</f>
        <v>24535254.185893435</v>
      </c>
      <c r="N47" s="1703">
        <f>IFERROR(IF(N$10&lt;'III. Inputs, Renewable Energy'!$U$17,N$10/'III. Inputs, Renewable Energy'!$U$17*$H$37,IF(N$10&gt;'III. Inputs, Renewable Energy'!$U$16,HLOOKUP('III. Inputs, Renewable Energy'!$U$16+'III. Inputs, Renewable Energy'!$U$17-N$10,$J$10:$BG$47,38),$H$37)),0)</f>
        <v>30669067.732366797</v>
      </c>
      <c r="O47" s="1703">
        <f>IFERROR(IF(O$10&lt;'III. Inputs, Renewable Energy'!$U$17,O$10/'III. Inputs, Renewable Energy'!$U$17*$H$37,IF(O$10&gt;'III. Inputs, Renewable Energy'!$U$16,HLOOKUP('III. Inputs, Renewable Energy'!$U$16+'III. Inputs, Renewable Energy'!$U$17-O$10,$J$10:$BG$47,38),$H$37)),0)</f>
        <v>36802881.278840154</v>
      </c>
      <c r="P47" s="1703">
        <f>IFERROR(IF(P$10&lt;'III. Inputs, Renewable Energy'!$U$17,P$10/'III. Inputs, Renewable Energy'!$U$17*$H$37,IF(P$10&gt;'III. Inputs, Renewable Energy'!$U$16,HLOOKUP('III. Inputs, Renewable Energy'!$U$16+'III. Inputs, Renewable Energy'!$U$17-P$10,$J$10:$BG$47,38),$H$37)),0)</f>
        <v>42936694.825313509</v>
      </c>
      <c r="Q47" s="1703">
        <f>IFERROR(IF(Q$10&lt;'III. Inputs, Renewable Energy'!$U$17,Q$10/'III. Inputs, Renewable Energy'!$U$17*$H$37,IF(Q$10&gt;'III. Inputs, Renewable Energy'!$U$16,HLOOKUP('III. Inputs, Renewable Energy'!$U$16+'III. Inputs, Renewable Energy'!$U$17-Q$10,$J$10:$BG$47,38),$H$37)),0)</f>
        <v>49070508.37178687</v>
      </c>
      <c r="R47" s="1703">
        <f>IFERROR(IF(R$10&lt;'III. Inputs, Renewable Energy'!$U$17,R$10/'III. Inputs, Renewable Energy'!$U$17*$H$37,IF(R$10&gt;'III. Inputs, Renewable Energy'!$U$16,HLOOKUP('III. Inputs, Renewable Energy'!$U$16+'III. Inputs, Renewable Energy'!$U$17-R$10,$J$10:$BG$47,38),$H$37)),0)</f>
        <v>55204321.918260224</v>
      </c>
      <c r="S47" s="1703">
        <f>IFERROR(IF(S$10&lt;'III. Inputs, Renewable Energy'!$U$17,S$10/'III. Inputs, Renewable Energy'!$U$17*$H$37,IF(S$10&gt;'III. Inputs, Renewable Energy'!$U$16,HLOOKUP('III. Inputs, Renewable Energy'!$U$16+'III. Inputs, Renewable Energy'!$U$17-S$10,$J$10:$BG$47,38),$H$37)),0)</f>
        <v>61338135.464733593</v>
      </c>
      <c r="T47" s="1703">
        <f>IFERROR(IF(T$10&lt;'III. Inputs, Renewable Energy'!$U$17,T$10/'III. Inputs, Renewable Energy'!$U$17*$H$37,IF(T$10&gt;'III. Inputs, Renewable Energy'!$U$16,HLOOKUP('III. Inputs, Renewable Energy'!$U$16+'III. Inputs, Renewable Energy'!$U$17-T$10,$J$10:$BG$47,38),$H$37)),0)</f>
        <v>67471949.01120694</v>
      </c>
      <c r="U47" s="1703">
        <f>IFERROR(IF(U$10&lt;'III. Inputs, Renewable Energy'!$U$17,U$10/'III. Inputs, Renewable Energy'!$U$17*$H$37,IF(U$10&gt;'III. Inputs, Renewable Energy'!$U$16,HLOOKUP('III. Inputs, Renewable Energy'!$U$16+'III. Inputs, Renewable Energy'!$U$17-U$10,$J$10:$BG$47,38),$H$37)),0)</f>
        <v>73605762.557680309</v>
      </c>
      <c r="V47" s="1703">
        <f>IFERROR(IF(V$10&lt;'III. Inputs, Renewable Energy'!$U$17,V$10/'III. Inputs, Renewable Energy'!$U$17*$H$37,IF(V$10&gt;'III. Inputs, Renewable Energy'!$U$16,HLOOKUP('III. Inputs, Renewable Energy'!$U$16+'III. Inputs, Renewable Energy'!$U$17-V$10,$J$10:$BG$47,38),$H$37)),0)</f>
        <v>79739576.104153663</v>
      </c>
      <c r="W47" s="1703">
        <f>IFERROR(IF(W$10&lt;'III. Inputs, Renewable Energy'!$U$17,W$10/'III. Inputs, Renewable Energy'!$U$17*$H$37,IF(W$10&gt;'III. Inputs, Renewable Energy'!$U$16,HLOOKUP('III. Inputs, Renewable Energy'!$U$16+'III. Inputs, Renewable Energy'!$U$17-W$10,$J$10:$BG$47,38),$H$37)),0)</f>
        <v>79739576.104153663</v>
      </c>
      <c r="X47" s="1703">
        <f>IFERROR(IF(X$10&lt;'III. Inputs, Renewable Energy'!$U$17,X$10/'III. Inputs, Renewable Energy'!$U$17*$H$37,IF(X$10&gt;'III. Inputs, Renewable Energy'!$U$16,HLOOKUP('III. Inputs, Renewable Energy'!$U$16+'III. Inputs, Renewable Energy'!$U$17-X$10,$J$10:$BG$47,38),$H$37)),0)</f>
        <v>79739576.104153663</v>
      </c>
      <c r="Y47" s="1703">
        <f>IFERROR(IF(Y$10&lt;'III. Inputs, Renewable Energy'!$U$17,Y$10/'III. Inputs, Renewable Energy'!$U$17*$H$37,IF(Y$10&gt;'III. Inputs, Renewable Energy'!$U$16,HLOOKUP('III. Inputs, Renewable Energy'!$U$16+'III. Inputs, Renewable Energy'!$U$17-Y$10,$J$10:$BG$47,38),$H$37)),0)</f>
        <v>79739576.104153663</v>
      </c>
      <c r="Z47" s="1703">
        <f>IFERROR(IF(Z$10&lt;'III. Inputs, Renewable Energy'!$U$17,Z$10/'III. Inputs, Renewable Energy'!$U$17*$H$37,IF(Z$10&gt;'III. Inputs, Renewable Energy'!$U$16,HLOOKUP('III. Inputs, Renewable Energy'!$U$16+'III. Inputs, Renewable Energy'!$U$17-Z$10,$J$10:$BG$47,38),$H$37)),0)</f>
        <v>79739576.104153663</v>
      </c>
      <c r="AA47" s="1703">
        <f>IFERROR(IF(AA$10&lt;'III. Inputs, Renewable Energy'!$U$17,AA$10/'III. Inputs, Renewable Energy'!$U$17*$H$37,IF(AA$10&gt;'III. Inputs, Renewable Energy'!$U$16,HLOOKUP('III. Inputs, Renewable Energy'!$U$16+'III. Inputs, Renewable Energy'!$U$17-AA$10,$J$10:$BG$47,38),$H$37)),0)</f>
        <v>79739576.104153663</v>
      </c>
      <c r="AB47" s="1703">
        <f>IFERROR(IF(AB$10&lt;'III. Inputs, Renewable Energy'!$U$17,AB$10/'III. Inputs, Renewable Energy'!$U$17*$H$37,IF(AB$10&gt;'III. Inputs, Renewable Energy'!$U$16,HLOOKUP('III. Inputs, Renewable Energy'!$U$16+'III. Inputs, Renewable Energy'!$U$17-AB$10,$J$10:$BG$47,38),$H$37)),0)</f>
        <v>79739576.104153663</v>
      </c>
      <c r="AC47" s="1703">
        <f>IFERROR(IF(AC$10&lt;'III. Inputs, Renewable Energy'!$U$17,AC$10/'III. Inputs, Renewable Energy'!$U$17*$H$37,IF(AC$10&gt;'III. Inputs, Renewable Energy'!$U$16,HLOOKUP('III. Inputs, Renewable Energy'!$U$16+'III. Inputs, Renewable Energy'!$U$17-AC$10,$J$10:$BG$47,38),$H$37)),0)</f>
        <v>79739576.104153663</v>
      </c>
      <c r="AD47" s="1703">
        <f>IFERROR(IF(AD$10&lt;'III. Inputs, Renewable Energy'!$U$17,AD$10/'III. Inputs, Renewable Energy'!$U$17*$H$37,IF(AD$10&gt;'III. Inputs, Renewable Energy'!$U$16,HLOOKUP('III. Inputs, Renewable Energy'!$U$16+'III. Inputs, Renewable Energy'!$U$17-AD$10,$J$10:$BG$47,38),$H$37)),0)</f>
        <v>73605762.557680309</v>
      </c>
      <c r="AE47" s="1703">
        <f>IFERROR(IF(AE$10&lt;'III. Inputs, Renewable Energy'!$U$17,AE$10/'III. Inputs, Renewable Energy'!$U$17*$H$37,IF(AE$10&gt;'III. Inputs, Renewable Energy'!$U$16,HLOOKUP('III. Inputs, Renewable Energy'!$U$16+'III. Inputs, Renewable Energy'!$U$17-AE$10,$J$10:$BG$47,38),$H$37)),0)</f>
        <v>67471949.01120694</v>
      </c>
      <c r="AF47" s="1703">
        <f>IFERROR(IF(AF$10&lt;'III. Inputs, Renewable Energy'!$U$17,AF$10/'III. Inputs, Renewable Energy'!$U$17*$H$37,IF(AF$10&gt;'III. Inputs, Renewable Energy'!$U$16,HLOOKUP('III. Inputs, Renewable Energy'!$U$16+'III. Inputs, Renewable Energy'!$U$17-AF$10,$J$10:$BG$47,38),$H$37)),0)</f>
        <v>61338135.464733593</v>
      </c>
      <c r="AG47" s="1703">
        <f>IFERROR(IF(AG$10&lt;'III. Inputs, Renewable Energy'!$U$17,AG$10/'III. Inputs, Renewable Energy'!$U$17*$H$37,IF(AG$10&gt;'III. Inputs, Renewable Energy'!$U$16,HLOOKUP('III. Inputs, Renewable Energy'!$U$16+'III. Inputs, Renewable Energy'!$U$17-AG$10,$J$10:$BG$47,38),$H$37)),0)</f>
        <v>55204321.918260224</v>
      </c>
      <c r="AH47" s="1703">
        <f>IFERROR(IF(AH$10&lt;'III. Inputs, Renewable Energy'!$U$17,AH$10/'III. Inputs, Renewable Energy'!$U$17*$H$37,IF(AH$10&gt;'III. Inputs, Renewable Energy'!$U$16,HLOOKUP('III. Inputs, Renewable Energy'!$U$16+'III. Inputs, Renewable Energy'!$U$17-AH$10,$J$10:$BG$47,38),$H$37)),0)</f>
        <v>49070508.37178687</v>
      </c>
      <c r="AI47" s="1703">
        <f>IFERROR(IF(AI$10&lt;'III. Inputs, Renewable Energy'!$U$17,AI$10/'III. Inputs, Renewable Energy'!$U$17*$H$37,IF(AI$10&gt;'III. Inputs, Renewable Energy'!$U$16,HLOOKUP('III. Inputs, Renewable Energy'!$U$16+'III. Inputs, Renewable Energy'!$U$17-AI$10,$J$10:$BG$47,38),$H$37)),0)</f>
        <v>42936694.825313509</v>
      </c>
      <c r="AJ47" s="1703">
        <f>IFERROR(IF(AJ$10&lt;'III. Inputs, Renewable Energy'!$U$17,AJ$10/'III. Inputs, Renewable Energy'!$U$17*$H$37,IF(AJ$10&gt;'III. Inputs, Renewable Energy'!$U$16,HLOOKUP('III. Inputs, Renewable Energy'!$U$16+'III. Inputs, Renewable Energy'!$U$17-AJ$10,$J$10:$BG$47,38),$H$37)),0)</f>
        <v>36802881.278840154</v>
      </c>
      <c r="AK47" s="1703">
        <f>IFERROR(IF(AK$10&lt;'III. Inputs, Renewable Energy'!$U$17,AK$10/'III. Inputs, Renewable Energy'!$U$17*$H$37,IF(AK$10&gt;'III. Inputs, Renewable Energy'!$U$16,HLOOKUP('III. Inputs, Renewable Energy'!$U$16+'III. Inputs, Renewable Energy'!$U$17-AK$10,$J$10:$BG$47,38),$H$37)),0)</f>
        <v>30669067.732366797</v>
      </c>
      <c r="AL47" s="1703">
        <f>IFERROR(IF(AL$10&lt;'III. Inputs, Renewable Energy'!$U$17,AL$10/'III. Inputs, Renewable Energy'!$U$17*$H$37,IF(AL$10&gt;'III. Inputs, Renewable Energy'!$U$16,HLOOKUP('III. Inputs, Renewable Energy'!$U$16+'III. Inputs, Renewable Energy'!$U$17-AL$10,$J$10:$BG$47,38),$H$37)),0)</f>
        <v>24535254.185893435</v>
      </c>
      <c r="AM47" s="1703">
        <f>IFERROR(IF(AM$10&lt;'III. Inputs, Renewable Energy'!$U$17,AM$10/'III. Inputs, Renewable Energy'!$U$17*$H$37,IF(AM$10&gt;'III. Inputs, Renewable Energy'!$U$16,HLOOKUP('III. Inputs, Renewable Energy'!$U$16+'III. Inputs, Renewable Energy'!$U$17-AM$10,$J$10:$BG$47,38),$H$37)),0)</f>
        <v>18401440.639420077</v>
      </c>
      <c r="AN47" s="1703">
        <f>IFERROR(IF(AN$10&lt;'III. Inputs, Renewable Energy'!$U$17,AN$10/'III. Inputs, Renewable Energy'!$U$17*$H$37,IF(AN$10&gt;'III. Inputs, Renewable Energy'!$U$16,HLOOKUP('III. Inputs, Renewable Energy'!$U$16+'III. Inputs, Renewable Energy'!$U$17-AN$10,$J$10:$BG$47,38),$H$37)),0)</f>
        <v>12267627.092946718</v>
      </c>
      <c r="AO47" s="1703">
        <f>IFERROR(IF(AO$10&lt;'III. Inputs, Renewable Energy'!$U$17,AO$10/'III. Inputs, Renewable Energy'!$U$17*$H$37,IF(AO$10&gt;'III. Inputs, Renewable Energy'!$U$16,HLOOKUP('III. Inputs, Renewable Energy'!$U$16+'III. Inputs, Renewable Energy'!$U$17-AO$10,$J$10:$BG$47,38),$H$37)),0)</f>
        <v>6133813.5464733588</v>
      </c>
      <c r="AP47" s="1703">
        <f>IFERROR(IF(AP$10&lt;'III. Inputs, Renewable Energy'!$U$17,AP$10/'III. Inputs, Renewable Energy'!$U$17*$H$37,IF(AP$10&gt;'III. Inputs, Renewable Energy'!$U$16,HLOOKUP('III. Inputs, Renewable Energy'!$U$16+'III. Inputs, Renewable Energy'!$U$17-AP$10,$J$10:$BG$47,38),$H$37)),0)</f>
        <v>0</v>
      </c>
      <c r="AQ47" s="1703">
        <f>IFERROR(IF(AQ$10&lt;'III. Inputs, Renewable Energy'!$U$17,AQ$10/'III. Inputs, Renewable Energy'!$U$17*$H$37,IF(AQ$10&gt;'III. Inputs, Renewable Energy'!$U$16,HLOOKUP('III. Inputs, Renewable Energy'!$U$16+'III. Inputs, Renewable Energy'!$U$17-AQ$10,$J$10:$BG$47,38),$H$37)),0)</f>
        <v>0</v>
      </c>
      <c r="AR47" s="1703">
        <f>IFERROR(IF(AR$10&lt;'III. Inputs, Renewable Energy'!$U$17,AR$10/'III. Inputs, Renewable Energy'!$U$17*$H$37,IF(AR$10&gt;'III. Inputs, Renewable Energy'!$U$16,HLOOKUP('III. Inputs, Renewable Energy'!$U$16+'III. Inputs, Renewable Energy'!$U$17-AR$10,$J$10:$BG$47,38),$H$37)),0)</f>
        <v>0</v>
      </c>
      <c r="AS47" s="1703">
        <f>IFERROR(IF(AS$10&lt;'III. Inputs, Renewable Energy'!$U$17,AS$10/'III. Inputs, Renewable Energy'!$U$17*$H$37,IF(AS$10&gt;'III. Inputs, Renewable Energy'!$U$16,HLOOKUP('III. Inputs, Renewable Energy'!$U$16+'III. Inputs, Renewable Energy'!$U$17-AS$10,$J$10:$BG$47,38),$H$37)),0)</f>
        <v>0</v>
      </c>
      <c r="AT47" s="1703">
        <f>IFERROR(IF(AT$10&lt;'III. Inputs, Renewable Energy'!$U$17,AT$10/'III. Inputs, Renewable Energy'!$U$17*$H$37,IF(AT$10&gt;'III. Inputs, Renewable Energy'!$U$16,HLOOKUP('III. Inputs, Renewable Energy'!$U$16+'III. Inputs, Renewable Energy'!$U$17-AT$10,$J$10:$BG$47,38),$H$37)),0)</f>
        <v>0</v>
      </c>
      <c r="AU47" s="1703">
        <f>IFERROR(IF(AU$10&lt;'III. Inputs, Renewable Energy'!$U$17,AU$10/'III. Inputs, Renewable Energy'!$U$17*$H$37,IF(AU$10&gt;'III. Inputs, Renewable Energy'!$U$16,HLOOKUP('III. Inputs, Renewable Energy'!$U$16+'III. Inputs, Renewable Energy'!$U$17-AU$10,$J$10:$BG$47,38),$H$37)),0)</f>
        <v>0</v>
      </c>
      <c r="AV47" s="1703">
        <f>IFERROR(IF(AV$10&lt;'III. Inputs, Renewable Energy'!$U$17,AV$10/'III. Inputs, Renewable Energy'!$U$17*$H$37,IF(AV$10&gt;'III. Inputs, Renewable Energy'!$U$16,HLOOKUP('III. Inputs, Renewable Energy'!$U$16+'III. Inputs, Renewable Energy'!$U$17-AV$10,$J$10:$BG$47,38),$H$37)),0)</f>
        <v>0</v>
      </c>
      <c r="AW47" s="1703">
        <f>IFERROR(IF(AW$10&lt;'III. Inputs, Renewable Energy'!$U$17,AW$10/'III. Inputs, Renewable Energy'!$U$17*$H$37,IF(AW$10&gt;'III. Inputs, Renewable Energy'!$U$16,HLOOKUP('III. Inputs, Renewable Energy'!$U$16+'III. Inputs, Renewable Energy'!$U$17-AW$10,$J$10:$BG$47,38),$H$37)),0)</f>
        <v>0</v>
      </c>
      <c r="AX47" s="1703">
        <f>IFERROR(IF(AX$10&lt;'III. Inputs, Renewable Energy'!$U$17,AX$10/'III. Inputs, Renewable Energy'!$U$17*$H$37,IF(AX$10&gt;'III. Inputs, Renewable Energy'!$U$16,HLOOKUP('III. Inputs, Renewable Energy'!$U$16+'III. Inputs, Renewable Energy'!$U$17-AX$10,$J$10:$BG$47,38),$H$37)),0)</f>
        <v>0</v>
      </c>
      <c r="AY47" s="1703">
        <f>IFERROR(IF(AY$10&lt;'III. Inputs, Renewable Energy'!$U$17,AY$10/'III. Inputs, Renewable Energy'!$U$17*$H$37,IF(AY$10&gt;'III. Inputs, Renewable Energy'!$U$16,HLOOKUP('III. Inputs, Renewable Energy'!$U$16+'III. Inputs, Renewable Energy'!$U$17-AY$10,$J$10:$BG$47,38),$H$37)),0)</f>
        <v>0</v>
      </c>
      <c r="AZ47" s="1703">
        <f>IFERROR(IF(AZ$10&lt;'III. Inputs, Renewable Energy'!$U$17,AZ$10/'III. Inputs, Renewable Energy'!$U$17*$H$37,IF(AZ$10&gt;'III. Inputs, Renewable Energy'!$U$16,HLOOKUP('III. Inputs, Renewable Energy'!$U$16+'III. Inputs, Renewable Energy'!$U$17-AZ$10,$J$10:$BG$47,38),$H$37)),0)</f>
        <v>0</v>
      </c>
      <c r="BA47" s="1703">
        <f>IFERROR(IF(BA$10&lt;'III. Inputs, Renewable Energy'!$U$17,BA$10/'III. Inputs, Renewable Energy'!$U$17*$H$37,IF(BA$10&gt;'III. Inputs, Renewable Energy'!$U$16,HLOOKUP('III. Inputs, Renewable Energy'!$U$16+'III. Inputs, Renewable Energy'!$U$17-BA$10,$J$10:$BG$47,38),$H$37)),0)</f>
        <v>0</v>
      </c>
      <c r="BB47" s="1703">
        <f>IFERROR(IF(BB$10&lt;'III. Inputs, Renewable Energy'!$U$17,BB$10/'III. Inputs, Renewable Energy'!$U$17*$H$37,IF(BB$10&gt;'III. Inputs, Renewable Energy'!$U$16,HLOOKUP('III. Inputs, Renewable Energy'!$U$16+'III. Inputs, Renewable Energy'!$U$17-BB$10,$J$10:$BG$47,38),$H$37)),0)</f>
        <v>0</v>
      </c>
      <c r="BC47" s="1703">
        <f>IFERROR(IF(BC$10&lt;'III. Inputs, Renewable Energy'!$U$17,BC$10/'III. Inputs, Renewable Energy'!$U$17*$H$37,IF(BC$10&gt;'III. Inputs, Renewable Energy'!$U$16,HLOOKUP('III. Inputs, Renewable Energy'!$U$16+'III. Inputs, Renewable Energy'!$U$17-BC$10,$J$10:$BG$47,38),$H$37)),0)</f>
        <v>0</v>
      </c>
      <c r="BD47" s="1703">
        <f>IFERROR(IF(BD$10&lt;'III. Inputs, Renewable Energy'!$U$17,BD$10/'III. Inputs, Renewable Energy'!$U$17*$H$37,IF(BD$10&gt;'III. Inputs, Renewable Energy'!$U$16,HLOOKUP('III. Inputs, Renewable Energy'!$U$16+'III. Inputs, Renewable Energy'!$U$17-BD$10,$J$10:$BG$47,38),$H$37)),0)</f>
        <v>0</v>
      </c>
      <c r="BE47" s="1703">
        <f>IFERROR(IF(BE$10&lt;'III. Inputs, Renewable Energy'!$U$17,BE$10/'III. Inputs, Renewable Energy'!$U$17*$H$37,IF(BE$10&gt;'III. Inputs, Renewable Energy'!$U$16,HLOOKUP('III. Inputs, Renewable Energy'!$U$16+'III. Inputs, Renewable Energy'!$U$17-BE$10,$J$10:$BG$47,38),$H$37)),0)</f>
        <v>0</v>
      </c>
      <c r="BF47" s="1703">
        <f>IFERROR(IF(BF$10&lt;'III. Inputs, Renewable Energy'!$U$17,BF$10/'III. Inputs, Renewable Energy'!$U$17*$H$37,IF(BF$10&gt;'III. Inputs, Renewable Energy'!$U$16,HLOOKUP('III. Inputs, Renewable Energy'!$U$16+'III. Inputs, Renewable Energy'!$U$17-BF$10,$J$10:$BG$47,38),$H$37)),0)</f>
        <v>0</v>
      </c>
      <c r="BG47" s="1703">
        <f>IFERROR(IF(BG$10&lt;'III. Inputs, Renewable Energy'!$U$17,BG$10/'III. Inputs, Renewable Energy'!$U$17*$H$37,IF(BG$10&gt;'III. Inputs, Renewable Energy'!$U$16,HLOOKUP('III. Inputs, Renewable Energy'!$U$16+'III. Inputs, Renewable Energy'!$U$17-BG$10,$J$10:$BG$47,38),$H$37)),0)</f>
        <v>0</v>
      </c>
    </row>
    <row r="48" spans="1:60" ht="13.15" x14ac:dyDescent="0.4">
      <c r="A48" s="1368"/>
      <c r="B48" s="1368"/>
      <c r="C48" s="1368"/>
      <c r="D48" s="1389" t="str">
        <f>'III. Inputs, Renewable Energy'!V201&amp;"-month worth of payments guaranteed"</f>
        <v>3-month worth of payments guaranteed</v>
      </c>
      <c r="E48" s="1382"/>
      <c r="F48" s="1384" t="s">
        <v>725</v>
      </c>
      <c r="G48" s="1478"/>
      <c r="H48" s="1382"/>
      <c r="I48" s="1707"/>
      <c r="J48" s="1703">
        <f>J47/12*'III. Inputs, Renewable Energy'!$V$201</f>
        <v>1533453.3866183397</v>
      </c>
      <c r="K48" s="1703">
        <f>K47/12*'III. Inputs, Renewable Energy'!$V$201</f>
        <v>3066906.7732366794</v>
      </c>
      <c r="L48" s="1703">
        <f>L47/12*'III. Inputs, Renewable Energy'!$V$201</f>
        <v>4600360.1598550193</v>
      </c>
      <c r="M48" s="1703">
        <f>M47/12*'III. Inputs, Renewable Energy'!$V$201</f>
        <v>6133813.5464733588</v>
      </c>
      <c r="N48" s="1703">
        <f>N47/12*'III. Inputs, Renewable Energy'!$V$201</f>
        <v>7667266.9330916991</v>
      </c>
      <c r="O48" s="1703">
        <f>O47/12*'III. Inputs, Renewable Energy'!$V$201</f>
        <v>9200720.3197100386</v>
      </c>
      <c r="P48" s="1703">
        <f>P47/12*'III. Inputs, Renewable Energy'!$V$201</f>
        <v>10734173.706328377</v>
      </c>
      <c r="Q48" s="1703">
        <f>Q47/12*'III. Inputs, Renewable Energy'!$V$201</f>
        <v>12267627.092946718</v>
      </c>
      <c r="R48" s="1703">
        <f>R47/12*'III. Inputs, Renewable Energy'!$V$201</f>
        <v>13801080.479565054</v>
      </c>
      <c r="S48" s="1703">
        <f>S47/12*'III. Inputs, Renewable Energy'!$V$201</f>
        <v>15334533.866183398</v>
      </c>
      <c r="T48" s="1703">
        <f>T47/12*'III. Inputs, Renewable Energy'!$V$201</f>
        <v>16867987.252801735</v>
      </c>
      <c r="U48" s="1703">
        <f>U47/12*'III. Inputs, Renewable Energy'!$V$201</f>
        <v>18401440.639420077</v>
      </c>
      <c r="V48" s="1703">
        <f>V47/12*'III. Inputs, Renewable Energy'!$V$201</f>
        <v>19934894.026038416</v>
      </c>
      <c r="W48" s="1703">
        <f>W47/12*'III. Inputs, Renewable Energy'!$V$201</f>
        <v>19934894.026038416</v>
      </c>
      <c r="X48" s="1703">
        <f>X47/12*'III. Inputs, Renewable Energy'!$V$201</f>
        <v>19934894.026038416</v>
      </c>
      <c r="Y48" s="1703">
        <f>Y47/12*'III. Inputs, Renewable Energy'!$V$201</f>
        <v>19934894.026038416</v>
      </c>
      <c r="Z48" s="1703">
        <f>Z47/12*'III. Inputs, Renewable Energy'!$V$201</f>
        <v>19934894.026038416</v>
      </c>
      <c r="AA48" s="1703">
        <f>AA47/12*'III. Inputs, Renewable Energy'!$V$201</f>
        <v>19934894.026038416</v>
      </c>
      <c r="AB48" s="1703">
        <f>AB47/12*'III. Inputs, Renewable Energy'!$V$201</f>
        <v>19934894.026038416</v>
      </c>
      <c r="AC48" s="1703">
        <f>AC47/12*'III. Inputs, Renewable Energy'!$V$201</f>
        <v>19934894.026038416</v>
      </c>
      <c r="AD48" s="1703">
        <f>AD47/12*'III. Inputs, Renewable Energy'!$V$201</f>
        <v>18401440.639420077</v>
      </c>
      <c r="AE48" s="1703">
        <f>AE47/12*'III. Inputs, Renewable Energy'!$V$201</f>
        <v>16867987.252801735</v>
      </c>
      <c r="AF48" s="1703">
        <f>AF47/12*'III. Inputs, Renewable Energy'!$V$201</f>
        <v>15334533.866183398</v>
      </c>
      <c r="AG48" s="1703">
        <f>AG47/12*'III. Inputs, Renewable Energy'!$V$201</f>
        <v>13801080.479565054</v>
      </c>
      <c r="AH48" s="1703">
        <f>AH47/12*'III. Inputs, Renewable Energy'!$V$201</f>
        <v>12267627.092946718</v>
      </c>
      <c r="AI48" s="1703">
        <f>AI47/12*'III. Inputs, Renewable Energy'!$V$201</f>
        <v>10734173.706328377</v>
      </c>
      <c r="AJ48" s="1703">
        <f>AJ47/12*'III. Inputs, Renewable Energy'!$V$201</f>
        <v>9200720.3197100386</v>
      </c>
      <c r="AK48" s="1703">
        <f>AK47/12*'III. Inputs, Renewable Energy'!$V$201</f>
        <v>7667266.9330916991</v>
      </c>
      <c r="AL48" s="1703">
        <f>AL47/12*'III. Inputs, Renewable Energy'!$V$201</f>
        <v>6133813.5464733588</v>
      </c>
      <c r="AM48" s="1703">
        <f>AM47/12*'III. Inputs, Renewable Energy'!$V$201</f>
        <v>4600360.1598550193</v>
      </c>
      <c r="AN48" s="1703">
        <f>AN47/12*'III. Inputs, Renewable Energy'!$V$201</f>
        <v>3066906.7732366794</v>
      </c>
      <c r="AO48" s="1703">
        <f>AO47/12*'III. Inputs, Renewable Energy'!$V$201</f>
        <v>1533453.3866183397</v>
      </c>
      <c r="AP48" s="1703">
        <f>AP47/12*'III. Inputs, Renewable Energy'!$V$201</f>
        <v>0</v>
      </c>
      <c r="AQ48" s="1703">
        <f>AQ47/12*'III. Inputs, Renewable Energy'!$V$201</f>
        <v>0</v>
      </c>
      <c r="AR48" s="1703">
        <f>AR47/12*'III. Inputs, Renewable Energy'!$V$201</f>
        <v>0</v>
      </c>
      <c r="AS48" s="1703">
        <f>AS47/12*'III. Inputs, Renewable Energy'!$V$201</f>
        <v>0</v>
      </c>
      <c r="AT48" s="1703">
        <f>AT47/12*'III. Inputs, Renewable Energy'!$V$201</f>
        <v>0</v>
      </c>
      <c r="AU48" s="1703">
        <f>AU47/12*'III. Inputs, Renewable Energy'!$V$201</f>
        <v>0</v>
      </c>
      <c r="AV48" s="1703">
        <f>AV47/12*'III. Inputs, Renewable Energy'!$V$201</f>
        <v>0</v>
      </c>
      <c r="AW48" s="1703">
        <f>AW47/12*'III. Inputs, Renewable Energy'!$V$201</f>
        <v>0</v>
      </c>
      <c r="AX48" s="1703">
        <f>AX47/12*'III. Inputs, Renewable Energy'!$V$201</f>
        <v>0</v>
      </c>
      <c r="AY48" s="1703">
        <f>AY47/12*'III. Inputs, Renewable Energy'!$V$201</f>
        <v>0</v>
      </c>
      <c r="AZ48" s="1703">
        <f>AZ47/12*'III. Inputs, Renewable Energy'!$V$201</f>
        <v>0</v>
      </c>
      <c r="BA48" s="1703">
        <f>BA47/12*'III. Inputs, Renewable Energy'!$V$201</f>
        <v>0</v>
      </c>
      <c r="BB48" s="1703">
        <f>BB47/12*'III. Inputs, Renewable Energy'!$V$201</f>
        <v>0</v>
      </c>
      <c r="BC48" s="1703">
        <f>BC47/12*'III. Inputs, Renewable Energy'!$V$201</f>
        <v>0</v>
      </c>
      <c r="BD48" s="1703">
        <f>BD47/12*'III. Inputs, Renewable Energy'!$V$201</f>
        <v>0</v>
      </c>
      <c r="BE48" s="1703">
        <f>BE47/12*'III. Inputs, Renewable Energy'!$V$201</f>
        <v>0</v>
      </c>
      <c r="BF48" s="1703">
        <f>BF47/12*'III. Inputs, Renewable Energy'!$V$201</f>
        <v>0</v>
      </c>
      <c r="BG48" s="1703">
        <f>BG47/12*'III. Inputs, Renewable Energy'!$V$201</f>
        <v>0</v>
      </c>
    </row>
    <row r="49" spans="1:60" ht="13.15" x14ac:dyDescent="0.4">
      <c r="A49" s="1368"/>
      <c r="B49" s="1368"/>
      <c r="C49" s="1368"/>
      <c r="D49" s="1389" t="s">
        <v>465</v>
      </c>
      <c r="E49" s="1382"/>
      <c r="F49" s="1384" t="s">
        <v>725</v>
      </c>
      <c r="G49" s="1478"/>
      <c r="H49" s="1382"/>
      <c r="I49" s="1707"/>
      <c r="J49" s="1703">
        <f>J48*'III. Inputs, Renewable Energy'!$V$200</f>
        <v>70538.855784443629</v>
      </c>
      <c r="K49" s="1703">
        <f>K48*'III. Inputs, Renewable Energy'!$V$200</f>
        <v>141077.71156888726</v>
      </c>
      <c r="L49" s="1703">
        <f>L48*'III. Inputs, Renewable Energy'!$V$200</f>
        <v>211616.5673533309</v>
      </c>
      <c r="M49" s="1703">
        <f>M48*'III. Inputs, Renewable Energy'!$V$200</f>
        <v>282155.42313777452</v>
      </c>
      <c r="N49" s="1703">
        <f>N48*'III. Inputs, Renewable Energy'!$V$200</f>
        <v>352694.27892221819</v>
      </c>
      <c r="O49" s="1703">
        <f>O48*'III. Inputs, Renewable Energy'!$V$200</f>
        <v>423233.1347066618</v>
      </c>
      <c r="P49" s="1703">
        <f>P48*'III. Inputs, Renewable Energy'!$V$200</f>
        <v>493771.99049110542</v>
      </c>
      <c r="Q49" s="1703">
        <f>Q48*'III. Inputs, Renewable Energy'!$V$200</f>
        <v>564310.84627554903</v>
      </c>
      <c r="R49" s="1703">
        <f>R48*'III. Inputs, Renewable Energy'!$V$200</f>
        <v>634849.70205999259</v>
      </c>
      <c r="S49" s="1703">
        <f>S48*'III. Inputs, Renewable Energy'!$V$200</f>
        <v>705388.55784443638</v>
      </c>
      <c r="T49" s="1703">
        <f>T48*'III. Inputs, Renewable Energy'!$V$200</f>
        <v>775927.41362887993</v>
      </c>
      <c r="U49" s="1703">
        <f>U48*'III. Inputs, Renewable Energy'!$V$200</f>
        <v>846466.26941332361</v>
      </c>
      <c r="V49" s="1703">
        <f>V48*'III. Inputs, Renewable Energy'!$V$200</f>
        <v>917005.12519776728</v>
      </c>
      <c r="W49" s="1703">
        <f>W48*'III. Inputs, Renewable Energy'!$V$200</f>
        <v>917005.12519776728</v>
      </c>
      <c r="X49" s="1703">
        <f>X48*'III. Inputs, Renewable Energy'!$V$200</f>
        <v>917005.12519776728</v>
      </c>
      <c r="Y49" s="1703">
        <f>Y48*'III. Inputs, Renewable Energy'!$V$200</f>
        <v>917005.12519776728</v>
      </c>
      <c r="Z49" s="1703">
        <f>Z48*'III. Inputs, Renewable Energy'!$V$200</f>
        <v>917005.12519776728</v>
      </c>
      <c r="AA49" s="1703">
        <f>AA48*'III. Inputs, Renewable Energy'!$V$200</f>
        <v>917005.12519776728</v>
      </c>
      <c r="AB49" s="1703">
        <f>AB48*'III. Inputs, Renewable Energy'!$V$200</f>
        <v>917005.12519776728</v>
      </c>
      <c r="AC49" s="1703">
        <f>AC48*'III. Inputs, Renewable Energy'!$V$200</f>
        <v>917005.12519776728</v>
      </c>
      <c r="AD49" s="1703">
        <f>AD48*'III. Inputs, Renewable Energy'!$V$200</f>
        <v>846466.26941332361</v>
      </c>
      <c r="AE49" s="1703">
        <f>AE48*'III. Inputs, Renewable Energy'!$V$200</f>
        <v>775927.41362887993</v>
      </c>
      <c r="AF49" s="1703">
        <f>AF48*'III. Inputs, Renewable Energy'!$V$200</f>
        <v>705388.55784443638</v>
      </c>
      <c r="AG49" s="1703">
        <f>AG48*'III. Inputs, Renewable Energy'!$V$200</f>
        <v>634849.70205999259</v>
      </c>
      <c r="AH49" s="1703">
        <f>AH48*'III. Inputs, Renewable Energy'!$V$200</f>
        <v>564310.84627554903</v>
      </c>
      <c r="AI49" s="1703">
        <f>AI48*'III. Inputs, Renewable Energy'!$V$200</f>
        <v>493771.99049110542</v>
      </c>
      <c r="AJ49" s="1703">
        <f>AJ48*'III. Inputs, Renewable Energy'!$V$200</f>
        <v>423233.1347066618</v>
      </c>
      <c r="AK49" s="1703">
        <f>AK48*'III. Inputs, Renewable Energy'!$V$200</f>
        <v>352694.27892221819</v>
      </c>
      <c r="AL49" s="1703">
        <f>AL48*'III. Inputs, Renewable Energy'!$V$200</f>
        <v>282155.42313777452</v>
      </c>
      <c r="AM49" s="1703">
        <f>AM48*'III. Inputs, Renewable Energy'!$V$200</f>
        <v>211616.5673533309</v>
      </c>
      <c r="AN49" s="1703">
        <f>AN48*'III. Inputs, Renewable Energy'!$V$200</f>
        <v>141077.71156888726</v>
      </c>
      <c r="AO49" s="1703">
        <f>AO48*'III. Inputs, Renewable Energy'!$V$200</f>
        <v>70538.855784443629</v>
      </c>
      <c r="AP49" s="1703">
        <f>AP48*'III. Inputs, Renewable Energy'!$V$200</f>
        <v>0</v>
      </c>
      <c r="AQ49" s="1703">
        <f>AQ48*'III. Inputs, Renewable Energy'!$V$200</f>
        <v>0</v>
      </c>
      <c r="AR49" s="1703">
        <f>AR48*'III. Inputs, Renewable Energy'!$V$200</f>
        <v>0</v>
      </c>
      <c r="AS49" s="1703">
        <f>AS48*'III. Inputs, Renewable Energy'!$V$200</f>
        <v>0</v>
      </c>
      <c r="AT49" s="1703">
        <f>AT48*'III. Inputs, Renewable Energy'!$V$200</f>
        <v>0</v>
      </c>
      <c r="AU49" s="1703">
        <f>AU48*'III. Inputs, Renewable Energy'!$V$200</f>
        <v>0</v>
      </c>
      <c r="AV49" s="1703">
        <f>AV48*'III. Inputs, Renewable Energy'!$V$200</f>
        <v>0</v>
      </c>
      <c r="AW49" s="1703">
        <f>AW48*'III. Inputs, Renewable Energy'!$V$200</f>
        <v>0</v>
      </c>
      <c r="AX49" s="1703">
        <f>AX48*'III. Inputs, Renewable Energy'!$V$200</f>
        <v>0</v>
      </c>
      <c r="AY49" s="1703">
        <f>AY48*'III. Inputs, Renewable Energy'!$V$200</f>
        <v>0</v>
      </c>
      <c r="AZ49" s="1703">
        <f>AZ48*'III. Inputs, Renewable Energy'!$V$200</f>
        <v>0</v>
      </c>
      <c r="BA49" s="1703">
        <f>BA48*'III. Inputs, Renewable Energy'!$V$200</f>
        <v>0</v>
      </c>
      <c r="BB49" s="1703">
        <f>BB48*'III. Inputs, Renewable Energy'!$V$200</f>
        <v>0</v>
      </c>
      <c r="BC49" s="1703">
        <f>BC48*'III. Inputs, Renewable Energy'!$V$200</f>
        <v>0</v>
      </c>
      <c r="BD49" s="1703">
        <f>BD48*'III. Inputs, Renewable Energy'!$V$200</f>
        <v>0</v>
      </c>
      <c r="BE49" s="1703">
        <f>BE48*'III. Inputs, Renewable Energy'!$V$200</f>
        <v>0</v>
      </c>
      <c r="BF49" s="1703">
        <f>BF48*'III. Inputs, Renewable Energy'!$V$200</f>
        <v>0</v>
      </c>
      <c r="BG49" s="1703">
        <f>BG48*'III. Inputs, Renewable Energy'!$V$200</f>
        <v>0</v>
      </c>
    </row>
    <row r="50" spans="1:60" ht="13.15" x14ac:dyDescent="0.4">
      <c r="A50" s="1368"/>
      <c r="B50" s="1368"/>
      <c r="C50" s="1368"/>
      <c r="D50" s="1477"/>
      <c r="E50" s="1382"/>
      <c r="F50" s="1385"/>
      <c r="G50" s="1478"/>
      <c r="H50" s="1382"/>
      <c r="I50" s="1707"/>
      <c r="J50" s="1703"/>
      <c r="K50" s="1478"/>
      <c r="L50" s="1478"/>
      <c r="M50" s="1478"/>
      <c r="N50" s="1478"/>
      <c r="O50" s="1478"/>
      <c r="P50" s="1478"/>
      <c r="Q50" s="1478"/>
      <c r="R50" s="1478"/>
      <c r="S50" s="1478"/>
      <c r="T50" s="1478"/>
      <c r="U50" s="1478"/>
      <c r="V50" s="1478"/>
      <c r="W50" s="1478"/>
      <c r="X50" s="1478"/>
      <c r="Y50" s="1478"/>
      <c r="Z50" s="1478"/>
      <c r="AA50" s="1478"/>
      <c r="AB50" s="1478"/>
      <c r="AC50" s="1478"/>
      <c r="AD50" s="1478"/>
      <c r="AE50" s="1478"/>
      <c r="AF50" s="1478"/>
      <c r="AG50" s="1478"/>
      <c r="AH50" s="1478"/>
      <c r="AI50" s="1478"/>
      <c r="AJ50" s="1478"/>
      <c r="AK50" s="1478"/>
      <c r="AL50" s="1478"/>
      <c r="AM50" s="1478"/>
      <c r="AN50" s="1478"/>
      <c r="AO50" s="1478"/>
      <c r="AP50" s="1478"/>
      <c r="AQ50" s="1478"/>
      <c r="AR50" s="1478"/>
      <c r="AS50" s="1478"/>
      <c r="AT50" s="1478"/>
      <c r="AU50" s="1478"/>
      <c r="AV50" s="1478"/>
      <c r="AW50" s="1478"/>
      <c r="AX50" s="1478"/>
      <c r="AY50" s="1478"/>
      <c r="AZ50" s="1478"/>
      <c r="BA50" s="1478"/>
      <c r="BB50" s="1478"/>
      <c r="BC50" s="1478"/>
      <c r="BD50" s="1478"/>
      <c r="BE50" s="1478"/>
      <c r="BF50" s="1478"/>
      <c r="BG50" s="1478"/>
    </row>
    <row r="51" spans="1:60" ht="13.15" x14ac:dyDescent="0.4">
      <c r="A51" s="1368"/>
      <c r="B51" s="1368"/>
      <c r="C51" s="1368"/>
      <c r="D51" s="1479" t="s">
        <v>618</v>
      </c>
      <c r="E51" s="1480"/>
      <c r="F51" s="1481" t="s">
        <v>725</v>
      </c>
      <c r="G51" s="1480"/>
      <c r="H51" s="1480"/>
      <c r="I51" s="1704">
        <f>NPV('III. Inputs, Renewable Energy'!$U$19,J49:BG49)</f>
        <v>6682776.850400799</v>
      </c>
      <c r="J51" s="1703"/>
      <c r="K51" s="1478"/>
      <c r="L51" s="1478"/>
      <c r="M51" s="1478"/>
      <c r="N51" s="1478"/>
      <c r="O51" s="1478"/>
      <c r="P51" s="1478"/>
      <c r="Q51" s="1478"/>
      <c r="R51" s="1478"/>
      <c r="S51" s="1478"/>
      <c r="T51" s="1478"/>
      <c r="U51" s="1478"/>
      <c r="V51" s="1478"/>
      <c r="W51" s="1478"/>
      <c r="X51" s="1478"/>
      <c r="Y51" s="1478"/>
      <c r="Z51" s="1478"/>
      <c r="AA51" s="1478"/>
      <c r="AB51" s="1478"/>
      <c r="AC51" s="1478"/>
      <c r="AD51" s="1478"/>
      <c r="AE51" s="1478"/>
      <c r="AF51" s="1478"/>
      <c r="AG51" s="1478"/>
      <c r="AH51" s="1478"/>
      <c r="AI51" s="1478"/>
      <c r="AJ51" s="1478"/>
      <c r="AK51" s="1478"/>
      <c r="AL51" s="1478"/>
      <c r="AM51" s="1478"/>
      <c r="AN51" s="1478"/>
      <c r="AO51" s="1478"/>
      <c r="AP51" s="1478"/>
      <c r="AQ51" s="1478"/>
      <c r="AR51" s="1478"/>
      <c r="AS51" s="1478"/>
      <c r="AT51" s="1478"/>
      <c r="AU51" s="1478"/>
      <c r="AV51" s="1478"/>
      <c r="AW51" s="1478"/>
      <c r="AX51" s="1478"/>
      <c r="AY51" s="1478"/>
      <c r="AZ51" s="1478"/>
      <c r="BA51" s="1478"/>
      <c r="BB51" s="1478"/>
      <c r="BC51" s="1478"/>
      <c r="BD51" s="1478"/>
      <c r="BE51" s="1478"/>
      <c r="BF51" s="1478"/>
      <c r="BG51" s="1478"/>
    </row>
    <row r="52" spans="1:60" ht="13.15" x14ac:dyDescent="0.4">
      <c r="A52" s="1368"/>
      <c r="B52" s="1368"/>
      <c r="C52" s="1368"/>
      <c r="D52" s="1482" t="s">
        <v>466</v>
      </c>
      <c r="E52" s="1483"/>
      <c r="F52" s="1484" t="s">
        <v>725</v>
      </c>
      <c r="G52" s="1483"/>
      <c r="H52" s="1483"/>
      <c r="I52" s="1705">
        <f>H37</f>
        <v>79739576.104153663</v>
      </c>
      <c r="J52" s="1703"/>
      <c r="K52" s="1478"/>
      <c r="L52" s="1478"/>
      <c r="M52" s="1478"/>
      <c r="N52" s="1478"/>
      <c r="O52" s="1478"/>
      <c r="P52" s="1478"/>
      <c r="Q52" s="1478"/>
      <c r="R52" s="1478"/>
      <c r="S52" s="1478"/>
      <c r="T52" s="1478"/>
      <c r="U52" s="1478"/>
      <c r="V52" s="1478"/>
      <c r="W52" s="1478"/>
      <c r="X52" s="1478"/>
      <c r="Y52" s="1478"/>
      <c r="Z52" s="1478"/>
      <c r="AA52" s="1478"/>
      <c r="AB52" s="1478"/>
      <c r="AC52" s="1478"/>
      <c r="AD52" s="1478"/>
      <c r="AE52" s="1478"/>
      <c r="AF52" s="1478"/>
      <c r="AG52" s="1478"/>
      <c r="AH52" s="1478"/>
      <c r="AI52" s="1478"/>
      <c r="AJ52" s="1478"/>
      <c r="AK52" s="1478"/>
      <c r="AL52" s="1478"/>
      <c r="AM52" s="1478"/>
      <c r="AN52" s="1478"/>
      <c r="AO52" s="1478"/>
      <c r="AP52" s="1478"/>
      <c r="AQ52" s="1478"/>
      <c r="AR52" s="1478"/>
      <c r="AS52" s="1478"/>
      <c r="AT52" s="1478"/>
      <c r="AU52" s="1478"/>
      <c r="AV52" s="1478"/>
      <c r="AW52" s="1478"/>
      <c r="AX52" s="1478"/>
      <c r="AY52" s="1478"/>
      <c r="AZ52" s="1478"/>
      <c r="BA52" s="1478"/>
      <c r="BB52" s="1478"/>
      <c r="BC52" s="1478"/>
      <c r="BD52" s="1478"/>
      <c r="BE52" s="1478"/>
      <c r="BF52" s="1478"/>
      <c r="BG52" s="1478"/>
    </row>
    <row r="53" spans="1:60" ht="13.15" x14ac:dyDescent="0.4">
      <c r="A53" s="1368"/>
      <c r="B53" s="1368"/>
      <c r="C53" s="1368"/>
      <c r="D53" s="1477"/>
      <c r="E53" s="1382"/>
      <c r="F53" s="1385"/>
      <c r="G53" s="1478"/>
      <c r="H53" s="1382"/>
      <c r="I53" s="1707"/>
      <c r="J53" s="1703"/>
      <c r="K53" s="1478"/>
      <c r="L53" s="1478"/>
      <c r="M53" s="1478"/>
      <c r="N53" s="1478"/>
      <c r="O53" s="1478"/>
      <c r="P53" s="1478"/>
      <c r="Q53" s="1478"/>
      <c r="R53" s="1478"/>
      <c r="S53" s="1478"/>
      <c r="T53" s="1478"/>
      <c r="U53" s="1478"/>
      <c r="V53" s="1478"/>
      <c r="W53" s="1478"/>
      <c r="X53" s="1478"/>
      <c r="Y53" s="1478"/>
      <c r="Z53" s="1478"/>
      <c r="AA53" s="1478"/>
      <c r="AB53" s="1478"/>
      <c r="AC53" s="1478"/>
      <c r="AD53" s="1478"/>
      <c r="AE53" s="1478"/>
      <c r="AF53" s="1478"/>
      <c r="AG53" s="1478"/>
      <c r="AH53" s="1478"/>
      <c r="AI53" s="1478"/>
      <c r="AJ53" s="1478"/>
      <c r="AK53" s="1478"/>
      <c r="AL53" s="1478"/>
      <c r="AM53" s="1478"/>
      <c r="AN53" s="1478"/>
      <c r="AO53" s="1478"/>
      <c r="AP53" s="1478"/>
      <c r="AQ53" s="1478"/>
      <c r="AR53" s="1478"/>
      <c r="AS53" s="1478"/>
      <c r="AT53" s="1478"/>
      <c r="AU53" s="1478"/>
      <c r="AV53" s="1478"/>
      <c r="AW53" s="1478"/>
      <c r="AX53" s="1478"/>
      <c r="AY53" s="1478"/>
      <c r="AZ53" s="1478"/>
      <c r="BA53" s="1478"/>
      <c r="BB53" s="1478"/>
      <c r="BC53" s="1478"/>
      <c r="BD53" s="1478"/>
      <c r="BE53" s="1478"/>
      <c r="BF53" s="1478"/>
      <c r="BG53" s="1478"/>
    </row>
    <row r="54" spans="1:60" s="199" customFormat="1" ht="12.75" customHeight="1" x14ac:dyDescent="0.4">
      <c r="A54" s="13" t="s">
        <v>688</v>
      </c>
      <c r="B54" s="13"/>
      <c r="C54" s="13"/>
      <c r="D54" s="13"/>
      <c r="E54" s="13"/>
      <c r="F54" s="13"/>
      <c r="G54" s="13"/>
      <c r="H54" s="13"/>
      <c r="I54" s="13"/>
      <c r="J54" s="13"/>
      <c r="K54" s="13"/>
      <c r="L54" s="14"/>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363"/>
    </row>
    <row r="55" spans="1:60" x14ac:dyDescent="0.35">
      <c r="A55" s="1368"/>
      <c r="B55" s="1368"/>
      <c r="C55" s="1368"/>
      <c r="D55" s="1368"/>
      <c r="E55" s="1368"/>
      <c r="F55" s="1368"/>
      <c r="G55" s="1368"/>
      <c r="H55" s="1368"/>
      <c r="I55" s="1368"/>
      <c r="J55" s="1368"/>
      <c r="K55" s="1368"/>
      <c r="L55" s="1368"/>
      <c r="M55" s="1368"/>
      <c r="N55" s="1368"/>
      <c r="O55" s="1368"/>
      <c r="P55" s="1368"/>
      <c r="Q55" s="1368"/>
      <c r="R55" s="1368"/>
      <c r="S55" s="1368"/>
      <c r="T55" s="1368"/>
      <c r="U55" s="1368"/>
      <c r="V55" s="1368"/>
      <c r="W55" s="1368"/>
      <c r="X55" s="1368"/>
      <c r="Y55" s="1368"/>
      <c r="Z55" s="1368"/>
      <c r="AA55" s="1368"/>
      <c r="AB55" s="1368"/>
      <c r="AC55" s="1368"/>
      <c r="AD55" s="1368"/>
      <c r="AE55" s="1368"/>
      <c r="AF55" s="1368"/>
      <c r="AG55" s="1368"/>
      <c r="AH55" s="1368"/>
      <c r="AI55" s="1368"/>
      <c r="AJ55" s="1368"/>
      <c r="AK55" s="1368"/>
      <c r="AL55" s="1368"/>
      <c r="AM55" s="1368"/>
      <c r="AN55" s="1368"/>
      <c r="AO55" s="1368"/>
      <c r="AP55" s="1368"/>
      <c r="AQ55" s="1368"/>
      <c r="AR55" s="1368"/>
      <c r="AS55" s="1368"/>
      <c r="AT55" s="1368"/>
      <c r="AU55" s="1368"/>
      <c r="AV55" s="1368"/>
      <c r="AW55" s="1368"/>
      <c r="AX55" s="1368"/>
      <c r="AY55" s="1368"/>
      <c r="AZ55" s="1368"/>
      <c r="BA55" s="1368"/>
      <c r="BB55" s="1368"/>
      <c r="BC55" s="1368"/>
      <c r="BD55" s="1368"/>
      <c r="BE55" s="1368"/>
      <c r="BF55" s="1368"/>
      <c r="BG55" s="1368"/>
    </row>
    <row r="56" spans="1:60" ht="13.15" x14ac:dyDescent="0.4">
      <c r="A56" s="1368"/>
      <c r="B56" s="1368"/>
      <c r="C56" s="1368"/>
      <c r="D56" s="1389" t="s">
        <v>617</v>
      </c>
      <c r="E56" s="1382"/>
      <c r="F56" s="1384" t="s">
        <v>725</v>
      </c>
      <c r="G56" s="1368"/>
      <c r="H56" s="1368"/>
      <c r="I56" s="1368"/>
      <c r="J56" s="1703">
        <f>IFERROR(IF(J$10&lt;'III. Inputs, Renewable Energy'!$U$17,J$10/'III. Inputs, Renewable Energy'!$U$17*$H$37,IF(J$10&gt;'III. Inputs, Renewable Energy'!$U$16,HLOOKUP('III. Inputs, Renewable Energy'!$U$16+'III. Inputs, Renewable Energy'!$U$17-J$10,$J$10:$BG$56,47),$H$37)),0)</f>
        <v>6133813.5464733588</v>
      </c>
      <c r="K56" s="1703">
        <f>IFERROR(IF(K$10&lt;'III. Inputs, Renewable Energy'!$U$17,K$10/'III. Inputs, Renewable Energy'!$U$17*$H$37,IF(K$10&gt;'III. Inputs, Renewable Energy'!$U$16,HLOOKUP('III. Inputs, Renewable Energy'!$U$16+'III. Inputs, Renewable Energy'!$U$17-K$10,$J$10:$BG$56,47),$H$37)),0)</f>
        <v>12267627.092946718</v>
      </c>
      <c r="L56" s="1703">
        <f>IFERROR(IF(L$10&lt;'III. Inputs, Renewable Energy'!$U$17,L$10/'III. Inputs, Renewable Energy'!$U$17*$H$37,IF(L$10&gt;'III. Inputs, Renewable Energy'!$U$16,HLOOKUP('III. Inputs, Renewable Energy'!$U$16+'III. Inputs, Renewable Energy'!$U$17-L$10,$J$10:$BG$56,47),$H$37)),0)</f>
        <v>18401440.639420077</v>
      </c>
      <c r="M56" s="1703">
        <f>IFERROR(IF(M$10&lt;'III. Inputs, Renewable Energy'!$U$17,M$10/'III. Inputs, Renewable Energy'!$U$17*$H$37,IF(M$10&gt;'III. Inputs, Renewable Energy'!$U$16,HLOOKUP('III. Inputs, Renewable Energy'!$U$16+'III. Inputs, Renewable Energy'!$U$17-M$10,$J$10:$BG$56,47),$H$37)),0)</f>
        <v>24535254.185893435</v>
      </c>
      <c r="N56" s="1703">
        <f>IFERROR(IF(N$10&lt;'III. Inputs, Renewable Energy'!$U$17,N$10/'III. Inputs, Renewable Energy'!$U$17*$H$37,IF(N$10&gt;'III. Inputs, Renewable Energy'!$U$16,HLOOKUP('III. Inputs, Renewable Energy'!$U$16+'III. Inputs, Renewable Energy'!$U$17-N$10,$J$10:$BG$56,47),$H$37)),0)</f>
        <v>30669067.732366797</v>
      </c>
      <c r="O56" s="1703">
        <f>IFERROR(IF(O$10&lt;'III. Inputs, Renewable Energy'!$U$17,O$10/'III. Inputs, Renewable Energy'!$U$17*$H$37,IF(O$10&gt;'III. Inputs, Renewable Energy'!$U$16,HLOOKUP('III. Inputs, Renewable Energy'!$U$16+'III. Inputs, Renewable Energy'!$U$17-O$10,$J$10:$BG$56,47),$H$37)),0)</f>
        <v>36802881.278840154</v>
      </c>
      <c r="P56" s="1703">
        <f>IFERROR(IF(P$10&lt;'III. Inputs, Renewable Energy'!$U$17,P$10/'III. Inputs, Renewable Energy'!$U$17*$H$37,IF(P$10&gt;'III. Inputs, Renewable Energy'!$U$16,HLOOKUP('III. Inputs, Renewable Energy'!$U$16+'III. Inputs, Renewable Energy'!$U$17-P$10,$J$10:$BG$56,47),$H$37)),0)</f>
        <v>42936694.825313509</v>
      </c>
      <c r="Q56" s="1703">
        <f>IFERROR(IF(Q$10&lt;'III. Inputs, Renewable Energy'!$U$17,Q$10/'III. Inputs, Renewable Energy'!$U$17*$H$37,IF(Q$10&gt;'III. Inputs, Renewable Energy'!$U$16,HLOOKUP('III. Inputs, Renewable Energy'!$U$16+'III. Inputs, Renewable Energy'!$U$17-Q$10,$J$10:$BG$56,47),$H$37)),0)</f>
        <v>49070508.37178687</v>
      </c>
      <c r="R56" s="1703">
        <f>IFERROR(IF(R$10&lt;'III. Inputs, Renewable Energy'!$U$17,R$10/'III. Inputs, Renewable Energy'!$U$17*$H$37,IF(R$10&gt;'III. Inputs, Renewable Energy'!$U$16,HLOOKUP('III. Inputs, Renewable Energy'!$U$16+'III. Inputs, Renewable Energy'!$U$17-R$10,$J$10:$BG$56,47),$H$37)),0)</f>
        <v>55204321.918260224</v>
      </c>
      <c r="S56" s="1703">
        <f>IFERROR(IF(S$10&lt;'III. Inputs, Renewable Energy'!$U$17,S$10/'III. Inputs, Renewable Energy'!$U$17*$H$37,IF(S$10&gt;'III. Inputs, Renewable Energy'!$U$16,HLOOKUP('III. Inputs, Renewable Energy'!$U$16+'III. Inputs, Renewable Energy'!$U$17-S$10,$J$10:$BG$56,47),$H$37)),0)</f>
        <v>61338135.464733593</v>
      </c>
      <c r="T56" s="1703">
        <f>IFERROR(IF(T$10&lt;'III. Inputs, Renewable Energy'!$U$17,T$10/'III. Inputs, Renewable Energy'!$U$17*$H$37,IF(T$10&gt;'III. Inputs, Renewable Energy'!$U$16,HLOOKUP('III. Inputs, Renewable Energy'!$U$16+'III. Inputs, Renewable Energy'!$U$17-T$10,$J$10:$BG$56,47),$H$37)),0)</f>
        <v>67471949.01120694</v>
      </c>
      <c r="U56" s="1703">
        <f>IFERROR(IF(U$10&lt;'III. Inputs, Renewable Energy'!$U$17,U$10/'III. Inputs, Renewable Energy'!$U$17*$H$37,IF(U$10&gt;'III. Inputs, Renewable Energy'!$U$16,HLOOKUP('III. Inputs, Renewable Energy'!$U$16+'III. Inputs, Renewable Energy'!$U$17-U$10,$J$10:$BG$56,47),$H$37)),0)</f>
        <v>73605762.557680309</v>
      </c>
      <c r="V56" s="1703">
        <f>IFERROR(IF(V$10&lt;'III. Inputs, Renewable Energy'!$U$17,V$10/'III. Inputs, Renewable Energy'!$U$17*$H$37,IF(V$10&gt;'III. Inputs, Renewable Energy'!$U$16,HLOOKUP('III. Inputs, Renewable Energy'!$U$16+'III. Inputs, Renewable Energy'!$U$17-V$10,$J$10:$BG$56,47),$H$37)),0)</f>
        <v>79739576.104153663</v>
      </c>
      <c r="W56" s="1703">
        <f>IFERROR(IF(W$10&lt;'III. Inputs, Renewable Energy'!$U$17,W$10/'III. Inputs, Renewable Energy'!$U$17*$H$37,IF(W$10&gt;'III. Inputs, Renewable Energy'!$U$16,HLOOKUP('III. Inputs, Renewable Energy'!$U$16+'III. Inputs, Renewable Energy'!$U$17-W$10,$J$10:$BG$56,47),$H$37)),0)</f>
        <v>79739576.104153663</v>
      </c>
      <c r="X56" s="1703">
        <f>IFERROR(IF(X$10&lt;'III. Inputs, Renewable Energy'!$U$17,X$10/'III. Inputs, Renewable Energy'!$U$17*$H$37,IF(X$10&gt;'III. Inputs, Renewable Energy'!$U$16,HLOOKUP('III. Inputs, Renewable Energy'!$U$16+'III. Inputs, Renewable Energy'!$U$17-X$10,$J$10:$BG$56,47),$H$37)),0)</f>
        <v>79739576.104153663</v>
      </c>
      <c r="Y56" s="1703">
        <f>IFERROR(IF(Y$10&lt;'III. Inputs, Renewable Energy'!$U$17,Y$10/'III. Inputs, Renewable Energy'!$U$17*$H$37,IF(Y$10&gt;'III. Inputs, Renewable Energy'!$U$16,HLOOKUP('III. Inputs, Renewable Energy'!$U$16+'III. Inputs, Renewable Energy'!$U$17-Y$10,$J$10:$BG$56,47),$H$37)),0)</f>
        <v>79739576.104153663</v>
      </c>
      <c r="Z56" s="1703">
        <f>IFERROR(IF(Z$10&lt;'III. Inputs, Renewable Energy'!$U$17,Z$10/'III. Inputs, Renewable Energy'!$U$17*$H$37,IF(Z$10&gt;'III. Inputs, Renewable Energy'!$U$16,HLOOKUP('III. Inputs, Renewable Energy'!$U$16+'III. Inputs, Renewable Energy'!$U$17-Z$10,$J$10:$BG$56,47),$H$37)),0)</f>
        <v>79739576.104153663</v>
      </c>
      <c r="AA56" s="1703">
        <f>IFERROR(IF(AA$10&lt;'III. Inputs, Renewable Energy'!$U$17,AA$10/'III. Inputs, Renewable Energy'!$U$17*$H$37,IF(AA$10&gt;'III. Inputs, Renewable Energy'!$U$16,HLOOKUP('III. Inputs, Renewable Energy'!$U$16+'III. Inputs, Renewable Energy'!$U$17-AA$10,$J$10:$BG$56,47),$H$37)),0)</f>
        <v>79739576.104153663</v>
      </c>
      <c r="AB56" s="1703">
        <f>IFERROR(IF(AB$10&lt;'III. Inputs, Renewable Energy'!$U$17,AB$10/'III. Inputs, Renewable Energy'!$U$17*$H$37,IF(AB$10&gt;'III. Inputs, Renewable Energy'!$U$16,HLOOKUP('III. Inputs, Renewable Energy'!$U$16+'III. Inputs, Renewable Energy'!$U$17-AB$10,$J$10:$BG$56,47),$H$37)),0)</f>
        <v>79739576.104153663</v>
      </c>
      <c r="AC56" s="1703">
        <f>IFERROR(IF(AC$10&lt;'III. Inputs, Renewable Energy'!$U$17,AC$10/'III. Inputs, Renewable Energy'!$U$17*$H$37,IF(AC$10&gt;'III. Inputs, Renewable Energy'!$U$16,HLOOKUP('III. Inputs, Renewable Energy'!$U$16+'III. Inputs, Renewable Energy'!$U$17-AC$10,$J$10:$BG$56,47),$H$37)),0)</f>
        <v>79739576.104153663</v>
      </c>
      <c r="AD56" s="1703">
        <f>IFERROR(IF(AD$10&lt;'III. Inputs, Renewable Energy'!$U$17,AD$10/'III. Inputs, Renewable Energy'!$U$17*$H$37,IF(AD$10&gt;'III. Inputs, Renewable Energy'!$U$16,HLOOKUP('III. Inputs, Renewable Energy'!$U$16+'III. Inputs, Renewable Energy'!$U$17-AD$10,$J$10:$BG$56,47),$H$37)),0)</f>
        <v>73605762.557680309</v>
      </c>
      <c r="AE56" s="1703">
        <f>IFERROR(IF(AE$10&lt;'III. Inputs, Renewable Energy'!$U$17,AE$10/'III. Inputs, Renewable Energy'!$U$17*$H$37,IF(AE$10&gt;'III. Inputs, Renewable Energy'!$U$16,HLOOKUP('III. Inputs, Renewable Energy'!$U$16+'III. Inputs, Renewable Energy'!$U$17-AE$10,$J$10:$BG$56,47),$H$37)),0)</f>
        <v>67471949.01120694</v>
      </c>
      <c r="AF56" s="1703">
        <f>IFERROR(IF(AF$10&lt;'III. Inputs, Renewable Energy'!$U$17,AF$10/'III. Inputs, Renewable Energy'!$U$17*$H$37,IF(AF$10&gt;'III. Inputs, Renewable Energy'!$U$16,HLOOKUP('III. Inputs, Renewable Energy'!$U$16+'III. Inputs, Renewable Energy'!$U$17-AF$10,$J$10:$BG$56,47),$H$37)),0)</f>
        <v>61338135.464733593</v>
      </c>
      <c r="AG56" s="1703">
        <f>IFERROR(IF(AG$10&lt;'III. Inputs, Renewable Energy'!$U$17,AG$10/'III. Inputs, Renewable Energy'!$U$17*$H$37,IF(AG$10&gt;'III. Inputs, Renewable Energy'!$U$16,HLOOKUP('III. Inputs, Renewable Energy'!$U$16+'III. Inputs, Renewable Energy'!$U$17-AG$10,$J$10:$BG$56,47),$H$37)),0)</f>
        <v>55204321.918260224</v>
      </c>
      <c r="AH56" s="1703">
        <f>IFERROR(IF(AH$10&lt;'III. Inputs, Renewable Energy'!$U$17,AH$10/'III. Inputs, Renewable Energy'!$U$17*$H$37,IF(AH$10&gt;'III. Inputs, Renewable Energy'!$U$16,HLOOKUP('III. Inputs, Renewable Energy'!$U$16+'III. Inputs, Renewable Energy'!$U$17-AH$10,$J$10:$BG$56,47),$H$37)),0)</f>
        <v>49070508.37178687</v>
      </c>
      <c r="AI56" s="1703">
        <f>IFERROR(IF(AI$10&lt;'III. Inputs, Renewable Energy'!$U$17,AI$10/'III. Inputs, Renewable Energy'!$U$17*$H$37,IF(AI$10&gt;'III. Inputs, Renewable Energy'!$U$16,HLOOKUP('III. Inputs, Renewable Energy'!$U$16+'III. Inputs, Renewable Energy'!$U$17-AI$10,$J$10:$BG$56,47),$H$37)),0)</f>
        <v>42936694.825313509</v>
      </c>
      <c r="AJ56" s="1703">
        <f>IFERROR(IF(AJ$10&lt;'III. Inputs, Renewable Energy'!$U$17,AJ$10/'III. Inputs, Renewable Energy'!$U$17*$H$37,IF(AJ$10&gt;'III. Inputs, Renewable Energy'!$U$16,HLOOKUP('III. Inputs, Renewable Energy'!$U$16+'III. Inputs, Renewable Energy'!$U$17-AJ$10,$J$10:$BG$56,47),$H$37)),0)</f>
        <v>36802881.278840154</v>
      </c>
      <c r="AK56" s="1703">
        <f>IFERROR(IF(AK$10&lt;'III. Inputs, Renewable Energy'!$U$17,AK$10/'III. Inputs, Renewable Energy'!$U$17*$H$37,IF(AK$10&gt;'III. Inputs, Renewable Energy'!$U$16,HLOOKUP('III. Inputs, Renewable Energy'!$U$16+'III. Inputs, Renewable Energy'!$U$17-AK$10,$J$10:$BG$56,47),$H$37)),0)</f>
        <v>30669067.732366797</v>
      </c>
      <c r="AL56" s="1703">
        <f>IFERROR(IF(AL$10&lt;'III. Inputs, Renewable Energy'!$U$17,AL$10/'III. Inputs, Renewable Energy'!$U$17*$H$37,IF(AL$10&gt;'III. Inputs, Renewable Energy'!$U$16,HLOOKUP('III. Inputs, Renewable Energy'!$U$16+'III. Inputs, Renewable Energy'!$U$17-AL$10,$J$10:$BG$56,47),$H$37)),0)</f>
        <v>24535254.185893435</v>
      </c>
      <c r="AM56" s="1703">
        <f>IFERROR(IF(AM$10&lt;'III. Inputs, Renewable Energy'!$U$17,AM$10/'III. Inputs, Renewable Energy'!$U$17*$H$37,IF(AM$10&gt;'III. Inputs, Renewable Energy'!$U$16,HLOOKUP('III. Inputs, Renewable Energy'!$U$16+'III. Inputs, Renewable Energy'!$U$17-AM$10,$J$10:$BG$56,47),$H$37)),0)</f>
        <v>18401440.639420077</v>
      </c>
      <c r="AN56" s="1703">
        <f>IFERROR(IF(AN$10&lt;'III. Inputs, Renewable Energy'!$U$17,AN$10/'III. Inputs, Renewable Energy'!$U$17*$H$37,IF(AN$10&gt;'III. Inputs, Renewable Energy'!$U$16,HLOOKUP('III. Inputs, Renewable Energy'!$U$16+'III. Inputs, Renewable Energy'!$U$17-AN$10,$J$10:$BG$56,47),$H$37)),0)</f>
        <v>12267627.092946718</v>
      </c>
      <c r="AO56" s="1703">
        <f>IFERROR(IF(AO$10&lt;'III. Inputs, Renewable Energy'!$U$17,AO$10/'III. Inputs, Renewable Energy'!$U$17*$H$37,IF(AO$10&gt;'III. Inputs, Renewable Energy'!$U$16,HLOOKUP('III. Inputs, Renewable Energy'!$U$16+'III. Inputs, Renewable Energy'!$U$17-AO$10,$J$10:$BG$56,47),$H$37)),0)</f>
        <v>6133813.5464733588</v>
      </c>
      <c r="AP56" s="1703">
        <f>IFERROR(IF(AP$10&lt;'III. Inputs, Renewable Energy'!$U$17,AP$10/'III. Inputs, Renewable Energy'!$U$17*$H$37,IF(AP$10&gt;'III. Inputs, Renewable Energy'!$U$16,HLOOKUP('III. Inputs, Renewable Energy'!$U$16+'III. Inputs, Renewable Energy'!$U$17-AP$10,$J$10:$BG$56,47),$H$37)),0)</f>
        <v>0</v>
      </c>
      <c r="AQ56" s="1703">
        <f>IFERROR(IF(AQ$10&lt;'III. Inputs, Renewable Energy'!$U$17,AQ$10/'III. Inputs, Renewable Energy'!$U$17*$H$37,IF(AQ$10&gt;'III. Inputs, Renewable Energy'!$U$16,HLOOKUP('III. Inputs, Renewable Energy'!$U$16+'III. Inputs, Renewable Energy'!$U$17-AQ$10,$J$10:$BG$56,47),$H$37)),0)</f>
        <v>0</v>
      </c>
      <c r="AR56" s="1703">
        <f>IFERROR(IF(AR$10&lt;'III. Inputs, Renewable Energy'!$U$17,AR$10/'III. Inputs, Renewable Energy'!$U$17*$H$37,IF(AR$10&gt;'III. Inputs, Renewable Energy'!$U$16,HLOOKUP('III. Inputs, Renewable Energy'!$U$16+'III. Inputs, Renewable Energy'!$U$17-AR$10,$J$10:$BG$56,47),$H$37)),0)</f>
        <v>0</v>
      </c>
      <c r="AS56" s="1703">
        <f>IFERROR(IF(AS$10&lt;'III. Inputs, Renewable Energy'!$U$17,AS$10/'III. Inputs, Renewable Energy'!$U$17*$H$37,IF(AS$10&gt;'III. Inputs, Renewable Energy'!$U$16,HLOOKUP('III. Inputs, Renewable Energy'!$U$16+'III. Inputs, Renewable Energy'!$U$17-AS$10,$J$10:$BG$56,47),$H$37)),0)</f>
        <v>0</v>
      </c>
      <c r="AT56" s="1703">
        <f>IFERROR(IF(AT$10&lt;'III. Inputs, Renewable Energy'!$U$17,AT$10/'III. Inputs, Renewable Energy'!$U$17*$H$37,IF(AT$10&gt;'III. Inputs, Renewable Energy'!$U$16,HLOOKUP('III. Inputs, Renewable Energy'!$U$16+'III. Inputs, Renewable Energy'!$U$17-AT$10,$J$10:$BG$56,47),$H$37)),0)</f>
        <v>0</v>
      </c>
      <c r="AU56" s="1703">
        <f>IFERROR(IF(AU$10&lt;'III. Inputs, Renewable Energy'!$U$17,AU$10/'III. Inputs, Renewable Energy'!$U$17*$H$37,IF(AU$10&gt;'III. Inputs, Renewable Energy'!$U$16,HLOOKUP('III. Inputs, Renewable Energy'!$U$16+'III. Inputs, Renewable Energy'!$U$17-AU$10,$J$10:$BG$56,47),$H$37)),0)</f>
        <v>0</v>
      </c>
      <c r="AV56" s="1703">
        <f>IFERROR(IF(AV$10&lt;'III. Inputs, Renewable Energy'!$U$17,AV$10/'III. Inputs, Renewable Energy'!$U$17*$H$37,IF(AV$10&gt;'III. Inputs, Renewable Energy'!$U$16,HLOOKUP('III. Inputs, Renewable Energy'!$U$16+'III. Inputs, Renewable Energy'!$U$17-AV$10,$J$10:$BG$56,47),$H$37)),0)</f>
        <v>0</v>
      </c>
      <c r="AW56" s="1703">
        <f>IFERROR(IF(AW$10&lt;'III. Inputs, Renewable Energy'!$U$17,AW$10/'III. Inputs, Renewable Energy'!$U$17*$H$37,IF(AW$10&gt;'III. Inputs, Renewable Energy'!$U$16,HLOOKUP('III. Inputs, Renewable Energy'!$U$16+'III. Inputs, Renewable Energy'!$U$17-AW$10,$J$10:$BG$56,47),$H$37)),0)</f>
        <v>0</v>
      </c>
      <c r="AX56" s="1703">
        <f>IFERROR(IF(AX$10&lt;'III. Inputs, Renewable Energy'!$U$17,AX$10/'III. Inputs, Renewable Energy'!$U$17*$H$37,IF(AX$10&gt;'III. Inputs, Renewable Energy'!$U$16,HLOOKUP('III. Inputs, Renewable Energy'!$U$16+'III. Inputs, Renewable Energy'!$U$17-AX$10,$J$10:$BG$56,47),$H$37)),0)</f>
        <v>0</v>
      </c>
      <c r="AY56" s="1703">
        <f>IFERROR(IF(AY$10&lt;'III. Inputs, Renewable Energy'!$U$17,AY$10/'III. Inputs, Renewable Energy'!$U$17*$H$37,IF(AY$10&gt;'III. Inputs, Renewable Energy'!$U$16,HLOOKUP('III. Inputs, Renewable Energy'!$U$16+'III. Inputs, Renewable Energy'!$U$17-AY$10,$J$10:$BG$56,47),$H$37)),0)</f>
        <v>0</v>
      </c>
      <c r="AZ56" s="1703">
        <f>IFERROR(IF(AZ$10&lt;'III. Inputs, Renewable Energy'!$U$17,AZ$10/'III. Inputs, Renewable Energy'!$U$17*$H$37,IF(AZ$10&gt;'III. Inputs, Renewable Energy'!$U$16,HLOOKUP('III. Inputs, Renewable Energy'!$U$16+'III. Inputs, Renewable Energy'!$U$17-AZ$10,$J$10:$BG$56,47),$H$37)),0)</f>
        <v>0</v>
      </c>
      <c r="BA56" s="1703">
        <f>IFERROR(IF(BA$10&lt;'III. Inputs, Renewable Energy'!$U$17,BA$10/'III. Inputs, Renewable Energy'!$U$17*$H$37,IF(BA$10&gt;'III. Inputs, Renewable Energy'!$U$16,HLOOKUP('III. Inputs, Renewable Energy'!$U$16+'III. Inputs, Renewable Energy'!$U$17-BA$10,$J$10:$BG$56,47),$H$37)),0)</f>
        <v>0</v>
      </c>
      <c r="BB56" s="1703">
        <f>IFERROR(IF(BB$10&lt;'III. Inputs, Renewable Energy'!$U$17,BB$10/'III. Inputs, Renewable Energy'!$U$17*$H$37,IF(BB$10&gt;'III. Inputs, Renewable Energy'!$U$16,HLOOKUP('III. Inputs, Renewable Energy'!$U$16+'III. Inputs, Renewable Energy'!$U$17-BB$10,$J$10:$BG$56,47),$H$37)),0)</f>
        <v>0</v>
      </c>
      <c r="BC56" s="1703">
        <f>IFERROR(IF(BC$10&lt;'III. Inputs, Renewable Energy'!$U$17,BC$10/'III. Inputs, Renewable Energy'!$U$17*$H$37,IF(BC$10&gt;'III. Inputs, Renewable Energy'!$U$16,HLOOKUP('III. Inputs, Renewable Energy'!$U$16+'III. Inputs, Renewable Energy'!$U$17-BC$10,$J$10:$BG$56,47),$H$37)),0)</f>
        <v>0</v>
      </c>
      <c r="BD56" s="1703">
        <f>IFERROR(IF(BD$10&lt;'III. Inputs, Renewable Energy'!$U$17,BD$10/'III. Inputs, Renewable Energy'!$U$17*$H$37,IF(BD$10&gt;'III. Inputs, Renewable Energy'!$U$16,HLOOKUP('III. Inputs, Renewable Energy'!$U$16+'III. Inputs, Renewable Energy'!$U$17-BD$10,$J$10:$BG$56,47),$H$37)),0)</f>
        <v>0</v>
      </c>
      <c r="BE56" s="1703">
        <f>IFERROR(IF(BE$10&lt;'III. Inputs, Renewable Energy'!$U$17,BE$10/'III. Inputs, Renewable Energy'!$U$17*$H$37,IF(BE$10&gt;'III. Inputs, Renewable Energy'!$U$16,HLOOKUP('III. Inputs, Renewable Energy'!$U$16+'III. Inputs, Renewable Energy'!$U$17-BE$10,$J$10:$BG$56,47),$H$37)),0)</f>
        <v>0</v>
      </c>
      <c r="BF56" s="1703">
        <f>IFERROR(IF(BF$10&lt;'III. Inputs, Renewable Energy'!$U$17,BF$10/'III. Inputs, Renewable Energy'!$U$17*$H$37,IF(BF$10&gt;'III. Inputs, Renewable Energy'!$U$16,HLOOKUP('III. Inputs, Renewable Energy'!$U$16+'III. Inputs, Renewable Energy'!$U$17-BF$10,$J$10:$BG$56,47),$H$37)),0)</f>
        <v>0</v>
      </c>
      <c r="BG56" s="1703">
        <f>IFERROR(IF(BG$10&lt;'III. Inputs, Renewable Energy'!$U$17,BG$10/'III. Inputs, Renewable Energy'!$U$17*$H$37,IF(BG$10&gt;'III. Inputs, Renewable Energy'!$U$16,HLOOKUP('III. Inputs, Renewable Energy'!$U$16+'III. Inputs, Renewable Energy'!$U$17-BG$10,$J$10:$BG$56,47),$H$37)),0)</f>
        <v>0</v>
      </c>
    </row>
    <row r="57" spans="1:60" x14ac:dyDescent="0.35">
      <c r="A57" s="1368"/>
      <c r="B57" s="1368"/>
      <c r="C57" s="1368"/>
      <c r="D57" s="1368" t="s">
        <v>619</v>
      </c>
      <c r="E57" s="1368"/>
      <c r="F57" s="1384" t="s">
        <v>725</v>
      </c>
      <c r="G57" s="1368"/>
      <c r="H57" s="1368"/>
      <c r="I57" s="1368"/>
      <c r="J57" s="1703">
        <f>J56*'III. Inputs, Renewable Energy'!$V$203</f>
        <v>171746.77930125405</v>
      </c>
      <c r="K57" s="1703">
        <f>K56*'III. Inputs, Renewable Energy'!$V$203</f>
        <v>343493.5586025081</v>
      </c>
      <c r="L57" s="1703">
        <f>L56*'III. Inputs, Renewable Energy'!$V$203</f>
        <v>515240.33790376218</v>
      </c>
      <c r="M57" s="1703">
        <f>M56*'III. Inputs, Renewable Energy'!$V$203</f>
        <v>686987.1172050162</v>
      </c>
      <c r="N57" s="1703">
        <f>N56*'III. Inputs, Renewable Energy'!$V$203</f>
        <v>858733.89650627028</v>
      </c>
      <c r="O57" s="1703">
        <f>O56*'III. Inputs, Renewable Energy'!$V$203</f>
        <v>1030480.6758075244</v>
      </c>
      <c r="P57" s="1703">
        <f>P56*'III. Inputs, Renewable Energy'!$V$203</f>
        <v>1202227.4551087783</v>
      </c>
      <c r="Q57" s="1703">
        <f>Q56*'III. Inputs, Renewable Energy'!$V$203</f>
        <v>1373974.2344100324</v>
      </c>
      <c r="R57" s="1703">
        <f>R56*'III. Inputs, Renewable Energy'!$V$203</f>
        <v>1545721.0137112862</v>
      </c>
      <c r="S57" s="1703">
        <f>S56*'III. Inputs, Renewable Energy'!$V$203</f>
        <v>1717467.7930125406</v>
      </c>
      <c r="T57" s="1703">
        <f>T56*'III. Inputs, Renewable Energy'!$V$203</f>
        <v>1889214.5723137944</v>
      </c>
      <c r="U57" s="1703">
        <f>U56*'III. Inputs, Renewable Energy'!$V$203</f>
        <v>2060961.3516150487</v>
      </c>
      <c r="V57" s="1703">
        <f>V56*'III. Inputs, Renewable Energy'!$V$203</f>
        <v>2232708.1309163026</v>
      </c>
      <c r="W57" s="1703">
        <f>W56*'III. Inputs, Renewable Energy'!$V$203</f>
        <v>2232708.1309163026</v>
      </c>
      <c r="X57" s="1703">
        <f>X56*'III. Inputs, Renewable Energy'!$V$203</f>
        <v>2232708.1309163026</v>
      </c>
      <c r="Y57" s="1703">
        <f>Y56*'III. Inputs, Renewable Energy'!$V$203</f>
        <v>2232708.1309163026</v>
      </c>
      <c r="Z57" s="1703">
        <f>Z56*'III. Inputs, Renewable Energy'!$V$203</f>
        <v>2232708.1309163026</v>
      </c>
      <c r="AA57" s="1703">
        <f>AA56*'III. Inputs, Renewable Energy'!$V$203</f>
        <v>2232708.1309163026</v>
      </c>
      <c r="AB57" s="1703">
        <f>AB56*'III. Inputs, Renewable Energy'!$V$203</f>
        <v>2232708.1309163026</v>
      </c>
      <c r="AC57" s="1703">
        <f>AC56*'III. Inputs, Renewable Energy'!$V$203</f>
        <v>2232708.1309163026</v>
      </c>
      <c r="AD57" s="1703">
        <f>AD56*'III. Inputs, Renewable Energy'!$V$203</f>
        <v>2060961.3516150487</v>
      </c>
      <c r="AE57" s="1703">
        <f>AE56*'III. Inputs, Renewable Energy'!$V$203</f>
        <v>1889214.5723137944</v>
      </c>
      <c r="AF57" s="1703">
        <f>AF56*'III. Inputs, Renewable Energy'!$V$203</f>
        <v>1717467.7930125406</v>
      </c>
      <c r="AG57" s="1703">
        <f>AG56*'III. Inputs, Renewable Energy'!$V$203</f>
        <v>1545721.0137112862</v>
      </c>
      <c r="AH57" s="1703">
        <f>AH56*'III. Inputs, Renewable Energy'!$V$203</f>
        <v>1373974.2344100324</v>
      </c>
      <c r="AI57" s="1703">
        <f>AI56*'III. Inputs, Renewable Energy'!$V$203</f>
        <v>1202227.4551087783</v>
      </c>
      <c r="AJ57" s="1703">
        <f>AJ56*'III. Inputs, Renewable Energy'!$V$203</f>
        <v>1030480.6758075244</v>
      </c>
      <c r="AK57" s="1703">
        <f>AK56*'III. Inputs, Renewable Energy'!$V$203</f>
        <v>858733.89650627028</v>
      </c>
      <c r="AL57" s="1703">
        <f>AL56*'III. Inputs, Renewable Energy'!$V$203</f>
        <v>686987.1172050162</v>
      </c>
      <c r="AM57" s="1703">
        <f>AM56*'III. Inputs, Renewable Energy'!$V$203</f>
        <v>515240.33790376218</v>
      </c>
      <c r="AN57" s="1703">
        <f>AN56*'III. Inputs, Renewable Energy'!$V$203</f>
        <v>343493.5586025081</v>
      </c>
      <c r="AO57" s="1703">
        <f>AO56*'III. Inputs, Renewable Energy'!$V$203</f>
        <v>171746.77930125405</v>
      </c>
      <c r="AP57" s="1703">
        <f>AP56*'III. Inputs, Renewable Energy'!$V$203</f>
        <v>0</v>
      </c>
      <c r="AQ57" s="1703">
        <f>AQ56*'III. Inputs, Renewable Energy'!$V$203</f>
        <v>0</v>
      </c>
      <c r="AR57" s="1703">
        <f>AR56*'III. Inputs, Renewable Energy'!$V$203</f>
        <v>0</v>
      </c>
      <c r="AS57" s="1703">
        <f>AS56*'III. Inputs, Renewable Energy'!$V$203</f>
        <v>0</v>
      </c>
      <c r="AT57" s="1703">
        <f>AT56*'III. Inputs, Renewable Energy'!$V$203</f>
        <v>0</v>
      </c>
      <c r="AU57" s="1703">
        <f>AU56*'III. Inputs, Renewable Energy'!$V$203</f>
        <v>0</v>
      </c>
      <c r="AV57" s="1703">
        <f>AV56*'III. Inputs, Renewable Energy'!$V$203</f>
        <v>0</v>
      </c>
      <c r="AW57" s="1703">
        <f>AW56*'III. Inputs, Renewable Energy'!$V$203</f>
        <v>0</v>
      </c>
      <c r="AX57" s="1703">
        <f>AX56*'III. Inputs, Renewable Energy'!$V$203</f>
        <v>0</v>
      </c>
      <c r="AY57" s="1703">
        <f>AY56*'III. Inputs, Renewable Energy'!$V$203</f>
        <v>0</v>
      </c>
      <c r="AZ57" s="1703">
        <f>AZ56*'III. Inputs, Renewable Energy'!$V$203</f>
        <v>0</v>
      </c>
      <c r="BA57" s="1703">
        <f>BA56*'III. Inputs, Renewable Energy'!$V$203</f>
        <v>0</v>
      </c>
      <c r="BB57" s="1703">
        <f>BB56*'III. Inputs, Renewable Energy'!$V$203</f>
        <v>0</v>
      </c>
      <c r="BC57" s="1703">
        <f>BC56*'III. Inputs, Renewable Energy'!$V$203</f>
        <v>0</v>
      </c>
      <c r="BD57" s="1703">
        <f>BD56*'III. Inputs, Renewable Energy'!$V$203</f>
        <v>0</v>
      </c>
      <c r="BE57" s="1703">
        <f>BE56*'III. Inputs, Renewable Energy'!$V$203</f>
        <v>0</v>
      </c>
      <c r="BF57" s="1703">
        <f>BF56*'III. Inputs, Renewable Energy'!$V$203</f>
        <v>0</v>
      </c>
      <c r="BG57" s="1703">
        <f>BG56*'III. Inputs, Renewable Energy'!$V$203</f>
        <v>0</v>
      </c>
    </row>
    <row r="58" spans="1:60" x14ac:dyDescent="0.35">
      <c r="A58" s="1368"/>
      <c r="B58" s="1368"/>
      <c r="C58" s="1368"/>
      <c r="D58" s="1368"/>
      <c r="E58" s="1368"/>
      <c r="F58" s="1368"/>
      <c r="G58" s="1368"/>
      <c r="H58" s="1368"/>
      <c r="I58" s="1368"/>
      <c r="J58" s="1368"/>
      <c r="K58" s="1368"/>
      <c r="L58" s="1368"/>
      <c r="M58" s="1368"/>
      <c r="N58" s="1368"/>
      <c r="O58" s="1368"/>
      <c r="P58" s="1368"/>
      <c r="Q58" s="1368"/>
      <c r="R58" s="1368"/>
      <c r="S58" s="1368"/>
      <c r="T58" s="1368"/>
      <c r="U58" s="1368"/>
      <c r="V58" s="1368"/>
      <c r="W58" s="1368"/>
      <c r="X58" s="1368"/>
      <c r="Y58" s="1368"/>
      <c r="Z58" s="1368"/>
      <c r="AA58" s="1368"/>
      <c r="AB58" s="1368"/>
      <c r="AC58" s="1368"/>
      <c r="AD58" s="1368"/>
      <c r="AE58" s="1368"/>
      <c r="AF58" s="1368"/>
      <c r="AG58" s="1368"/>
      <c r="AH58" s="1368"/>
      <c r="AI58" s="1368"/>
      <c r="AJ58" s="1368"/>
      <c r="AK58" s="1368"/>
      <c r="AL58" s="1368"/>
      <c r="AM58" s="1368"/>
      <c r="AN58" s="1368"/>
      <c r="AO58" s="1368"/>
      <c r="AP58" s="1368"/>
      <c r="AQ58" s="1368"/>
      <c r="AR58" s="1368"/>
      <c r="AS58" s="1368"/>
      <c r="AT58" s="1368"/>
      <c r="AU58" s="1368"/>
      <c r="AV58" s="1368"/>
      <c r="AW58" s="1368"/>
      <c r="AX58" s="1368"/>
      <c r="AY58" s="1368"/>
      <c r="AZ58" s="1368"/>
      <c r="BA58" s="1368"/>
      <c r="BB58" s="1368"/>
      <c r="BC58" s="1368"/>
      <c r="BD58" s="1368"/>
      <c r="BE58" s="1368"/>
      <c r="BF58" s="1368"/>
      <c r="BG58" s="1368"/>
    </row>
    <row r="59" spans="1:60" ht="13.15" x14ac:dyDescent="0.4">
      <c r="A59" s="1368"/>
      <c r="B59" s="1368"/>
      <c r="C59" s="1368"/>
      <c r="D59" s="1479" t="s">
        <v>456</v>
      </c>
      <c r="E59" s="1480"/>
      <c r="F59" s="1481" t="s">
        <v>725</v>
      </c>
      <c r="G59" s="1480"/>
      <c r="H59" s="1480"/>
      <c r="I59" s="1704">
        <f>NPV('III. Inputs, Renewable Energy'!$U$19,J57:BG57)</f>
        <v>16271108.853149772</v>
      </c>
      <c r="J59" s="1368"/>
      <c r="K59" s="1368"/>
      <c r="L59" s="1368"/>
      <c r="M59" s="1368"/>
      <c r="N59" s="1368"/>
      <c r="O59" s="1368"/>
      <c r="P59" s="1368"/>
      <c r="Q59" s="1368"/>
      <c r="R59" s="1368"/>
      <c r="S59" s="1368"/>
      <c r="T59" s="1368"/>
      <c r="U59" s="1368"/>
      <c r="V59" s="1368"/>
      <c r="W59" s="1368"/>
      <c r="X59" s="1368"/>
      <c r="Y59" s="1368"/>
      <c r="Z59" s="1368"/>
      <c r="AA59" s="1368"/>
      <c r="AB59" s="1368"/>
      <c r="AC59" s="1368"/>
      <c r="AD59" s="1368"/>
      <c r="AE59" s="1368"/>
      <c r="AF59" s="1368"/>
      <c r="AG59" s="1368"/>
      <c r="AH59" s="1368"/>
      <c r="AI59" s="1368"/>
      <c r="AJ59" s="1368"/>
      <c r="AK59" s="1368"/>
      <c r="AL59" s="1368"/>
      <c r="AM59" s="1368"/>
      <c r="AN59" s="1368"/>
      <c r="AO59" s="1368"/>
      <c r="AP59" s="1368"/>
      <c r="AQ59" s="1368"/>
      <c r="AR59" s="1368"/>
      <c r="AS59" s="1368"/>
      <c r="AT59" s="1368"/>
      <c r="AU59" s="1368"/>
      <c r="AV59" s="1368"/>
      <c r="AW59" s="1368"/>
      <c r="AX59" s="1368"/>
      <c r="AY59" s="1368"/>
      <c r="AZ59" s="1368"/>
      <c r="BA59" s="1368"/>
      <c r="BB59" s="1368"/>
      <c r="BC59" s="1368"/>
      <c r="BD59" s="1368"/>
      <c r="BE59" s="1368"/>
      <c r="BF59" s="1368"/>
      <c r="BG59" s="1368"/>
    </row>
    <row r="60" spans="1:60" ht="13.15" x14ac:dyDescent="0.4">
      <c r="A60" s="1368"/>
      <c r="B60" s="1368"/>
      <c r="C60" s="1368"/>
      <c r="D60" s="1482" t="s">
        <v>457</v>
      </c>
      <c r="E60" s="1483"/>
      <c r="F60" s="1484" t="s">
        <v>725</v>
      </c>
      <c r="G60" s="1483"/>
      <c r="H60" s="1483"/>
      <c r="I60" s="1705">
        <f>I59*'III. Inputs, Renewable Energy'!V204*'III. Inputs, Renewable Energy'!V205</f>
        <v>4067777.2132874429</v>
      </c>
      <c r="J60" s="1368"/>
      <c r="K60" s="1368"/>
      <c r="L60" s="1368"/>
      <c r="M60" s="1368"/>
      <c r="N60" s="1368"/>
      <c r="O60" s="1368"/>
      <c r="P60" s="1368"/>
      <c r="Q60" s="1368"/>
      <c r="R60" s="1368"/>
      <c r="S60" s="1368"/>
      <c r="T60" s="1368"/>
      <c r="U60" s="1368"/>
      <c r="V60" s="1368"/>
      <c r="W60" s="1368"/>
      <c r="X60" s="1368"/>
      <c r="Y60" s="1368"/>
      <c r="Z60" s="1368"/>
      <c r="AA60" s="1368"/>
      <c r="AB60" s="1368"/>
      <c r="AC60" s="1368"/>
      <c r="AD60" s="1368"/>
      <c r="AE60" s="1368"/>
      <c r="AF60" s="1368"/>
      <c r="AG60" s="1368"/>
      <c r="AH60" s="1368"/>
      <c r="AI60" s="1368"/>
      <c r="AJ60" s="1368"/>
      <c r="AK60" s="1368"/>
      <c r="AL60" s="1368"/>
      <c r="AM60" s="1368"/>
      <c r="AN60" s="1368"/>
      <c r="AO60" s="1368"/>
      <c r="AP60" s="1368"/>
      <c r="AQ60" s="1368"/>
      <c r="AR60" s="1368"/>
      <c r="AS60" s="1368"/>
      <c r="AT60" s="1368"/>
      <c r="AU60" s="1368"/>
      <c r="AV60" s="1368"/>
      <c r="AW60" s="1368"/>
      <c r="AX60" s="1368"/>
      <c r="AY60" s="1368"/>
      <c r="AZ60" s="1368"/>
      <c r="BA60" s="1368"/>
      <c r="BB60" s="1368"/>
      <c r="BC60" s="1368"/>
      <c r="BD60" s="1368"/>
      <c r="BE60" s="1368"/>
      <c r="BF60" s="1368"/>
      <c r="BG60" s="1368"/>
    </row>
    <row r="61" spans="1:60" x14ac:dyDescent="0.35">
      <c r="A61" s="1368"/>
      <c r="B61" s="1368"/>
      <c r="C61" s="1368"/>
      <c r="D61" s="1368"/>
      <c r="E61" s="1368"/>
      <c r="F61" s="1368"/>
      <c r="G61" s="1368"/>
      <c r="H61" s="1368"/>
      <c r="I61" s="1368"/>
      <c r="J61" s="1368"/>
      <c r="K61" s="1368"/>
      <c r="L61" s="1368"/>
      <c r="M61" s="1368"/>
      <c r="N61" s="1368"/>
      <c r="O61" s="1368"/>
      <c r="P61" s="1368"/>
      <c r="Q61" s="1368"/>
      <c r="R61" s="1368"/>
      <c r="S61" s="1368"/>
      <c r="T61" s="1368"/>
      <c r="U61" s="1368"/>
      <c r="V61" s="1368"/>
      <c r="W61" s="1368"/>
      <c r="X61" s="1368"/>
      <c r="Y61" s="1368"/>
      <c r="Z61" s="1368"/>
      <c r="AA61" s="1368"/>
      <c r="AB61" s="1368"/>
      <c r="AC61" s="1368"/>
      <c r="AD61" s="1368"/>
      <c r="AE61" s="1368"/>
      <c r="AF61" s="1368"/>
      <c r="AG61" s="1368"/>
      <c r="AH61" s="1368"/>
      <c r="AI61" s="1368"/>
      <c r="AJ61" s="1368"/>
      <c r="AK61" s="1368"/>
      <c r="AL61" s="1368"/>
      <c r="AM61" s="1368"/>
      <c r="AN61" s="1368"/>
      <c r="AO61" s="1368"/>
      <c r="AP61" s="1368"/>
      <c r="AQ61" s="1368"/>
      <c r="AR61" s="1368"/>
      <c r="AS61" s="1368"/>
      <c r="AT61" s="1368"/>
      <c r="AU61" s="1368"/>
      <c r="AV61" s="1368"/>
      <c r="AW61" s="1368"/>
      <c r="AX61" s="1368"/>
      <c r="AY61" s="1368"/>
      <c r="AZ61" s="1368"/>
      <c r="BA61" s="1368"/>
      <c r="BB61" s="1368"/>
      <c r="BC61" s="1368"/>
      <c r="BD61" s="1368"/>
      <c r="BE61" s="1368"/>
      <c r="BF61" s="1368"/>
      <c r="BG61" s="1368"/>
    </row>
    <row r="62" spans="1:60" hidden="1" x14ac:dyDescent="0.35"/>
    <row r="63" spans="1:60" hidden="1" x14ac:dyDescent="0.35"/>
    <row r="64" spans="1:60"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row r="77" hidden="1" x14ac:dyDescent="0.35"/>
    <row r="78" hidden="1" x14ac:dyDescent="0.35"/>
    <row r="79" hidden="1" x14ac:dyDescent="0.35"/>
    <row r="8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row r="201" hidden="1" x14ac:dyDescent="0.35"/>
    <row r="202" hidden="1" x14ac:dyDescent="0.35"/>
    <row r="203" hidden="1" x14ac:dyDescent="0.35"/>
    <row r="204" hidden="1" x14ac:dyDescent="0.35"/>
    <row r="205" hidden="1" x14ac:dyDescent="0.35"/>
    <row r="206" hidden="1" x14ac:dyDescent="0.35"/>
    <row r="207" hidden="1" x14ac:dyDescent="0.35"/>
    <row r="208" hidden="1" x14ac:dyDescent="0.35"/>
    <row r="209" hidden="1" x14ac:dyDescent="0.35"/>
    <row r="210" hidden="1" x14ac:dyDescent="0.35"/>
    <row r="211" hidden="1" x14ac:dyDescent="0.35"/>
    <row r="212" hidden="1" x14ac:dyDescent="0.35"/>
    <row r="213" hidden="1" x14ac:dyDescent="0.35"/>
    <row r="214" hidden="1" x14ac:dyDescent="0.35"/>
    <row r="215" hidden="1" x14ac:dyDescent="0.35"/>
    <row r="216" hidden="1" x14ac:dyDescent="0.35"/>
    <row r="217" hidden="1" x14ac:dyDescent="0.35"/>
    <row r="218" hidden="1" x14ac:dyDescent="0.35"/>
    <row r="219" hidden="1" x14ac:dyDescent="0.35"/>
    <row r="220" hidden="1" x14ac:dyDescent="0.35"/>
    <row r="221" hidden="1" x14ac:dyDescent="0.35"/>
    <row r="222" hidden="1" x14ac:dyDescent="0.35"/>
    <row r="223" hidden="1" x14ac:dyDescent="0.35"/>
    <row r="224" hidden="1" x14ac:dyDescent="0.35"/>
    <row r="225" hidden="1" x14ac:dyDescent="0.35"/>
    <row r="226" hidden="1" x14ac:dyDescent="0.35"/>
    <row r="227" hidden="1" x14ac:dyDescent="0.35"/>
    <row r="228" hidden="1" x14ac:dyDescent="0.35"/>
    <row r="229" hidden="1" x14ac:dyDescent="0.35"/>
    <row r="230" hidden="1" x14ac:dyDescent="0.35"/>
    <row r="231" hidden="1" x14ac:dyDescent="0.35"/>
    <row r="232" hidden="1" x14ac:dyDescent="0.35"/>
    <row r="233" hidden="1" x14ac:dyDescent="0.35"/>
    <row r="234" hidden="1" x14ac:dyDescent="0.35"/>
    <row r="235" hidden="1" x14ac:dyDescent="0.35"/>
    <row r="236" hidden="1" x14ac:dyDescent="0.35"/>
    <row r="237" hidden="1" x14ac:dyDescent="0.35"/>
    <row r="238" hidden="1" x14ac:dyDescent="0.35"/>
    <row r="239" hidden="1" x14ac:dyDescent="0.35"/>
    <row r="240" hidden="1" x14ac:dyDescent="0.35"/>
    <row r="241" hidden="1" x14ac:dyDescent="0.35"/>
    <row r="242" hidden="1" x14ac:dyDescent="0.35"/>
    <row r="243" hidden="1" x14ac:dyDescent="0.35"/>
    <row r="244" hidden="1" x14ac:dyDescent="0.35"/>
    <row r="245" hidden="1" x14ac:dyDescent="0.35"/>
    <row r="246" hidden="1" x14ac:dyDescent="0.35"/>
    <row r="247" hidden="1" x14ac:dyDescent="0.35"/>
    <row r="248" hidden="1" x14ac:dyDescent="0.35"/>
    <row r="249" hidden="1" x14ac:dyDescent="0.35"/>
    <row r="250" hidden="1" x14ac:dyDescent="0.35"/>
    <row r="251" hidden="1" x14ac:dyDescent="0.35"/>
    <row r="252" hidden="1" x14ac:dyDescent="0.35"/>
    <row r="253" hidden="1" x14ac:dyDescent="0.35"/>
    <row r="254" hidden="1" x14ac:dyDescent="0.35"/>
    <row r="255" hidden="1" x14ac:dyDescent="0.35"/>
    <row r="256" hidden="1" x14ac:dyDescent="0.35"/>
    <row r="257" hidden="1" x14ac:dyDescent="0.35"/>
    <row r="258" hidden="1" x14ac:dyDescent="0.35"/>
    <row r="259" hidden="1" x14ac:dyDescent="0.35"/>
    <row r="260" hidden="1" x14ac:dyDescent="0.35"/>
    <row r="261" hidden="1" x14ac:dyDescent="0.35"/>
    <row r="262" hidden="1" x14ac:dyDescent="0.35"/>
    <row r="263" hidden="1" x14ac:dyDescent="0.35"/>
    <row r="264" hidden="1" x14ac:dyDescent="0.35"/>
    <row r="265" hidden="1" x14ac:dyDescent="0.35"/>
    <row r="266" hidden="1" x14ac:dyDescent="0.35"/>
    <row r="267" hidden="1" x14ac:dyDescent="0.35"/>
    <row r="268" hidden="1" x14ac:dyDescent="0.35"/>
    <row r="269" hidden="1" x14ac:dyDescent="0.35"/>
    <row r="270" hidden="1" x14ac:dyDescent="0.35"/>
    <row r="271" hidden="1" x14ac:dyDescent="0.35"/>
    <row r="272" hidden="1" x14ac:dyDescent="0.35"/>
    <row r="273" hidden="1" x14ac:dyDescent="0.35"/>
    <row r="274" hidden="1" x14ac:dyDescent="0.35"/>
    <row r="275" hidden="1" x14ac:dyDescent="0.35"/>
    <row r="276" hidden="1" x14ac:dyDescent="0.35"/>
    <row r="277" hidden="1" x14ac:dyDescent="0.35"/>
    <row r="278" hidden="1" x14ac:dyDescent="0.35"/>
    <row r="279" hidden="1" x14ac:dyDescent="0.35"/>
    <row r="280" hidden="1" x14ac:dyDescent="0.35"/>
    <row r="281" hidden="1" x14ac:dyDescent="0.35"/>
    <row r="282" hidden="1" x14ac:dyDescent="0.35"/>
    <row r="283" hidden="1" x14ac:dyDescent="0.35"/>
    <row r="284" hidden="1" x14ac:dyDescent="0.35"/>
    <row r="285" hidden="1" x14ac:dyDescent="0.35"/>
    <row r="286" hidden="1" x14ac:dyDescent="0.35"/>
    <row r="287" hidden="1" x14ac:dyDescent="0.35"/>
    <row r="288" hidden="1" x14ac:dyDescent="0.35"/>
    <row r="289" hidden="1" x14ac:dyDescent="0.35"/>
    <row r="290" hidden="1" x14ac:dyDescent="0.35"/>
    <row r="291" hidden="1" x14ac:dyDescent="0.35"/>
    <row r="292" hidden="1" x14ac:dyDescent="0.35"/>
    <row r="293" hidden="1" x14ac:dyDescent="0.35"/>
    <row r="294" hidden="1" x14ac:dyDescent="0.35"/>
    <row r="295" hidden="1" x14ac:dyDescent="0.35"/>
    <row r="296" hidden="1" x14ac:dyDescent="0.35"/>
    <row r="297" hidden="1" x14ac:dyDescent="0.35"/>
    <row r="298" hidden="1" x14ac:dyDescent="0.35"/>
    <row r="299" hidden="1" x14ac:dyDescent="0.35"/>
    <row r="300" hidden="1" x14ac:dyDescent="0.35"/>
    <row r="301" hidden="1" x14ac:dyDescent="0.35"/>
    <row r="302" hidden="1" x14ac:dyDescent="0.35"/>
    <row r="303" hidden="1" x14ac:dyDescent="0.35"/>
    <row r="304" hidden="1" x14ac:dyDescent="0.35"/>
    <row r="305" hidden="1" x14ac:dyDescent="0.35"/>
    <row r="306" hidden="1" x14ac:dyDescent="0.35"/>
    <row r="307" hidden="1" x14ac:dyDescent="0.35"/>
    <row r="308" hidden="1" x14ac:dyDescent="0.35"/>
    <row r="309" hidden="1" x14ac:dyDescent="0.35"/>
    <row r="310" hidden="1" x14ac:dyDescent="0.35"/>
    <row r="311" hidden="1" x14ac:dyDescent="0.35"/>
    <row r="312" hidden="1" x14ac:dyDescent="0.35"/>
    <row r="313" hidden="1" x14ac:dyDescent="0.35"/>
    <row r="314" hidden="1" x14ac:dyDescent="0.35"/>
    <row r="315" hidden="1" x14ac:dyDescent="0.35"/>
    <row r="316" hidden="1" x14ac:dyDescent="0.35"/>
    <row r="317" hidden="1" x14ac:dyDescent="0.35"/>
    <row r="318" hidden="1" x14ac:dyDescent="0.35"/>
    <row r="319" hidden="1" x14ac:dyDescent="0.35"/>
    <row r="320" hidden="1" x14ac:dyDescent="0.35"/>
    <row r="321" hidden="1" x14ac:dyDescent="0.35"/>
    <row r="322" hidden="1" x14ac:dyDescent="0.35"/>
    <row r="323" hidden="1" x14ac:dyDescent="0.35"/>
    <row r="324" hidden="1" x14ac:dyDescent="0.35"/>
    <row r="325" hidden="1" x14ac:dyDescent="0.35"/>
    <row r="326" hidden="1" x14ac:dyDescent="0.35"/>
    <row r="327" hidden="1" x14ac:dyDescent="0.35"/>
    <row r="328" hidden="1" x14ac:dyDescent="0.35"/>
    <row r="329" hidden="1" x14ac:dyDescent="0.35"/>
    <row r="330" hidden="1" x14ac:dyDescent="0.35"/>
    <row r="331" hidden="1" x14ac:dyDescent="0.35"/>
    <row r="332" hidden="1" x14ac:dyDescent="0.35"/>
    <row r="333" hidden="1" x14ac:dyDescent="0.35"/>
    <row r="334" hidden="1" x14ac:dyDescent="0.35"/>
    <row r="335" hidden="1" x14ac:dyDescent="0.35"/>
    <row r="336" hidden="1" x14ac:dyDescent="0.35"/>
    <row r="337" hidden="1" x14ac:dyDescent="0.35"/>
    <row r="338" hidden="1" x14ac:dyDescent="0.35"/>
    <row r="339" hidden="1" x14ac:dyDescent="0.35"/>
    <row r="340" hidden="1" x14ac:dyDescent="0.35"/>
    <row r="341" hidden="1" x14ac:dyDescent="0.35"/>
    <row r="342" hidden="1" x14ac:dyDescent="0.35"/>
    <row r="343" hidden="1" x14ac:dyDescent="0.35"/>
    <row r="344" hidden="1" x14ac:dyDescent="0.35"/>
    <row r="345" hidden="1" x14ac:dyDescent="0.35"/>
    <row r="346" hidden="1" x14ac:dyDescent="0.35"/>
    <row r="347" hidden="1" x14ac:dyDescent="0.35"/>
    <row r="348" hidden="1" x14ac:dyDescent="0.35"/>
    <row r="349" hidden="1" x14ac:dyDescent="0.35"/>
    <row r="350" hidden="1" x14ac:dyDescent="0.35"/>
    <row r="351" hidden="1" x14ac:dyDescent="0.35"/>
    <row r="352" hidden="1" x14ac:dyDescent="0.35"/>
    <row r="353" hidden="1" x14ac:dyDescent="0.35"/>
    <row r="354" hidden="1" x14ac:dyDescent="0.35"/>
    <row r="355" hidden="1" x14ac:dyDescent="0.35"/>
    <row r="356" hidden="1" x14ac:dyDescent="0.35"/>
    <row r="357" hidden="1" x14ac:dyDescent="0.35"/>
    <row r="358" hidden="1" x14ac:dyDescent="0.35"/>
    <row r="359" hidden="1" x14ac:dyDescent="0.35"/>
    <row r="360" hidden="1" x14ac:dyDescent="0.35"/>
    <row r="361" hidden="1" x14ac:dyDescent="0.35"/>
    <row r="362" hidden="1" x14ac:dyDescent="0.35"/>
    <row r="363" hidden="1" x14ac:dyDescent="0.35"/>
    <row r="364" hidden="1" x14ac:dyDescent="0.35"/>
    <row r="365" hidden="1" x14ac:dyDescent="0.35"/>
    <row r="366" hidden="1" x14ac:dyDescent="0.35"/>
    <row r="367" hidden="1" x14ac:dyDescent="0.35"/>
    <row r="368" hidden="1" x14ac:dyDescent="0.35"/>
    <row r="369" hidden="1" x14ac:dyDescent="0.35"/>
    <row r="370" hidden="1" x14ac:dyDescent="0.35"/>
    <row r="371" hidden="1" x14ac:dyDescent="0.35"/>
    <row r="372" hidden="1" x14ac:dyDescent="0.35"/>
    <row r="373" hidden="1" x14ac:dyDescent="0.35"/>
    <row r="374" hidden="1" x14ac:dyDescent="0.35"/>
    <row r="375" hidden="1" x14ac:dyDescent="0.35"/>
    <row r="376" hidden="1" x14ac:dyDescent="0.35"/>
    <row r="377" hidden="1" x14ac:dyDescent="0.35"/>
    <row r="378" hidden="1" x14ac:dyDescent="0.35"/>
    <row r="379" hidden="1" x14ac:dyDescent="0.35"/>
    <row r="380" hidden="1" x14ac:dyDescent="0.35"/>
    <row r="381" hidden="1" x14ac:dyDescent="0.35"/>
    <row r="382" hidden="1" x14ac:dyDescent="0.35"/>
    <row r="383" hidden="1" x14ac:dyDescent="0.35"/>
    <row r="384" hidden="1" x14ac:dyDescent="0.35"/>
    <row r="385" hidden="1" x14ac:dyDescent="0.35"/>
    <row r="386" hidden="1" x14ac:dyDescent="0.35"/>
    <row r="387" hidden="1" x14ac:dyDescent="0.35"/>
    <row r="388" hidden="1" x14ac:dyDescent="0.35"/>
    <row r="389" hidden="1" x14ac:dyDescent="0.35"/>
    <row r="390" hidden="1" x14ac:dyDescent="0.35"/>
    <row r="391" hidden="1" x14ac:dyDescent="0.35"/>
    <row r="392" hidden="1" x14ac:dyDescent="0.35"/>
    <row r="393" hidden="1" x14ac:dyDescent="0.35"/>
    <row r="394" hidden="1" x14ac:dyDescent="0.35"/>
    <row r="395" hidden="1" x14ac:dyDescent="0.35"/>
    <row r="396" hidden="1" x14ac:dyDescent="0.35"/>
    <row r="397" hidden="1" x14ac:dyDescent="0.35"/>
    <row r="398" hidden="1" x14ac:dyDescent="0.35"/>
    <row r="399" hidden="1" x14ac:dyDescent="0.35"/>
    <row r="400" hidden="1" x14ac:dyDescent="0.35"/>
    <row r="401" hidden="1" x14ac:dyDescent="0.35"/>
    <row r="402" hidden="1" x14ac:dyDescent="0.35"/>
    <row r="403" hidden="1" x14ac:dyDescent="0.35"/>
    <row r="404" hidden="1" x14ac:dyDescent="0.35"/>
    <row r="405" hidden="1" x14ac:dyDescent="0.35"/>
    <row r="406" hidden="1" x14ac:dyDescent="0.35"/>
    <row r="407" hidden="1" x14ac:dyDescent="0.35"/>
    <row r="408" hidden="1" x14ac:dyDescent="0.35"/>
    <row r="409" hidden="1" x14ac:dyDescent="0.35"/>
    <row r="410" hidden="1" x14ac:dyDescent="0.35"/>
    <row r="411" hidden="1" x14ac:dyDescent="0.35"/>
    <row r="412" hidden="1" x14ac:dyDescent="0.35"/>
    <row r="413" hidden="1" x14ac:dyDescent="0.35"/>
    <row r="414" hidden="1" x14ac:dyDescent="0.35"/>
    <row r="415" hidden="1" x14ac:dyDescent="0.35"/>
    <row r="416" hidden="1" x14ac:dyDescent="0.35"/>
    <row r="417" hidden="1" x14ac:dyDescent="0.35"/>
    <row r="418" hidden="1" x14ac:dyDescent="0.35"/>
    <row r="419" hidden="1" x14ac:dyDescent="0.35"/>
    <row r="420" hidden="1" x14ac:dyDescent="0.35"/>
    <row r="421" hidden="1" x14ac:dyDescent="0.35"/>
    <row r="422" hidden="1" x14ac:dyDescent="0.35"/>
    <row r="423" hidden="1" x14ac:dyDescent="0.35"/>
    <row r="424" hidden="1" x14ac:dyDescent="0.35"/>
    <row r="425" hidden="1" x14ac:dyDescent="0.35"/>
    <row r="426" hidden="1" x14ac:dyDescent="0.35"/>
    <row r="427" hidden="1" x14ac:dyDescent="0.35"/>
    <row r="428" hidden="1" x14ac:dyDescent="0.35"/>
    <row r="429" hidden="1" x14ac:dyDescent="0.35"/>
    <row r="430" hidden="1" x14ac:dyDescent="0.35"/>
    <row r="431" hidden="1" x14ac:dyDescent="0.35"/>
    <row r="432" hidden="1" x14ac:dyDescent="0.35"/>
    <row r="433" hidden="1" x14ac:dyDescent="0.35"/>
    <row r="434" hidden="1" x14ac:dyDescent="0.35"/>
    <row r="435" hidden="1" x14ac:dyDescent="0.35"/>
    <row r="436" hidden="1" x14ac:dyDescent="0.35"/>
    <row r="437" hidden="1" x14ac:dyDescent="0.35"/>
    <row r="438" hidden="1" x14ac:dyDescent="0.35"/>
    <row r="439" hidden="1" x14ac:dyDescent="0.35"/>
    <row r="440" hidden="1" x14ac:dyDescent="0.35"/>
    <row r="441" hidden="1" x14ac:dyDescent="0.35"/>
    <row r="442" hidden="1" x14ac:dyDescent="0.35"/>
    <row r="443" hidden="1" x14ac:dyDescent="0.35"/>
    <row r="444" hidden="1" x14ac:dyDescent="0.35"/>
    <row r="445" hidden="1" x14ac:dyDescent="0.35"/>
    <row r="446" hidden="1" x14ac:dyDescent="0.35"/>
    <row r="447" hidden="1" x14ac:dyDescent="0.35"/>
    <row r="448" hidden="1" x14ac:dyDescent="0.35"/>
    <row r="449" hidden="1" x14ac:dyDescent="0.35"/>
    <row r="450" hidden="1" x14ac:dyDescent="0.35"/>
    <row r="451" hidden="1" x14ac:dyDescent="0.35"/>
    <row r="452" hidden="1" x14ac:dyDescent="0.35"/>
    <row r="453" hidden="1" x14ac:dyDescent="0.35"/>
    <row r="454" hidden="1" x14ac:dyDescent="0.35"/>
    <row r="455" hidden="1" x14ac:dyDescent="0.35"/>
    <row r="456" hidden="1" x14ac:dyDescent="0.35"/>
    <row r="457" hidden="1" x14ac:dyDescent="0.35"/>
    <row r="458" hidden="1" x14ac:dyDescent="0.35"/>
    <row r="459" hidden="1" x14ac:dyDescent="0.35"/>
    <row r="460" hidden="1" x14ac:dyDescent="0.35"/>
    <row r="461" hidden="1" x14ac:dyDescent="0.35"/>
    <row r="462" hidden="1" x14ac:dyDescent="0.35"/>
    <row r="463" hidden="1" x14ac:dyDescent="0.35"/>
    <row r="464" hidden="1" x14ac:dyDescent="0.35"/>
    <row r="465" hidden="1" x14ac:dyDescent="0.35"/>
    <row r="466" hidden="1" x14ac:dyDescent="0.35"/>
    <row r="467" hidden="1" x14ac:dyDescent="0.35"/>
    <row r="468" hidden="1" x14ac:dyDescent="0.35"/>
    <row r="469" hidden="1" x14ac:dyDescent="0.35"/>
    <row r="470" hidden="1" x14ac:dyDescent="0.35"/>
    <row r="471" hidden="1" x14ac:dyDescent="0.35"/>
    <row r="472" hidden="1" x14ac:dyDescent="0.35"/>
    <row r="473" hidden="1" x14ac:dyDescent="0.35"/>
    <row r="474" hidden="1" x14ac:dyDescent="0.35"/>
    <row r="475" hidden="1" x14ac:dyDescent="0.35"/>
    <row r="476" hidden="1" x14ac:dyDescent="0.35"/>
    <row r="477" hidden="1" x14ac:dyDescent="0.35"/>
    <row r="478" hidden="1" x14ac:dyDescent="0.35"/>
    <row r="479" hidden="1" x14ac:dyDescent="0.35"/>
    <row r="480" hidden="1" x14ac:dyDescent="0.35"/>
    <row r="481" hidden="1" x14ac:dyDescent="0.35"/>
    <row r="482" hidden="1" x14ac:dyDescent="0.35"/>
    <row r="483" hidden="1" x14ac:dyDescent="0.35"/>
    <row r="484" hidden="1" x14ac:dyDescent="0.35"/>
    <row r="485" hidden="1" x14ac:dyDescent="0.35"/>
    <row r="486" hidden="1" x14ac:dyDescent="0.35"/>
    <row r="487" hidden="1" x14ac:dyDescent="0.35"/>
    <row r="488" hidden="1" x14ac:dyDescent="0.35"/>
    <row r="489" hidden="1" x14ac:dyDescent="0.35"/>
    <row r="490" hidden="1" x14ac:dyDescent="0.35"/>
    <row r="491" hidden="1" x14ac:dyDescent="0.35"/>
    <row r="492" hidden="1" x14ac:dyDescent="0.35"/>
    <row r="493" hidden="1" x14ac:dyDescent="0.35"/>
    <row r="494" hidden="1" x14ac:dyDescent="0.35"/>
    <row r="495" hidden="1" x14ac:dyDescent="0.35"/>
    <row r="496" hidden="1" x14ac:dyDescent="0.35"/>
    <row r="497" hidden="1" x14ac:dyDescent="0.35"/>
    <row r="498" hidden="1" x14ac:dyDescent="0.35"/>
    <row r="499" hidden="1" x14ac:dyDescent="0.35"/>
    <row r="500" hidden="1" x14ac:dyDescent="0.35"/>
    <row r="501" hidden="1" x14ac:dyDescent="0.35"/>
    <row r="502" hidden="1" x14ac:dyDescent="0.35"/>
    <row r="503" hidden="1" x14ac:dyDescent="0.35"/>
    <row r="504" hidden="1" x14ac:dyDescent="0.35"/>
    <row r="505" hidden="1" x14ac:dyDescent="0.35"/>
    <row r="506" hidden="1" x14ac:dyDescent="0.35"/>
    <row r="507" hidden="1" x14ac:dyDescent="0.35"/>
    <row r="508" hidden="1" x14ac:dyDescent="0.35"/>
    <row r="509" hidden="1" x14ac:dyDescent="0.35"/>
    <row r="510" hidden="1" x14ac:dyDescent="0.35"/>
    <row r="511" hidden="1" x14ac:dyDescent="0.35"/>
    <row r="512" hidden="1" x14ac:dyDescent="0.35"/>
    <row r="513" hidden="1" x14ac:dyDescent="0.35"/>
    <row r="514" hidden="1" x14ac:dyDescent="0.35"/>
    <row r="515" hidden="1" x14ac:dyDescent="0.35"/>
    <row r="516" hidden="1" x14ac:dyDescent="0.35"/>
    <row r="517" hidden="1" x14ac:dyDescent="0.35"/>
    <row r="518" hidden="1" x14ac:dyDescent="0.35"/>
    <row r="519" hidden="1" x14ac:dyDescent="0.35"/>
    <row r="520" hidden="1" x14ac:dyDescent="0.35"/>
    <row r="521" hidden="1" x14ac:dyDescent="0.35"/>
    <row r="522" hidden="1" x14ac:dyDescent="0.35"/>
    <row r="523" hidden="1" x14ac:dyDescent="0.35"/>
    <row r="524" hidden="1" x14ac:dyDescent="0.35"/>
    <row r="525" hidden="1" x14ac:dyDescent="0.35"/>
    <row r="526" hidden="1" x14ac:dyDescent="0.35"/>
    <row r="527" hidden="1" x14ac:dyDescent="0.35"/>
    <row r="528" hidden="1" x14ac:dyDescent="0.35"/>
    <row r="529" hidden="1" x14ac:dyDescent="0.35"/>
    <row r="530" hidden="1" x14ac:dyDescent="0.35"/>
    <row r="531" hidden="1" x14ac:dyDescent="0.35"/>
    <row r="532" hidden="1" x14ac:dyDescent="0.35"/>
    <row r="533" hidden="1" x14ac:dyDescent="0.35"/>
    <row r="534" hidden="1" x14ac:dyDescent="0.35"/>
    <row r="535" hidden="1" x14ac:dyDescent="0.35"/>
    <row r="536" hidden="1" x14ac:dyDescent="0.35"/>
    <row r="537" hidden="1" x14ac:dyDescent="0.35"/>
    <row r="538" hidden="1" x14ac:dyDescent="0.35"/>
    <row r="539" hidden="1" x14ac:dyDescent="0.35"/>
    <row r="540" hidden="1" x14ac:dyDescent="0.35"/>
    <row r="541" hidden="1" x14ac:dyDescent="0.35"/>
    <row r="542" hidden="1" x14ac:dyDescent="0.35"/>
    <row r="543" hidden="1" x14ac:dyDescent="0.35"/>
    <row r="544" hidden="1" x14ac:dyDescent="0.35"/>
    <row r="545" hidden="1" x14ac:dyDescent="0.35"/>
    <row r="546" hidden="1" x14ac:dyDescent="0.35"/>
    <row r="547" hidden="1" x14ac:dyDescent="0.35"/>
    <row r="548" hidden="1" x14ac:dyDescent="0.35"/>
    <row r="549" hidden="1" x14ac:dyDescent="0.35"/>
    <row r="550" hidden="1" x14ac:dyDescent="0.35"/>
    <row r="551" hidden="1" x14ac:dyDescent="0.35"/>
    <row r="552" hidden="1" x14ac:dyDescent="0.35"/>
    <row r="553" hidden="1" x14ac:dyDescent="0.35"/>
    <row r="554" hidden="1" x14ac:dyDescent="0.35"/>
    <row r="555" hidden="1" x14ac:dyDescent="0.35"/>
    <row r="556" hidden="1" x14ac:dyDescent="0.35"/>
    <row r="557" hidden="1" x14ac:dyDescent="0.35"/>
    <row r="558" hidden="1" x14ac:dyDescent="0.35"/>
    <row r="559" hidden="1" x14ac:dyDescent="0.35"/>
    <row r="560" hidden="1" x14ac:dyDescent="0.35"/>
    <row r="561" hidden="1" x14ac:dyDescent="0.35"/>
    <row r="562" hidden="1" x14ac:dyDescent="0.35"/>
    <row r="563" hidden="1" x14ac:dyDescent="0.35"/>
    <row r="564" hidden="1" x14ac:dyDescent="0.35"/>
    <row r="565" hidden="1" x14ac:dyDescent="0.35"/>
    <row r="566" hidden="1" x14ac:dyDescent="0.35"/>
    <row r="567" hidden="1" x14ac:dyDescent="0.35"/>
    <row r="568" hidden="1" x14ac:dyDescent="0.35"/>
    <row r="569" hidden="1" x14ac:dyDescent="0.35"/>
    <row r="570" hidden="1" x14ac:dyDescent="0.35"/>
    <row r="571" hidden="1" x14ac:dyDescent="0.35"/>
    <row r="572" hidden="1" x14ac:dyDescent="0.35"/>
    <row r="573" hidden="1" x14ac:dyDescent="0.35"/>
    <row r="574" hidden="1" x14ac:dyDescent="0.35"/>
    <row r="575" hidden="1" x14ac:dyDescent="0.35"/>
    <row r="576" hidden="1" x14ac:dyDescent="0.35"/>
    <row r="577" hidden="1" x14ac:dyDescent="0.35"/>
    <row r="578" hidden="1" x14ac:dyDescent="0.35"/>
    <row r="579" hidden="1" x14ac:dyDescent="0.35"/>
    <row r="580" hidden="1" x14ac:dyDescent="0.35"/>
    <row r="581" hidden="1" x14ac:dyDescent="0.35"/>
    <row r="582" hidden="1" x14ac:dyDescent="0.35"/>
    <row r="583" hidden="1" x14ac:dyDescent="0.35"/>
    <row r="584" hidden="1" x14ac:dyDescent="0.35"/>
    <row r="585" hidden="1" x14ac:dyDescent="0.35"/>
    <row r="586" hidden="1" x14ac:dyDescent="0.35"/>
    <row r="587" hidden="1" x14ac:dyDescent="0.35"/>
    <row r="588" hidden="1" x14ac:dyDescent="0.35"/>
    <row r="589" hidden="1" x14ac:dyDescent="0.35"/>
    <row r="590" hidden="1" x14ac:dyDescent="0.35"/>
    <row r="591" hidden="1" x14ac:dyDescent="0.35"/>
    <row r="592" hidden="1" x14ac:dyDescent="0.35"/>
    <row r="593" hidden="1" x14ac:dyDescent="0.35"/>
    <row r="594" hidden="1" x14ac:dyDescent="0.35"/>
    <row r="595" hidden="1" x14ac:dyDescent="0.35"/>
    <row r="596" hidden="1" x14ac:dyDescent="0.35"/>
    <row r="597" hidden="1" x14ac:dyDescent="0.35"/>
    <row r="598" hidden="1" x14ac:dyDescent="0.35"/>
    <row r="599" hidden="1" x14ac:dyDescent="0.35"/>
    <row r="600" hidden="1" x14ac:dyDescent="0.35"/>
    <row r="601" hidden="1" x14ac:dyDescent="0.35"/>
    <row r="602" hidden="1" x14ac:dyDescent="0.35"/>
    <row r="603" hidden="1" x14ac:dyDescent="0.35"/>
    <row r="604" hidden="1" x14ac:dyDescent="0.35"/>
    <row r="605" hidden="1" x14ac:dyDescent="0.35"/>
    <row r="606" hidden="1" x14ac:dyDescent="0.35"/>
    <row r="607" hidden="1" x14ac:dyDescent="0.35"/>
    <row r="608" hidden="1" x14ac:dyDescent="0.35"/>
    <row r="609" hidden="1" x14ac:dyDescent="0.35"/>
    <row r="610" hidden="1" x14ac:dyDescent="0.35"/>
    <row r="611" hidden="1" x14ac:dyDescent="0.35"/>
    <row r="612" hidden="1" x14ac:dyDescent="0.35"/>
    <row r="613" hidden="1" x14ac:dyDescent="0.35"/>
    <row r="614" hidden="1" x14ac:dyDescent="0.35"/>
    <row r="615" hidden="1" x14ac:dyDescent="0.35"/>
    <row r="616" hidden="1" x14ac:dyDescent="0.35"/>
    <row r="617" hidden="1" x14ac:dyDescent="0.35"/>
    <row r="618" hidden="1" x14ac:dyDescent="0.35"/>
    <row r="619" hidden="1" x14ac:dyDescent="0.35"/>
    <row r="620" hidden="1" x14ac:dyDescent="0.35"/>
    <row r="621" hidden="1" x14ac:dyDescent="0.35"/>
    <row r="622" hidden="1" x14ac:dyDescent="0.35"/>
    <row r="623" hidden="1" x14ac:dyDescent="0.35"/>
    <row r="624" hidden="1" x14ac:dyDescent="0.35"/>
    <row r="625" hidden="1" x14ac:dyDescent="0.35"/>
    <row r="626" hidden="1" x14ac:dyDescent="0.35"/>
    <row r="627" hidden="1" x14ac:dyDescent="0.35"/>
    <row r="628" hidden="1" x14ac:dyDescent="0.35"/>
    <row r="629" hidden="1" x14ac:dyDescent="0.35"/>
    <row r="630" hidden="1" x14ac:dyDescent="0.35"/>
    <row r="631" hidden="1" x14ac:dyDescent="0.35"/>
    <row r="632" hidden="1" x14ac:dyDescent="0.35"/>
    <row r="633" hidden="1" x14ac:dyDescent="0.35"/>
    <row r="634" hidden="1" x14ac:dyDescent="0.35"/>
    <row r="635" hidden="1" x14ac:dyDescent="0.35"/>
    <row r="636" hidden="1" x14ac:dyDescent="0.35"/>
    <row r="637" hidden="1" x14ac:dyDescent="0.35"/>
    <row r="638" hidden="1" x14ac:dyDescent="0.35"/>
    <row r="639" hidden="1" x14ac:dyDescent="0.35"/>
    <row r="640" hidden="1" x14ac:dyDescent="0.35"/>
    <row r="641" hidden="1" x14ac:dyDescent="0.35"/>
    <row r="642" hidden="1" x14ac:dyDescent="0.35"/>
    <row r="643" hidden="1" x14ac:dyDescent="0.35"/>
    <row r="644" hidden="1" x14ac:dyDescent="0.35"/>
    <row r="645" hidden="1" x14ac:dyDescent="0.35"/>
    <row r="646" hidden="1" x14ac:dyDescent="0.35"/>
    <row r="647" hidden="1" x14ac:dyDescent="0.35"/>
    <row r="648" hidden="1" x14ac:dyDescent="0.35"/>
    <row r="649" hidden="1" x14ac:dyDescent="0.35"/>
    <row r="650" hidden="1" x14ac:dyDescent="0.35"/>
    <row r="651" hidden="1" x14ac:dyDescent="0.35"/>
    <row r="652" hidden="1" x14ac:dyDescent="0.35"/>
    <row r="653" hidden="1" x14ac:dyDescent="0.35"/>
    <row r="654" hidden="1" x14ac:dyDescent="0.35"/>
    <row r="655" hidden="1" x14ac:dyDescent="0.35"/>
    <row r="656" hidden="1" x14ac:dyDescent="0.35"/>
    <row r="657" hidden="1" x14ac:dyDescent="0.35"/>
    <row r="658" hidden="1" x14ac:dyDescent="0.35"/>
    <row r="659" hidden="1" x14ac:dyDescent="0.35"/>
    <row r="660" hidden="1" x14ac:dyDescent="0.35"/>
    <row r="661" hidden="1" x14ac:dyDescent="0.35"/>
    <row r="662" hidden="1" x14ac:dyDescent="0.35"/>
    <row r="663" hidden="1" x14ac:dyDescent="0.35"/>
    <row r="664" hidden="1" x14ac:dyDescent="0.35"/>
    <row r="665" hidden="1" x14ac:dyDescent="0.35"/>
    <row r="666" hidden="1" x14ac:dyDescent="0.35"/>
    <row r="667" hidden="1" x14ac:dyDescent="0.35"/>
    <row r="668" hidden="1" x14ac:dyDescent="0.35"/>
    <row r="669" hidden="1" x14ac:dyDescent="0.35"/>
    <row r="670" hidden="1" x14ac:dyDescent="0.35"/>
    <row r="671" hidden="1" x14ac:dyDescent="0.35"/>
    <row r="672" hidden="1" x14ac:dyDescent="0.35"/>
    <row r="673" hidden="1" x14ac:dyDescent="0.35"/>
    <row r="674" hidden="1" x14ac:dyDescent="0.35"/>
    <row r="675" hidden="1" x14ac:dyDescent="0.35"/>
    <row r="676" hidden="1" x14ac:dyDescent="0.35"/>
    <row r="677" hidden="1" x14ac:dyDescent="0.35"/>
    <row r="678" hidden="1" x14ac:dyDescent="0.35"/>
    <row r="679" hidden="1" x14ac:dyDescent="0.35"/>
    <row r="680" hidden="1" x14ac:dyDescent="0.35"/>
    <row r="681" hidden="1" x14ac:dyDescent="0.35"/>
    <row r="682" hidden="1" x14ac:dyDescent="0.35"/>
    <row r="683" hidden="1" x14ac:dyDescent="0.35"/>
    <row r="684" hidden="1" x14ac:dyDescent="0.35"/>
    <row r="685" hidden="1" x14ac:dyDescent="0.35"/>
    <row r="686" hidden="1" x14ac:dyDescent="0.35"/>
    <row r="687" hidden="1" x14ac:dyDescent="0.35"/>
    <row r="688" hidden="1" x14ac:dyDescent="0.35"/>
    <row r="689" hidden="1" x14ac:dyDescent="0.35"/>
    <row r="690" hidden="1" x14ac:dyDescent="0.35"/>
    <row r="691" hidden="1" x14ac:dyDescent="0.35"/>
    <row r="692" hidden="1" x14ac:dyDescent="0.35"/>
    <row r="693" hidden="1" x14ac:dyDescent="0.35"/>
    <row r="694" hidden="1" x14ac:dyDescent="0.35"/>
    <row r="695" hidden="1" x14ac:dyDescent="0.35"/>
    <row r="696" hidden="1" x14ac:dyDescent="0.35"/>
    <row r="697" hidden="1" x14ac:dyDescent="0.35"/>
    <row r="698" hidden="1" x14ac:dyDescent="0.35"/>
    <row r="699" hidden="1" x14ac:dyDescent="0.35"/>
    <row r="700" hidden="1" x14ac:dyDescent="0.35"/>
    <row r="701" hidden="1" x14ac:dyDescent="0.35"/>
    <row r="702" hidden="1" x14ac:dyDescent="0.35"/>
    <row r="703" hidden="1" x14ac:dyDescent="0.35"/>
    <row r="704" hidden="1" x14ac:dyDescent="0.35"/>
    <row r="705" hidden="1" x14ac:dyDescent="0.35"/>
    <row r="706" hidden="1" x14ac:dyDescent="0.35"/>
    <row r="707" hidden="1" x14ac:dyDescent="0.35"/>
    <row r="708" hidden="1" x14ac:dyDescent="0.35"/>
    <row r="709" hidden="1" x14ac:dyDescent="0.35"/>
    <row r="710" hidden="1" x14ac:dyDescent="0.35"/>
    <row r="711" hidden="1" x14ac:dyDescent="0.35"/>
    <row r="712" hidden="1" x14ac:dyDescent="0.35"/>
    <row r="713" hidden="1" x14ac:dyDescent="0.35"/>
    <row r="714" hidden="1" x14ac:dyDescent="0.35"/>
    <row r="715" hidden="1" x14ac:dyDescent="0.35"/>
    <row r="716" hidden="1" x14ac:dyDescent="0.35"/>
    <row r="717" hidden="1" x14ac:dyDescent="0.35"/>
    <row r="718" hidden="1" x14ac:dyDescent="0.35"/>
    <row r="719" hidden="1" x14ac:dyDescent="0.35"/>
    <row r="720" hidden="1" x14ac:dyDescent="0.35"/>
    <row r="721" hidden="1" x14ac:dyDescent="0.35"/>
    <row r="722" hidden="1" x14ac:dyDescent="0.35"/>
    <row r="723" hidden="1" x14ac:dyDescent="0.35"/>
    <row r="724" hidden="1" x14ac:dyDescent="0.35"/>
    <row r="725" hidden="1" x14ac:dyDescent="0.35"/>
    <row r="726" hidden="1" x14ac:dyDescent="0.35"/>
    <row r="727" hidden="1" x14ac:dyDescent="0.35"/>
    <row r="728" hidden="1" x14ac:dyDescent="0.35"/>
    <row r="729" hidden="1" x14ac:dyDescent="0.35"/>
    <row r="730" hidden="1" x14ac:dyDescent="0.35"/>
    <row r="731" hidden="1" x14ac:dyDescent="0.35"/>
    <row r="732" hidden="1" x14ac:dyDescent="0.35"/>
    <row r="733" hidden="1" x14ac:dyDescent="0.35"/>
    <row r="734" hidden="1" x14ac:dyDescent="0.35"/>
    <row r="735" hidden="1" x14ac:dyDescent="0.35"/>
    <row r="736" hidden="1" x14ac:dyDescent="0.35"/>
    <row r="737" hidden="1" x14ac:dyDescent="0.35"/>
    <row r="738" hidden="1" x14ac:dyDescent="0.35"/>
    <row r="739" hidden="1" x14ac:dyDescent="0.35"/>
    <row r="740" hidden="1" x14ac:dyDescent="0.35"/>
    <row r="741" hidden="1" x14ac:dyDescent="0.35"/>
    <row r="742" hidden="1" x14ac:dyDescent="0.35"/>
    <row r="743" hidden="1" x14ac:dyDescent="0.35"/>
    <row r="744" hidden="1" x14ac:dyDescent="0.35"/>
    <row r="745" hidden="1" x14ac:dyDescent="0.35"/>
    <row r="746" hidden="1" x14ac:dyDescent="0.35"/>
    <row r="747" hidden="1" x14ac:dyDescent="0.35"/>
    <row r="748" hidden="1" x14ac:dyDescent="0.35"/>
    <row r="749" hidden="1" x14ac:dyDescent="0.35"/>
    <row r="750" hidden="1" x14ac:dyDescent="0.35"/>
    <row r="751" hidden="1" x14ac:dyDescent="0.35"/>
    <row r="752" hidden="1" x14ac:dyDescent="0.35"/>
    <row r="753" hidden="1" x14ac:dyDescent="0.35"/>
    <row r="754" hidden="1" x14ac:dyDescent="0.35"/>
    <row r="755" hidden="1" x14ac:dyDescent="0.35"/>
    <row r="756" hidden="1" x14ac:dyDescent="0.35"/>
    <row r="757" hidden="1" x14ac:dyDescent="0.35"/>
    <row r="758" hidden="1" x14ac:dyDescent="0.35"/>
    <row r="759" hidden="1" x14ac:dyDescent="0.35"/>
    <row r="760" hidden="1" x14ac:dyDescent="0.35"/>
    <row r="761" hidden="1" x14ac:dyDescent="0.35"/>
    <row r="762" hidden="1" x14ac:dyDescent="0.35"/>
    <row r="763" hidden="1" x14ac:dyDescent="0.35"/>
    <row r="764" hidden="1" x14ac:dyDescent="0.35"/>
    <row r="765" hidden="1" x14ac:dyDescent="0.35"/>
    <row r="766" hidden="1" x14ac:dyDescent="0.35"/>
    <row r="767" hidden="1" x14ac:dyDescent="0.35"/>
    <row r="768" hidden="1" x14ac:dyDescent="0.35"/>
    <row r="769" hidden="1" x14ac:dyDescent="0.35"/>
    <row r="770" hidden="1" x14ac:dyDescent="0.35"/>
    <row r="771" hidden="1" x14ac:dyDescent="0.35"/>
    <row r="772" hidden="1" x14ac:dyDescent="0.35"/>
    <row r="773" hidden="1" x14ac:dyDescent="0.35"/>
    <row r="774" hidden="1" x14ac:dyDescent="0.35"/>
    <row r="775" hidden="1" x14ac:dyDescent="0.35"/>
    <row r="776" hidden="1" x14ac:dyDescent="0.35"/>
    <row r="777" hidden="1" x14ac:dyDescent="0.35"/>
    <row r="778" hidden="1" x14ac:dyDescent="0.35"/>
    <row r="779" hidden="1" x14ac:dyDescent="0.35"/>
    <row r="780" hidden="1" x14ac:dyDescent="0.35"/>
    <row r="781" hidden="1" x14ac:dyDescent="0.35"/>
    <row r="782" hidden="1" x14ac:dyDescent="0.35"/>
    <row r="783" hidden="1" x14ac:dyDescent="0.35"/>
    <row r="784" hidden="1" x14ac:dyDescent="0.35"/>
    <row r="785" hidden="1" x14ac:dyDescent="0.35"/>
    <row r="786" hidden="1" x14ac:dyDescent="0.35"/>
    <row r="787" hidden="1" x14ac:dyDescent="0.35"/>
    <row r="788" hidden="1" x14ac:dyDescent="0.35"/>
    <row r="789" hidden="1" x14ac:dyDescent="0.35"/>
    <row r="790" hidden="1" x14ac:dyDescent="0.35"/>
    <row r="791" hidden="1" x14ac:dyDescent="0.35"/>
    <row r="792" hidden="1" x14ac:dyDescent="0.35"/>
    <row r="793" hidden="1" x14ac:dyDescent="0.35"/>
    <row r="794" hidden="1" x14ac:dyDescent="0.35"/>
    <row r="795" hidden="1" x14ac:dyDescent="0.35"/>
    <row r="796" hidden="1" x14ac:dyDescent="0.35"/>
    <row r="797" hidden="1" x14ac:dyDescent="0.35"/>
    <row r="798" hidden="1" x14ac:dyDescent="0.35"/>
    <row r="799" hidden="1" x14ac:dyDescent="0.35"/>
    <row r="800" hidden="1" x14ac:dyDescent="0.35"/>
    <row r="801" hidden="1" x14ac:dyDescent="0.35"/>
    <row r="802" hidden="1" x14ac:dyDescent="0.35"/>
    <row r="803" hidden="1" x14ac:dyDescent="0.35"/>
    <row r="804" hidden="1" x14ac:dyDescent="0.35"/>
    <row r="805" hidden="1" x14ac:dyDescent="0.35"/>
    <row r="806" hidden="1" x14ac:dyDescent="0.35"/>
    <row r="807" hidden="1" x14ac:dyDescent="0.35"/>
    <row r="808" hidden="1" x14ac:dyDescent="0.35"/>
    <row r="809" hidden="1" x14ac:dyDescent="0.35"/>
    <row r="810" hidden="1" x14ac:dyDescent="0.35"/>
    <row r="811" hidden="1" x14ac:dyDescent="0.35"/>
    <row r="812" hidden="1" x14ac:dyDescent="0.35"/>
    <row r="813" hidden="1" x14ac:dyDescent="0.35"/>
    <row r="814" hidden="1" x14ac:dyDescent="0.35"/>
    <row r="815" hidden="1" x14ac:dyDescent="0.35"/>
    <row r="816" hidden="1" x14ac:dyDescent="0.35"/>
    <row r="817" hidden="1" x14ac:dyDescent="0.35"/>
    <row r="818" hidden="1" x14ac:dyDescent="0.35"/>
    <row r="819" hidden="1" x14ac:dyDescent="0.35"/>
    <row r="820" hidden="1" x14ac:dyDescent="0.35"/>
    <row r="821" hidden="1" x14ac:dyDescent="0.35"/>
    <row r="822" hidden="1" x14ac:dyDescent="0.35"/>
    <row r="823" hidden="1" x14ac:dyDescent="0.35"/>
    <row r="824" hidden="1" x14ac:dyDescent="0.35"/>
    <row r="825" hidden="1" x14ac:dyDescent="0.35"/>
    <row r="826" hidden="1" x14ac:dyDescent="0.35"/>
    <row r="827" hidden="1" x14ac:dyDescent="0.35"/>
    <row r="828" hidden="1" x14ac:dyDescent="0.35"/>
    <row r="829" hidden="1" x14ac:dyDescent="0.35"/>
    <row r="830" hidden="1" x14ac:dyDescent="0.35"/>
    <row r="831" hidden="1" x14ac:dyDescent="0.35"/>
    <row r="832" hidden="1" x14ac:dyDescent="0.35"/>
    <row r="833" hidden="1" x14ac:dyDescent="0.35"/>
    <row r="834" hidden="1" x14ac:dyDescent="0.35"/>
    <row r="835" hidden="1" x14ac:dyDescent="0.35"/>
    <row r="836" hidden="1" x14ac:dyDescent="0.35"/>
    <row r="837" hidden="1" x14ac:dyDescent="0.35"/>
    <row r="838" hidden="1" x14ac:dyDescent="0.35"/>
    <row r="839" hidden="1" x14ac:dyDescent="0.35"/>
    <row r="840" hidden="1" x14ac:dyDescent="0.35"/>
    <row r="841" hidden="1" x14ac:dyDescent="0.35"/>
    <row r="842" hidden="1" x14ac:dyDescent="0.35"/>
    <row r="843" hidden="1" x14ac:dyDescent="0.35"/>
    <row r="844" hidden="1" x14ac:dyDescent="0.35"/>
    <row r="845" hidden="1" x14ac:dyDescent="0.35"/>
    <row r="846" hidden="1" x14ac:dyDescent="0.35"/>
    <row r="847" hidden="1" x14ac:dyDescent="0.35"/>
    <row r="848" hidden="1" x14ac:dyDescent="0.35"/>
    <row r="849" hidden="1" x14ac:dyDescent="0.35"/>
    <row r="850" hidden="1" x14ac:dyDescent="0.35"/>
    <row r="851" hidden="1" x14ac:dyDescent="0.35"/>
    <row r="852" hidden="1" x14ac:dyDescent="0.35"/>
    <row r="853" hidden="1" x14ac:dyDescent="0.35"/>
    <row r="854" hidden="1" x14ac:dyDescent="0.35"/>
    <row r="855" hidden="1" x14ac:dyDescent="0.35"/>
    <row r="856" hidden="1" x14ac:dyDescent="0.35"/>
    <row r="857" hidden="1" x14ac:dyDescent="0.35"/>
    <row r="858" hidden="1" x14ac:dyDescent="0.35"/>
    <row r="859" hidden="1" x14ac:dyDescent="0.35"/>
    <row r="860" hidden="1" x14ac:dyDescent="0.35"/>
    <row r="861" hidden="1" x14ac:dyDescent="0.35"/>
    <row r="862" hidden="1" x14ac:dyDescent="0.35"/>
    <row r="863" hidden="1" x14ac:dyDescent="0.35"/>
    <row r="864" hidden="1" x14ac:dyDescent="0.35"/>
    <row r="865" hidden="1" x14ac:dyDescent="0.35"/>
    <row r="866" hidden="1" x14ac:dyDescent="0.35"/>
    <row r="867" hidden="1" x14ac:dyDescent="0.35"/>
    <row r="868" hidden="1" x14ac:dyDescent="0.35"/>
    <row r="869" hidden="1" x14ac:dyDescent="0.35"/>
    <row r="870" hidden="1" x14ac:dyDescent="0.35"/>
    <row r="871" hidden="1" x14ac:dyDescent="0.35"/>
    <row r="872" hidden="1" x14ac:dyDescent="0.35"/>
    <row r="873" hidden="1" x14ac:dyDescent="0.35"/>
    <row r="874" hidden="1" x14ac:dyDescent="0.35"/>
    <row r="875" hidden="1" x14ac:dyDescent="0.35"/>
    <row r="876" hidden="1" x14ac:dyDescent="0.35"/>
    <row r="877" hidden="1" x14ac:dyDescent="0.35"/>
    <row r="878" hidden="1" x14ac:dyDescent="0.35"/>
    <row r="879" hidden="1" x14ac:dyDescent="0.35"/>
    <row r="880" hidden="1" x14ac:dyDescent="0.35"/>
    <row r="881" hidden="1" x14ac:dyDescent="0.35"/>
    <row r="882" hidden="1" x14ac:dyDescent="0.35"/>
    <row r="883" hidden="1" x14ac:dyDescent="0.35"/>
    <row r="884" hidden="1" x14ac:dyDescent="0.35"/>
    <row r="885" hidden="1" x14ac:dyDescent="0.35"/>
    <row r="886" hidden="1" x14ac:dyDescent="0.35"/>
    <row r="887" hidden="1" x14ac:dyDescent="0.35"/>
    <row r="888" hidden="1" x14ac:dyDescent="0.35"/>
    <row r="889" hidden="1" x14ac:dyDescent="0.35"/>
    <row r="890" hidden="1" x14ac:dyDescent="0.35"/>
    <row r="891" hidden="1" x14ac:dyDescent="0.35"/>
    <row r="892" hidden="1" x14ac:dyDescent="0.35"/>
    <row r="893" hidden="1" x14ac:dyDescent="0.35"/>
    <row r="894" hidden="1" x14ac:dyDescent="0.35"/>
    <row r="895" hidden="1" x14ac:dyDescent="0.35"/>
    <row r="896" hidden="1" x14ac:dyDescent="0.35"/>
    <row r="897" hidden="1" x14ac:dyDescent="0.35"/>
    <row r="898" hidden="1" x14ac:dyDescent="0.35"/>
    <row r="899" hidden="1" x14ac:dyDescent="0.35"/>
    <row r="900" hidden="1" x14ac:dyDescent="0.35"/>
    <row r="901" hidden="1" x14ac:dyDescent="0.35"/>
    <row r="902" hidden="1" x14ac:dyDescent="0.35"/>
    <row r="903" hidden="1" x14ac:dyDescent="0.35"/>
    <row r="904" hidden="1" x14ac:dyDescent="0.35"/>
  </sheetData>
  <sheetProtection formatCells="0" formatColumns="0" formatRows="0" insertColumns="0" insertRows="0"/>
  <pageMargins left="0.7" right="0.7" top="0.75" bottom="0.75" header="0.3" footer="0.3"/>
  <pageSetup scale="25" fitToHeight="0" orientation="landscape" horizontalDpi="4294967293" r:id="rId1"/>
  <headerFooter>
    <oddFooter>&amp;L&amp;A&amp;R&amp;P of &amp;N</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1:AC218"/>
  <sheetViews>
    <sheetView topLeftCell="C1" zoomScale="75" zoomScaleNormal="75" workbookViewId="0">
      <selection activeCell="C1" sqref="C1"/>
    </sheetView>
  </sheetViews>
  <sheetFormatPr defaultColWidth="0" defaultRowHeight="12.75" zeroHeight="1" outlineLevelRow="2" x14ac:dyDescent="0.45"/>
  <cols>
    <col min="1" max="2" width="8.86328125" style="201" hidden="1" customWidth="1"/>
    <col min="3" max="3" width="2" style="201" customWidth="1"/>
    <col min="4" max="6" width="2.3984375" style="201" customWidth="1"/>
    <col min="7" max="7" width="2.73046875" style="201" customWidth="1"/>
    <col min="8" max="8" width="8.86328125" style="201" customWidth="1"/>
    <col min="9" max="9" width="3.86328125" style="201" customWidth="1"/>
    <col min="10" max="10" width="19.73046875" style="201" customWidth="1"/>
    <col min="11" max="11" width="27.3984375" style="201" customWidth="1"/>
    <col min="12" max="12" width="18.59765625" style="201" customWidth="1"/>
    <col min="13" max="19" width="18.73046875" style="201" customWidth="1"/>
    <col min="20" max="20" width="2.73046875" style="695" customWidth="1"/>
    <col min="21" max="29" width="0" style="201" hidden="1" customWidth="1"/>
    <col min="30" max="16384" width="8.86328125" style="201" hidden="1"/>
  </cols>
  <sheetData>
    <row r="1" spans="3:20" x14ac:dyDescent="0.45">
      <c r="C1" s="421" t="s">
        <v>584</v>
      </c>
      <c r="D1" s="421"/>
      <c r="E1" s="421"/>
      <c r="F1" s="421"/>
      <c r="G1" s="421"/>
      <c r="H1" s="430"/>
      <c r="I1" s="430"/>
      <c r="J1" s="430"/>
      <c r="K1" s="430"/>
      <c r="L1" s="430"/>
      <c r="M1" s="430"/>
      <c r="N1" s="430"/>
      <c r="O1" s="430"/>
      <c r="P1" s="430"/>
      <c r="Q1" s="430"/>
      <c r="R1" s="430"/>
      <c r="S1" s="430"/>
      <c r="T1" s="430"/>
    </row>
    <row r="2" spans="3:20" x14ac:dyDescent="0.45">
      <c r="C2" s="1399"/>
      <c r="D2" s="1399"/>
      <c r="E2" s="1399"/>
      <c r="F2" s="1399"/>
      <c r="G2" s="1399"/>
      <c r="H2" s="430"/>
      <c r="I2" s="430"/>
      <c r="J2" s="430"/>
      <c r="K2" s="430"/>
      <c r="L2" s="430"/>
      <c r="M2" s="430"/>
      <c r="N2" s="430"/>
      <c r="O2" s="430"/>
      <c r="P2" s="430"/>
      <c r="Q2" s="430"/>
      <c r="R2" s="430"/>
      <c r="S2" s="430"/>
      <c r="T2" s="430"/>
    </row>
    <row r="3" spans="3:20" ht="13.15" x14ac:dyDescent="0.45">
      <c r="C3" s="1400" t="s">
        <v>699</v>
      </c>
      <c r="D3" s="1400"/>
      <c r="E3" s="1400"/>
      <c r="F3" s="1400"/>
      <c r="G3" s="1400"/>
      <c r="H3" s="1401"/>
      <c r="I3" s="1401"/>
      <c r="J3" s="1401"/>
      <c r="K3" s="1402"/>
      <c r="L3" s="1402"/>
      <c r="M3" s="1403"/>
      <c r="N3" s="1403"/>
      <c r="O3" s="1403"/>
      <c r="P3" s="1403"/>
      <c r="Q3" s="1403"/>
      <c r="R3" s="1403"/>
      <c r="S3" s="1403"/>
      <c r="T3" s="1404"/>
    </row>
    <row r="4" spans="3:20" ht="13.15" x14ac:dyDescent="0.45">
      <c r="C4" s="1405"/>
      <c r="D4" s="1405"/>
      <c r="E4" s="1405"/>
      <c r="F4" s="1405"/>
      <c r="G4" s="1405"/>
      <c r="H4" s="430"/>
      <c r="I4" s="430"/>
      <c r="J4" s="1406"/>
      <c r="K4" s="1406"/>
      <c r="L4" s="1406"/>
      <c r="M4" s="1407"/>
      <c r="N4" s="1407"/>
      <c r="O4" s="1407"/>
      <c r="P4" s="1407"/>
      <c r="Q4" s="1407"/>
      <c r="R4" s="1404"/>
      <c r="S4" s="1404"/>
      <c r="T4" s="1404"/>
    </row>
    <row r="5" spans="3:20" ht="13.15" x14ac:dyDescent="0.45">
      <c r="C5" s="1405"/>
      <c r="D5" s="461" t="s">
        <v>576</v>
      </c>
      <c r="E5" s="1405"/>
      <c r="F5" s="695"/>
      <c r="G5" s="1405"/>
      <c r="H5" s="695"/>
      <c r="I5" s="461"/>
      <c r="J5" s="1406"/>
      <c r="K5" s="1406"/>
      <c r="L5" s="1406"/>
      <c r="M5" s="1407"/>
      <c r="N5" s="1407"/>
      <c r="O5" s="1407"/>
      <c r="P5" s="1408"/>
      <c r="Q5" s="1409"/>
      <c r="R5" s="1404"/>
      <c r="S5" s="1404"/>
      <c r="T5" s="1404"/>
    </row>
    <row r="6" spans="3:20" ht="13.15" x14ac:dyDescent="0.45">
      <c r="C6" s="1405"/>
      <c r="D6" s="1405"/>
      <c r="E6" s="695"/>
      <c r="F6" s="430" t="s">
        <v>482</v>
      </c>
      <c r="G6" s="695"/>
      <c r="H6" s="461"/>
      <c r="I6" s="695"/>
      <c r="J6" s="695"/>
      <c r="K6" s="695"/>
      <c r="L6" s="1406"/>
      <c r="M6" s="1407"/>
      <c r="N6" s="1407"/>
      <c r="O6" s="1407"/>
      <c r="P6" s="1407"/>
      <c r="Q6" s="1407"/>
      <c r="R6" s="1404"/>
      <c r="S6" s="1404"/>
      <c r="T6" s="1404"/>
    </row>
    <row r="7" spans="3:20" ht="13.15" x14ac:dyDescent="0.45">
      <c r="C7" s="1405"/>
      <c r="D7" s="1405"/>
      <c r="E7" s="695"/>
      <c r="F7" s="430" t="s">
        <v>483</v>
      </c>
      <c r="G7" s="695"/>
      <c r="H7" s="430"/>
      <c r="I7" s="695"/>
      <c r="J7" s="695"/>
      <c r="K7" s="695"/>
      <c r="L7" s="1406"/>
      <c r="M7" s="1407"/>
      <c r="N7" s="1407"/>
      <c r="O7" s="1407"/>
      <c r="P7" s="1407"/>
      <c r="Q7" s="1407"/>
      <c r="R7" s="1404"/>
      <c r="S7" s="1404"/>
      <c r="T7" s="1404"/>
    </row>
    <row r="8" spans="3:20" ht="13.15" x14ac:dyDescent="0.45">
      <c r="C8" s="1405"/>
      <c r="D8" s="1405"/>
      <c r="E8" s="695"/>
      <c r="F8" s="695" t="s">
        <v>484</v>
      </c>
      <c r="G8" s="695"/>
      <c r="H8" s="430"/>
      <c r="I8" s="695"/>
      <c r="J8" s="695"/>
      <c r="K8" s="695"/>
      <c r="L8" s="1406"/>
      <c r="M8" s="1407"/>
      <c r="N8" s="1407"/>
      <c r="O8" s="1407"/>
      <c r="P8" s="1407"/>
      <c r="Q8" s="1407"/>
      <c r="R8" s="1404"/>
      <c r="S8" s="1404"/>
      <c r="T8" s="1404"/>
    </row>
    <row r="9" spans="3:20" ht="13.15" x14ac:dyDescent="0.45">
      <c r="C9" s="1405"/>
      <c r="D9" s="1405"/>
      <c r="E9" s="695"/>
      <c r="F9" s="430" t="s">
        <v>575</v>
      </c>
      <c r="G9" s="695"/>
      <c r="H9" s="430"/>
      <c r="I9" s="695"/>
      <c r="J9" s="695"/>
      <c r="K9" s="695"/>
      <c r="L9" s="1406"/>
      <c r="M9" s="1407"/>
      <c r="N9" s="1407"/>
      <c r="O9" s="1407"/>
      <c r="P9" s="1407"/>
      <c r="Q9" s="1407"/>
      <c r="R9" s="1404"/>
      <c r="S9" s="1404"/>
      <c r="T9" s="1404"/>
    </row>
    <row r="10" spans="3:20" ht="13.15" x14ac:dyDescent="0.45">
      <c r="C10" s="1405"/>
      <c r="D10" s="1405"/>
      <c r="E10" s="430"/>
      <c r="F10" s="430"/>
      <c r="G10" s="695"/>
      <c r="H10" s="430"/>
      <c r="I10" s="695"/>
      <c r="J10" s="695"/>
      <c r="K10" s="695"/>
      <c r="L10" s="1406"/>
      <c r="M10" s="1407"/>
      <c r="N10" s="1407"/>
      <c r="O10" s="1407"/>
      <c r="P10" s="1407"/>
      <c r="Q10" s="1407"/>
      <c r="R10" s="1404"/>
      <c r="S10" s="1404"/>
      <c r="T10" s="1404"/>
    </row>
    <row r="11" spans="3:20" ht="13.15" x14ac:dyDescent="0.45">
      <c r="C11" s="1405"/>
      <c r="D11" s="663" t="s">
        <v>655</v>
      </c>
      <c r="E11" s="1405"/>
      <c r="F11" s="695"/>
      <c r="G11" s="1405"/>
      <c r="H11" s="430"/>
      <c r="I11" s="430"/>
      <c r="J11" s="430"/>
      <c r="K11" s="695"/>
      <c r="L11" s="1406"/>
      <c r="M11" s="1407"/>
      <c r="N11" s="1407"/>
      <c r="O11" s="1407"/>
      <c r="P11" s="695"/>
      <c r="Q11" s="695"/>
      <c r="R11" s="1404"/>
      <c r="S11" s="1404"/>
      <c r="T11" s="1404"/>
    </row>
    <row r="12" spans="3:20" ht="13.15" hidden="1" outlineLevel="2" x14ac:dyDescent="0.45">
      <c r="C12" s="1405"/>
      <c r="D12" s="1410" t="s">
        <v>695</v>
      </c>
      <c r="E12" s="1405"/>
      <c r="F12" s="695"/>
      <c r="G12" s="1405"/>
      <c r="H12" s="430"/>
      <c r="I12" s="430"/>
      <c r="J12" s="430"/>
      <c r="K12" s="695"/>
      <c r="L12" s="1406"/>
      <c r="M12" s="1407"/>
      <c r="N12" s="1407"/>
      <c r="O12" s="1407"/>
      <c r="P12" s="695"/>
      <c r="Q12" s="695"/>
      <c r="R12" s="1404"/>
      <c r="S12" s="1404"/>
      <c r="T12" s="1404"/>
    </row>
    <row r="13" spans="3:20" ht="13.15" hidden="1" outlineLevel="2" x14ac:dyDescent="0.45">
      <c r="C13" s="1405"/>
      <c r="D13" s="1410" t="s">
        <v>693</v>
      </c>
      <c r="E13" s="1405"/>
      <c r="F13" s="695"/>
      <c r="G13" s="1405"/>
      <c r="H13" s="430"/>
      <c r="I13" s="430"/>
      <c r="J13" s="430"/>
      <c r="K13" s="695"/>
      <c r="L13" s="1406"/>
      <c r="M13" s="1407"/>
      <c r="N13" s="1407"/>
      <c r="O13" s="1407"/>
      <c r="P13" s="695"/>
      <c r="Q13" s="695"/>
      <c r="R13" s="1404"/>
      <c r="S13" s="1404"/>
      <c r="T13" s="1404"/>
    </row>
    <row r="14" spans="3:20" ht="13.15" hidden="1" outlineLevel="2" x14ac:dyDescent="0.45">
      <c r="C14" s="1405"/>
      <c r="D14" s="1410" t="s">
        <v>694</v>
      </c>
      <c r="E14" s="1405"/>
      <c r="F14" s="695"/>
      <c r="G14" s="1405"/>
      <c r="H14" s="430"/>
      <c r="I14" s="430"/>
      <c r="J14" s="430"/>
      <c r="K14" s="695"/>
      <c r="L14" s="1406"/>
      <c r="M14" s="1407"/>
      <c r="N14" s="1407"/>
      <c r="O14" s="1407"/>
      <c r="P14" s="695"/>
      <c r="Q14" s="695"/>
      <c r="R14" s="1404"/>
      <c r="S14" s="1404"/>
      <c r="T14" s="1404"/>
    </row>
    <row r="15" spans="3:20" ht="13.15" collapsed="1" x14ac:dyDescent="0.45">
      <c r="C15" s="1405"/>
      <c r="D15" s="1405"/>
      <c r="E15" s="1405"/>
      <c r="F15" s="1405"/>
      <c r="G15" s="1405"/>
      <c r="H15" s="430"/>
      <c r="I15" s="430"/>
      <c r="J15" s="430"/>
      <c r="K15" s="695"/>
      <c r="L15" s="1406"/>
      <c r="M15" s="1407"/>
      <c r="N15" s="1407"/>
      <c r="O15" s="1407"/>
      <c r="P15" s="1407"/>
      <c r="Q15" s="1407"/>
      <c r="R15" s="1404"/>
      <c r="S15" s="1404"/>
      <c r="T15" s="1404"/>
    </row>
    <row r="16" spans="3:20" ht="13.15" x14ac:dyDescent="0.45">
      <c r="C16" s="1411" t="s">
        <v>697</v>
      </c>
      <c r="D16" s="1411"/>
      <c r="E16" s="1411"/>
      <c r="F16" s="1411"/>
      <c r="G16" s="1411"/>
      <c r="H16" s="1411"/>
      <c r="I16" s="1411"/>
      <c r="J16" s="1411"/>
      <c r="K16" s="1412"/>
      <c r="L16" s="1412"/>
      <c r="M16" s="1413"/>
      <c r="N16" s="1413"/>
      <c r="O16" s="1413"/>
      <c r="P16" s="1413"/>
      <c r="Q16" s="1413"/>
      <c r="R16" s="1413"/>
      <c r="S16" s="1413"/>
      <c r="T16" s="1404"/>
    </row>
    <row r="17" spans="3:20" ht="13.15" x14ac:dyDescent="0.45">
      <c r="C17" s="1405"/>
      <c r="D17" s="1405"/>
      <c r="E17" s="1405"/>
      <c r="F17" s="1405"/>
      <c r="G17" s="1405"/>
      <c r="H17" s="660"/>
      <c r="I17" s="660"/>
      <c r="J17" s="660"/>
      <c r="K17" s="658"/>
      <c r="L17" s="658"/>
      <c r="M17" s="658"/>
      <c r="N17" s="658"/>
      <c r="O17" s="658"/>
      <c r="P17" s="658"/>
      <c r="Q17" s="658"/>
      <c r="R17" s="658"/>
      <c r="S17" s="658"/>
      <c r="T17" s="658"/>
    </row>
    <row r="18" spans="3:20" ht="13.5" thickBot="1" x14ac:dyDescent="0.5">
      <c r="C18" s="1405"/>
      <c r="D18" s="1414" t="s">
        <v>641</v>
      </c>
      <c r="E18" s="1414"/>
      <c r="F18" s="1414"/>
      <c r="G18" s="1414"/>
      <c r="H18" s="1414"/>
      <c r="I18" s="1414"/>
      <c r="J18" s="1414"/>
      <c r="K18" s="1414"/>
      <c r="L18" s="1414"/>
      <c r="M18" s="1414"/>
      <c r="N18" s="1414"/>
      <c r="O18" s="1414"/>
      <c r="P18" s="1414"/>
      <c r="Q18" s="1414"/>
      <c r="R18" s="1414"/>
      <c r="S18" s="1414"/>
      <c r="T18" s="658"/>
    </row>
    <row r="19" spans="3:20" ht="13.9" thickTop="1" thickBot="1" x14ac:dyDescent="0.5">
      <c r="C19" s="1405"/>
      <c r="D19" s="1405"/>
      <c r="E19" s="1405"/>
      <c r="F19" s="1405"/>
      <c r="G19" s="1405"/>
      <c r="H19" s="660"/>
      <c r="I19" s="660"/>
      <c r="J19" s="660"/>
      <c r="K19" s="658"/>
      <c r="L19" s="658"/>
      <c r="M19" s="658"/>
      <c r="N19" s="658"/>
      <c r="O19" s="658"/>
      <c r="P19" s="658"/>
      <c r="Q19" s="658"/>
      <c r="R19" s="658"/>
      <c r="S19" s="658"/>
      <c r="T19" s="658"/>
    </row>
    <row r="20" spans="3:20" ht="39.4" x14ac:dyDescent="0.45">
      <c r="C20" s="1405"/>
      <c r="D20" s="1405"/>
      <c r="E20" s="1405"/>
      <c r="F20" s="1405"/>
      <c r="G20" s="1405"/>
      <c r="H20" s="660"/>
      <c r="I20" s="660"/>
      <c r="J20" s="660"/>
      <c r="K20" s="658"/>
      <c r="L20" s="283" t="s">
        <v>485</v>
      </c>
      <c r="M20" s="416" t="s">
        <v>486</v>
      </c>
      <c r="N20" s="420" t="s">
        <v>487</v>
      </c>
      <c r="O20" s="658"/>
      <c r="P20" s="658"/>
      <c r="Q20" s="1415"/>
      <c r="R20" s="658"/>
      <c r="S20" s="658"/>
      <c r="T20" s="658"/>
    </row>
    <row r="21" spans="3:20" ht="13.5" thickBot="1" x14ac:dyDescent="0.5">
      <c r="C21" s="1405"/>
      <c r="D21" s="1405"/>
      <c r="E21" s="1405"/>
      <c r="F21" s="1405"/>
      <c r="G21" s="1405"/>
      <c r="H21" s="660"/>
      <c r="I21" s="660"/>
      <c r="J21" s="660"/>
      <c r="K21" s="658"/>
      <c r="L21" s="1863">
        <f>'I. Summary Outputs'!R15*100</f>
        <v>5.1308059369047792</v>
      </c>
      <c r="M21" s="1864">
        <f>'I. Summary Outputs'!L61*100</f>
        <v>7.07048013497743</v>
      </c>
      <c r="N21" s="1865">
        <f>'I. Summary Outputs'!N61*100</f>
        <v>5.6192921390768573</v>
      </c>
      <c r="O21" s="658"/>
      <c r="P21" s="658"/>
      <c r="Q21" s="762"/>
      <c r="R21" s="658"/>
      <c r="S21" s="658"/>
      <c r="T21" s="658"/>
    </row>
    <row r="22" spans="3:20" ht="13.15" x14ac:dyDescent="0.45">
      <c r="C22" s="1405"/>
      <c r="D22" s="1405"/>
      <c r="E22" s="1405"/>
      <c r="F22" s="1405"/>
      <c r="G22" s="1405"/>
      <c r="H22" s="660"/>
      <c r="I22" s="660"/>
      <c r="J22" s="660"/>
      <c r="K22" s="658"/>
      <c r="L22" s="658"/>
      <c r="M22" s="658"/>
      <c r="N22" s="658"/>
      <c r="O22" s="658"/>
      <c r="P22" s="658"/>
      <c r="Q22" s="1415"/>
      <c r="R22" s="658"/>
      <c r="S22" s="658"/>
      <c r="T22" s="658"/>
    </row>
    <row r="23" spans="3:20" ht="13.5" thickBot="1" x14ac:dyDescent="0.5">
      <c r="C23" s="1405"/>
      <c r="D23" s="1414" t="s">
        <v>640</v>
      </c>
      <c r="E23" s="1414"/>
      <c r="F23" s="1414"/>
      <c r="G23" s="1414"/>
      <c r="H23" s="1414"/>
      <c r="I23" s="1414"/>
      <c r="J23" s="1414"/>
      <c r="K23" s="1414"/>
      <c r="L23" s="1414"/>
      <c r="M23" s="1414"/>
      <c r="N23" s="1414"/>
      <c r="O23" s="1414"/>
      <c r="P23" s="1414"/>
      <c r="Q23" s="1414"/>
      <c r="R23" s="1414"/>
      <c r="S23" s="1414"/>
      <c r="T23" s="658"/>
    </row>
    <row r="24" spans="3:20" ht="13.5" thickTop="1" x14ac:dyDescent="0.45">
      <c r="C24" s="1405"/>
      <c r="D24" s="682"/>
      <c r="E24" s="1405"/>
      <c r="F24" s="1405"/>
      <c r="G24" s="1405"/>
      <c r="H24" s="695"/>
      <c r="I24" s="660"/>
      <c r="J24" s="660"/>
      <c r="K24" s="658"/>
      <c r="L24" s="658"/>
      <c r="M24" s="658"/>
      <c r="N24" s="658"/>
      <c r="O24" s="658"/>
      <c r="P24" s="658"/>
      <c r="Q24" s="658"/>
      <c r="R24" s="658"/>
      <c r="S24" s="658"/>
      <c r="T24" s="658"/>
    </row>
    <row r="25" spans="3:20" ht="13.15" x14ac:dyDescent="0.45">
      <c r="C25" s="1405"/>
      <c r="D25" s="682"/>
      <c r="E25" s="1405"/>
      <c r="F25" s="1405"/>
      <c r="G25" s="1405"/>
      <c r="H25" s="695"/>
      <c r="I25" s="660"/>
      <c r="J25" s="682" t="s">
        <v>729</v>
      </c>
      <c r="K25" s="658"/>
      <c r="L25" s="658"/>
      <c r="M25" s="658"/>
      <c r="N25" s="658"/>
      <c r="O25" s="658"/>
      <c r="P25" s="658"/>
      <c r="Q25" s="658"/>
      <c r="R25" s="658"/>
      <c r="S25" s="658"/>
      <c r="T25" s="658"/>
    </row>
    <row r="26" spans="3:20" ht="13.5" thickBot="1" x14ac:dyDescent="0.5">
      <c r="C26" s="1405"/>
      <c r="D26" s="1405"/>
      <c r="E26" s="1405"/>
      <c r="F26" s="1405"/>
      <c r="G26" s="1405"/>
      <c r="H26" s="660"/>
      <c r="I26" s="660"/>
      <c r="J26" s="660"/>
      <c r="K26" s="658"/>
      <c r="L26" s="658"/>
      <c r="M26" s="658"/>
      <c r="N26" s="658"/>
      <c r="O26" s="658"/>
      <c r="P26" s="658"/>
      <c r="Q26" s="658"/>
      <c r="R26" s="658"/>
      <c r="S26" s="658"/>
      <c r="T26" s="658"/>
    </row>
    <row r="27" spans="3:20" ht="39.4" x14ac:dyDescent="0.45">
      <c r="C27" s="1405"/>
      <c r="D27" s="1405"/>
      <c r="E27" s="1405"/>
      <c r="F27" s="1405"/>
      <c r="G27" s="1405"/>
      <c r="H27" s="660"/>
      <c r="I27" s="660"/>
      <c r="J27" s="1841" t="s">
        <v>488</v>
      </c>
      <c r="K27" s="1842" t="s">
        <v>489</v>
      </c>
      <c r="L27" s="1842" t="s">
        <v>485</v>
      </c>
      <c r="M27" s="1842" t="s">
        <v>486</v>
      </c>
      <c r="N27" s="1840" t="s">
        <v>487</v>
      </c>
      <c r="O27" s="658"/>
      <c r="P27" s="658"/>
      <c r="Q27" s="658"/>
      <c r="R27" s="658"/>
      <c r="S27" s="658"/>
      <c r="T27" s="658"/>
    </row>
    <row r="28" spans="3:20" ht="13.5" thickBot="1" x14ac:dyDescent="0.5">
      <c r="C28" s="1405"/>
      <c r="D28" s="1405"/>
      <c r="E28" s="1405"/>
      <c r="F28" s="1405"/>
      <c r="G28" s="1405"/>
      <c r="H28" s="660"/>
      <c r="I28" s="660"/>
      <c r="J28" s="1845" t="s">
        <v>490</v>
      </c>
      <c r="K28" s="394"/>
      <c r="L28" s="1847">
        <v>5.1308059369047792</v>
      </c>
      <c r="M28" s="1847">
        <v>7.0705116067812961</v>
      </c>
      <c r="N28" s="1848">
        <v>5.619324275664991</v>
      </c>
      <c r="O28" s="658"/>
      <c r="P28" s="658"/>
      <c r="Q28" s="658"/>
      <c r="R28" s="658"/>
      <c r="S28" s="658"/>
      <c r="T28" s="658"/>
    </row>
    <row r="29" spans="3:20" ht="38.25" customHeight="1" x14ac:dyDescent="0.45">
      <c r="C29" s="1405"/>
      <c r="D29" s="1405"/>
      <c r="E29" s="1405"/>
      <c r="F29" s="1405"/>
      <c r="G29" s="1405"/>
      <c r="H29" s="660"/>
      <c r="I29" s="660"/>
      <c r="J29" s="2286" t="s">
        <v>491</v>
      </c>
      <c r="K29" s="1844" t="s">
        <v>776</v>
      </c>
      <c r="L29" s="1849" t="s">
        <v>652</v>
      </c>
      <c r="M29" s="2339">
        <v>10.706812647804856</v>
      </c>
      <c r="N29" s="2337">
        <v>8.4188831192136835</v>
      </c>
      <c r="O29" s="658"/>
      <c r="P29" s="658"/>
      <c r="Q29" s="658"/>
      <c r="R29" s="658"/>
      <c r="S29" s="658"/>
      <c r="T29" s="658"/>
    </row>
    <row r="30" spans="3:20" ht="38.65" thickBot="1" x14ac:dyDescent="0.5">
      <c r="C30" s="1405"/>
      <c r="D30" s="1405"/>
      <c r="E30" s="1405"/>
      <c r="F30" s="1405"/>
      <c r="G30" s="1405"/>
      <c r="H30" s="660"/>
      <c r="I30" s="660"/>
      <c r="J30" s="2312"/>
      <c r="K30" s="1846" t="s">
        <v>777</v>
      </c>
      <c r="L30" s="1850"/>
      <c r="M30" s="2340"/>
      <c r="N30" s="2338"/>
      <c r="O30" s="658"/>
      <c r="P30" s="658"/>
      <c r="Q30" s="658"/>
      <c r="R30" s="658"/>
      <c r="S30" s="658"/>
      <c r="T30" s="658"/>
    </row>
    <row r="31" spans="3:20" ht="13.15" x14ac:dyDescent="0.45">
      <c r="C31" s="1405"/>
      <c r="D31" s="1405"/>
      <c r="E31" s="1405"/>
      <c r="F31" s="1405"/>
      <c r="G31" s="1405"/>
      <c r="H31" s="660"/>
      <c r="I31" s="660"/>
      <c r="J31" s="2332" t="s">
        <v>413</v>
      </c>
      <c r="K31" s="1416" t="s">
        <v>778</v>
      </c>
      <c r="L31" s="1851" t="s">
        <v>652</v>
      </c>
      <c r="M31" s="1851">
        <v>5.4866925847424852</v>
      </c>
      <c r="N31" s="1852">
        <v>4.3605706999236435</v>
      </c>
      <c r="O31" s="658"/>
      <c r="P31" s="658"/>
      <c r="Q31" s="658"/>
      <c r="R31" s="658"/>
      <c r="S31" s="658"/>
      <c r="T31" s="658"/>
    </row>
    <row r="32" spans="3:20" ht="13.5" thickBot="1" x14ac:dyDescent="0.5">
      <c r="C32" s="1405"/>
      <c r="D32" s="1405"/>
      <c r="E32" s="1405"/>
      <c r="F32" s="1405"/>
      <c r="G32" s="1405"/>
      <c r="H32" s="660"/>
      <c r="I32" s="660"/>
      <c r="J32" s="2333"/>
      <c r="K32" s="1417" t="s">
        <v>774</v>
      </c>
      <c r="L32" s="1853"/>
      <c r="M32" s="1853"/>
      <c r="N32" s="1854"/>
      <c r="O32" s="658"/>
      <c r="P32" s="658"/>
      <c r="Q32" s="658"/>
      <c r="R32" s="658"/>
      <c r="S32" s="658"/>
      <c r="T32" s="658"/>
    </row>
    <row r="33" spans="3:20" ht="13.35" customHeight="1" x14ac:dyDescent="0.45">
      <c r="C33" s="1405"/>
      <c r="D33" s="1405"/>
      <c r="E33" s="1405"/>
      <c r="F33" s="1405"/>
      <c r="G33" s="1405"/>
      <c r="H33" s="660"/>
      <c r="I33" s="660"/>
      <c r="J33" s="2286" t="s">
        <v>414</v>
      </c>
      <c r="K33" s="1844" t="s">
        <v>769</v>
      </c>
      <c r="L33" s="1849">
        <v>5.15</v>
      </c>
      <c r="M33" s="1849" t="s">
        <v>652</v>
      </c>
      <c r="N33" s="1855" t="s">
        <v>652</v>
      </c>
      <c r="O33" s="658"/>
      <c r="P33" s="658"/>
      <c r="Q33" s="658"/>
      <c r="R33" s="658"/>
      <c r="S33" s="658"/>
      <c r="T33" s="658"/>
    </row>
    <row r="34" spans="3:20" ht="13.35" customHeight="1" thickBot="1" x14ac:dyDescent="0.5">
      <c r="C34" s="1405"/>
      <c r="D34" s="1405"/>
      <c r="E34" s="1405"/>
      <c r="F34" s="1405"/>
      <c r="G34" s="1405"/>
      <c r="H34" s="660"/>
      <c r="I34" s="660"/>
      <c r="J34" s="2312"/>
      <c r="K34" s="369" t="s">
        <v>770</v>
      </c>
      <c r="L34" s="1856">
        <v>4</v>
      </c>
      <c r="M34" s="1856" t="s">
        <v>652</v>
      </c>
      <c r="N34" s="1857" t="s">
        <v>652</v>
      </c>
      <c r="O34" s="658"/>
      <c r="P34" s="658"/>
      <c r="Q34" s="658"/>
      <c r="R34" s="658"/>
      <c r="S34" s="658"/>
      <c r="T34" s="658"/>
    </row>
    <row r="35" spans="3:20" ht="25.5" x14ac:dyDescent="0.45">
      <c r="C35" s="1405"/>
      <c r="D35" s="1405"/>
      <c r="E35" s="1405"/>
      <c r="F35" s="1405"/>
      <c r="G35" s="1405"/>
      <c r="H35" s="660"/>
      <c r="I35" s="660"/>
      <c r="J35" s="2332" t="s">
        <v>432</v>
      </c>
      <c r="K35" s="1843" t="s">
        <v>771</v>
      </c>
      <c r="L35" s="1858" t="s">
        <v>652</v>
      </c>
      <c r="M35" s="1858">
        <v>7.3953748896069857</v>
      </c>
      <c r="N35" s="1859">
        <v>5.8657375476126736</v>
      </c>
      <c r="O35" s="658"/>
      <c r="P35" s="1387"/>
      <c r="Q35" s="658"/>
      <c r="R35" s="658"/>
      <c r="S35" s="658"/>
      <c r="T35" s="658"/>
    </row>
    <row r="36" spans="3:20" ht="25.5" x14ac:dyDescent="0.45">
      <c r="C36" s="1405"/>
      <c r="D36" s="1405"/>
      <c r="E36" s="1405"/>
      <c r="F36" s="1405"/>
      <c r="G36" s="1405"/>
      <c r="H36" s="660"/>
      <c r="I36" s="660"/>
      <c r="J36" s="2334"/>
      <c r="K36" s="393" t="s">
        <v>772</v>
      </c>
      <c r="L36" s="1860" t="s">
        <v>652</v>
      </c>
      <c r="M36" s="1860">
        <v>6.7503223262937118</v>
      </c>
      <c r="N36" s="1861">
        <v>5.3779417984884699</v>
      </c>
      <c r="O36" s="658"/>
      <c r="P36" s="1387"/>
      <c r="Q36" s="658"/>
      <c r="R36" s="658"/>
      <c r="S36" s="658"/>
      <c r="T36" s="658"/>
    </row>
    <row r="37" spans="3:20" ht="13.35" customHeight="1" thickBot="1" x14ac:dyDescent="0.5">
      <c r="C37" s="1405"/>
      <c r="D37" s="1405"/>
      <c r="E37" s="1405"/>
      <c r="F37" s="1405"/>
      <c r="G37" s="1405"/>
      <c r="H37" s="660"/>
      <c r="I37" s="660"/>
      <c r="J37" s="2333"/>
      <c r="K37" s="1417" t="s">
        <v>773</v>
      </c>
      <c r="L37" s="1862"/>
      <c r="M37" s="1862"/>
      <c r="N37" s="1854"/>
      <c r="O37" s="658"/>
      <c r="P37" s="1387"/>
      <c r="Q37" s="658"/>
      <c r="R37" s="658"/>
      <c r="S37" s="658"/>
      <c r="T37" s="658"/>
    </row>
    <row r="38" spans="3:20" ht="13.35" customHeight="1" x14ac:dyDescent="0.45">
      <c r="C38" s="1405"/>
      <c r="D38" s="1405"/>
      <c r="E38" s="1405"/>
      <c r="F38" s="1405"/>
      <c r="G38" s="1405"/>
      <c r="H38" s="660"/>
      <c r="I38" s="660"/>
      <c r="J38" s="1386"/>
      <c r="K38" s="1386"/>
      <c r="L38" s="1386"/>
      <c r="M38" s="1386"/>
      <c r="N38" s="1386"/>
      <c r="O38" s="1386"/>
      <c r="P38" s="1387"/>
      <c r="Q38" s="658"/>
      <c r="R38" s="658"/>
      <c r="S38" s="658"/>
      <c r="T38" s="658"/>
    </row>
    <row r="39" spans="3:20" ht="13.35" customHeight="1" x14ac:dyDescent="0.45">
      <c r="C39" s="1405"/>
      <c r="D39" s="1405"/>
      <c r="E39" s="1405"/>
      <c r="F39" s="1405"/>
      <c r="G39" s="1405"/>
      <c r="H39" s="1410"/>
      <c r="I39" s="660"/>
      <c r="J39" s="1386"/>
      <c r="K39" s="1386"/>
      <c r="L39" s="1386"/>
      <c r="M39" s="1386"/>
      <c r="N39" s="1386"/>
      <c r="O39" s="1386"/>
      <c r="P39" s="1387"/>
      <c r="Q39" s="658"/>
      <c r="R39" s="658"/>
      <c r="S39" s="658"/>
      <c r="T39" s="658"/>
    </row>
    <row r="40" spans="3:20" ht="13.35" customHeight="1" thickBot="1" x14ac:dyDescent="0.5">
      <c r="C40" s="1405"/>
      <c r="D40" s="1414" t="s">
        <v>468</v>
      </c>
      <c r="E40" s="1414"/>
      <c r="F40" s="1414"/>
      <c r="G40" s="1414"/>
      <c r="H40" s="1414"/>
      <c r="I40" s="1414"/>
      <c r="J40" s="1414"/>
      <c r="K40" s="1414"/>
      <c r="L40" s="1414"/>
      <c r="M40" s="1414"/>
      <c r="N40" s="1414"/>
      <c r="O40" s="1414"/>
      <c r="P40" s="1414"/>
      <c r="Q40" s="1414"/>
      <c r="R40" s="1414"/>
      <c r="S40" s="1414"/>
      <c r="T40" s="658"/>
    </row>
    <row r="41" spans="3:20" ht="13.35" customHeight="1" thickTop="1" x14ac:dyDescent="0.45">
      <c r="C41" s="1405"/>
      <c r="D41" s="1405"/>
      <c r="E41" s="1405"/>
      <c r="F41" s="1405"/>
      <c r="G41" s="1405"/>
      <c r="H41" s="696"/>
      <c r="I41" s="696"/>
      <c r="J41" s="696"/>
      <c r="K41" s="696"/>
      <c r="L41" s="696"/>
      <c r="M41" s="696"/>
      <c r="N41" s="696"/>
      <c r="O41" s="696"/>
      <c r="P41" s="696"/>
      <c r="Q41" s="696"/>
      <c r="R41" s="696"/>
      <c r="S41" s="696"/>
      <c r="T41" s="658"/>
    </row>
    <row r="42" spans="3:20" ht="13.35" customHeight="1" x14ac:dyDescent="0.45">
      <c r="C42" s="1405"/>
      <c r="D42" s="1405"/>
      <c r="E42" s="1405"/>
      <c r="F42" s="1405"/>
      <c r="G42" s="1405"/>
      <c r="H42" s="696"/>
      <c r="I42" s="696"/>
      <c r="J42" s="696"/>
      <c r="K42" s="696"/>
      <c r="L42" s="696"/>
      <c r="M42" s="696"/>
      <c r="N42" s="696"/>
      <c r="O42" s="696"/>
      <c r="P42" s="696"/>
      <c r="Q42" s="696"/>
      <c r="R42" s="696"/>
      <c r="S42" s="696"/>
      <c r="T42" s="658"/>
    </row>
    <row r="43" spans="3:20" ht="13.35" customHeight="1" outlineLevel="1" thickBot="1" x14ac:dyDescent="0.5">
      <c r="C43" s="1405"/>
      <c r="D43" s="1405"/>
      <c r="E43" s="1405"/>
      <c r="F43" s="1405"/>
      <c r="G43" s="1405"/>
      <c r="H43" s="660"/>
      <c r="I43" s="660"/>
      <c r="J43" s="1406"/>
      <c r="K43" s="1386"/>
      <c r="L43" s="1386"/>
      <c r="M43" s="1386"/>
      <c r="N43" s="1386"/>
      <c r="O43" s="1386"/>
      <c r="P43" s="1387"/>
      <c r="Q43" s="658"/>
      <c r="R43" s="658"/>
      <c r="S43" s="658"/>
      <c r="T43" s="658"/>
    </row>
    <row r="44" spans="3:20" ht="13.35" customHeight="1" outlineLevel="1" x14ac:dyDescent="0.45">
      <c r="C44" s="1405"/>
      <c r="D44" s="1405"/>
      <c r="E44" s="1405"/>
      <c r="F44" s="1405"/>
      <c r="G44" s="1405"/>
      <c r="H44" s="660"/>
      <c r="I44" s="660"/>
      <c r="J44" s="1418" t="s">
        <v>474</v>
      </c>
      <c r="K44" s="1419"/>
      <c r="L44" s="1420" t="str">
        <f>"EUR "&amp;'III. Inputs, Renewable Energy'!U20</f>
        <v>EUR 2018</v>
      </c>
      <c r="M44" s="695"/>
      <c r="N44" s="461"/>
      <c r="O44" s="1418" t="s">
        <v>51</v>
      </c>
      <c r="P44" s="1421" t="s">
        <v>478</v>
      </c>
      <c r="Q44" s="1422"/>
      <c r="R44" s="1421" t="s">
        <v>475</v>
      </c>
      <c r="S44" s="1423"/>
      <c r="T44" s="658"/>
    </row>
    <row r="45" spans="3:20" ht="13.35" customHeight="1" outlineLevel="1" x14ac:dyDescent="0.45">
      <c r="C45" s="1405"/>
      <c r="D45" s="1405"/>
      <c r="E45" s="1405"/>
      <c r="F45" s="1405"/>
      <c r="G45" s="1405"/>
      <c r="H45" s="660"/>
      <c r="I45" s="660"/>
      <c r="J45" s="1424" t="s">
        <v>479</v>
      </c>
      <c r="K45" s="461"/>
      <c r="L45" s="1425"/>
      <c r="M45" s="695"/>
      <c r="N45" s="461"/>
      <c r="O45" s="1426" t="s">
        <v>696</v>
      </c>
      <c r="P45" s="1427"/>
      <c r="Q45" s="430"/>
      <c r="R45" s="1427"/>
      <c r="S45" s="1428"/>
      <c r="T45" s="658"/>
    </row>
    <row r="46" spans="3:20" ht="13.35" customHeight="1" outlineLevel="1" thickBot="1" x14ac:dyDescent="0.5">
      <c r="C46" s="1405"/>
      <c r="D46" s="1405"/>
      <c r="E46" s="1405"/>
      <c r="F46" s="1405"/>
      <c r="G46" s="1405"/>
      <c r="H46" s="660"/>
      <c r="I46" s="660"/>
      <c r="J46" s="1424" t="s">
        <v>34</v>
      </c>
      <c r="K46" s="461"/>
      <c r="L46" s="1425"/>
      <c r="M46" s="695"/>
      <c r="N46" s="461"/>
      <c r="O46" s="1426" t="s">
        <v>476</v>
      </c>
      <c r="P46" s="1427"/>
      <c r="Q46" s="430"/>
      <c r="R46" s="1427"/>
      <c r="S46" s="1428"/>
      <c r="T46" s="658"/>
    </row>
    <row r="47" spans="3:20" ht="13.35" customHeight="1" outlineLevel="1" thickBot="1" x14ac:dyDescent="0.5">
      <c r="C47" s="1405"/>
      <c r="D47" s="1405"/>
      <c r="E47" s="1405"/>
      <c r="F47" s="1405"/>
      <c r="G47" s="1405"/>
      <c r="H47" s="660"/>
      <c r="I47" s="660"/>
      <c r="J47" s="1347"/>
      <c r="K47" s="1347"/>
      <c r="L47" s="1347"/>
      <c r="M47" s="695"/>
      <c r="N47" s="461"/>
      <c r="O47" s="1429" t="s">
        <v>477</v>
      </c>
      <c r="P47" s="1430"/>
      <c r="Q47" s="1431"/>
      <c r="R47" s="1430"/>
      <c r="S47" s="1432"/>
      <c r="T47" s="658"/>
    </row>
    <row r="48" spans="3:20" ht="13.35" customHeight="1" outlineLevel="1" thickBot="1" x14ac:dyDescent="0.5">
      <c r="C48" s="1405"/>
      <c r="D48" s="1405"/>
      <c r="E48" s="1405"/>
      <c r="F48" s="1405"/>
      <c r="G48" s="1405"/>
      <c r="H48" s="660"/>
      <c r="I48" s="660"/>
      <c r="J48" s="1386"/>
      <c r="K48" s="1386"/>
      <c r="L48" s="1386"/>
      <c r="M48" s="1386"/>
      <c r="N48" s="1386"/>
      <c r="O48" s="1386"/>
      <c r="P48" s="1387"/>
      <c r="Q48" s="658"/>
      <c r="R48" s="658"/>
      <c r="S48" s="658"/>
      <c r="T48" s="658"/>
    </row>
    <row r="49" spans="3:20" ht="13.35" customHeight="1" outlineLevel="1" thickBot="1" x14ac:dyDescent="0.5">
      <c r="C49" s="1405"/>
      <c r="D49" s="1405"/>
      <c r="E49" s="1405"/>
      <c r="F49" s="1405"/>
      <c r="G49" s="1405"/>
      <c r="H49" s="660"/>
      <c r="I49" s="660"/>
      <c r="J49" s="2259" t="s">
        <v>472</v>
      </c>
      <c r="K49" s="2260"/>
      <c r="L49" s="2260"/>
      <c r="M49" s="2261"/>
      <c r="N49" s="1386"/>
      <c r="O49" s="2259" t="s">
        <v>473</v>
      </c>
      <c r="P49" s="2260"/>
      <c r="Q49" s="2260"/>
      <c r="R49" s="2261"/>
      <c r="S49" s="658"/>
      <c r="T49" s="658"/>
    </row>
    <row r="50" spans="3:20" ht="13.35" customHeight="1" outlineLevel="1" x14ac:dyDescent="0.45">
      <c r="C50" s="1405"/>
      <c r="D50" s="1405"/>
      <c r="E50" s="1405"/>
      <c r="F50" s="1405"/>
      <c r="G50" s="1405"/>
      <c r="H50" s="660"/>
      <c r="I50" s="660"/>
      <c r="J50" s="1433" t="s">
        <v>51</v>
      </c>
      <c r="K50" s="1434" t="s">
        <v>469</v>
      </c>
      <c r="L50" s="1435" t="s">
        <v>470</v>
      </c>
      <c r="M50" s="1436" t="s">
        <v>471</v>
      </c>
      <c r="N50" s="1386"/>
      <c r="O50" s="1433" t="s">
        <v>51</v>
      </c>
      <c r="P50" s="1434" t="s">
        <v>469</v>
      </c>
      <c r="Q50" s="1435" t="s">
        <v>470</v>
      </c>
      <c r="R50" s="1436" t="s">
        <v>471</v>
      </c>
      <c r="S50" s="658"/>
      <c r="T50" s="658"/>
    </row>
    <row r="51" spans="3:20" ht="13.35" customHeight="1" outlineLevel="1" x14ac:dyDescent="0.45">
      <c r="C51" s="1405"/>
      <c r="D51" s="1405"/>
      <c r="E51" s="1405"/>
      <c r="F51" s="1405"/>
      <c r="G51" s="1405"/>
      <c r="H51" s="660"/>
      <c r="I51" s="660"/>
      <c r="J51" s="1437">
        <f>'III. Inputs, Renewable Energy'!U20</f>
        <v>2018</v>
      </c>
      <c r="K51" s="1438"/>
      <c r="L51" s="1439"/>
      <c r="M51" s="1440"/>
      <c r="N51" s="1386"/>
      <c r="O51" s="1441">
        <f>J51</f>
        <v>2018</v>
      </c>
      <c r="P51" s="1438"/>
      <c r="Q51" s="1439">
        <v>15.866676084472386</v>
      </c>
      <c r="R51" s="1440">
        <v>23.800014126708579</v>
      </c>
      <c r="S51" s="658"/>
      <c r="T51" s="658"/>
    </row>
    <row r="52" spans="3:20" ht="13.35" customHeight="1" outlineLevel="1" x14ac:dyDescent="0.45">
      <c r="C52" s="1405"/>
      <c r="D52" s="1405"/>
      <c r="E52" s="1405"/>
      <c r="F52" s="1405"/>
      <c r="G52" s="1405"/>
      <c r="H52" s="660"/>
      <c r="I52" s="660"/>
      <c r="J52" s="1441">
        <f>J51+1</f>
        <v>2019</v>
      </c>
      <c r="K52" s="1438"/>
      <c r="L52" s="1439"/>
      <c r="M52" s="1440"/>
      <c r="N52" s="1386"/>
      <c r="O52" s="1441">
        <f t="shared" ref="O52:O74" si="0">J52</f>
        <v>2019</v>
      </c>
      <c r="P52" s="1438"/>
      <c r="Q52" s="1439">
        <v>16.063770416639102</v>
      </c>
      <c r="R52" s="1440">
        <v>24.095655624958653</v>
      </c>
      <c r="S52" s="658"/>
      <c r="T52" s="658"/>
    </row>
    <row r="53" spans="3:20" ht="13.35" customHeight="1" outlineLevel="1" x14ac:dyDescent="0.45">
      <c r="C53" s="1405"/>
      <c r="D53" s="1405"/>
      <c r="E53" s="1405"/>
      <c r="F53" s="1405"/>
      <c r="G53" s="1405"/>
      <c r="H53" s="660"/>
      <c r="I53" s="660"/>
      <c r="J53" s="1441">
        <f t="shared" ref="J53:J74" si="1">J52+1</f>
        <v>2020</v>
      </c>
      <c r="K53" s="1438"/>
      <c r="L53" s="1439"/>
      <c r="M53" s="1440"/>
      <c r="N53" s="1386"/>
      <c r="O53" s="1441">
        <f t="shared" si="0"/>
        <v>2020</v>
      </c>
      <c r="P53" s="1438"/>
      <c r="Q53" s="1439">
        <v>16.263313035741618</v>
      </c>
      <c r="R53" s="1440">
        <v>24.394969553612427</v>
      </c>
      <c r="S53" s="658"/>
      <c r="T53" s="658"/>
    </row>
    <row r="54" spans="3:20" ht="13.35" customHeight="1" outlineLevel="1" x14ac:dyDescent="0.45">
      <c r="C54" s="1405"/>
      <c r="D54" s="1405"/>
      <c r="E54" s="1405"/>
      <c r="F54" s="1405"/>
      <c r="G54" s="1405"/>
      <c r="H54" s="660"/>
      <c r="I54" s="660"/>
      <c r="J54" s="1441">
        <f t="shared" si="1"/>
        <v>2021</v>
      </c>
      <c r="K54" s="1438"/>
      <c r="L54" s="1439"/>
      <c r="M54" s="1440"/>
      <c r="N54" s="1386"/>
      <c r="O54" s="1441">
        <f t="shared" si="0"/>
        <v>2021</v>
      </c>
      <c r="P54" s="1438"/>
      <c r="Q54" s="1439">
        <v>16.465334354166</v>
      </c>
      <c r="R54" s="1440">
        <v>24.698001531248995</v>
      </c>
      <c r="S54" s="658"/>
      <c r="T54" s="658"/>
    </row>
    <row r="55" spans="3:20" ht="13.35" customHeight="1" outlineLevel="1" x14ac:dyDescent="0.45">
      <c r="C55" s="1405"/>
      <c r="D55" s="1405"/>
      <c r="E55" s="1405"/>
      <c r="F55" s="1405"/>
      <c r="G55" s="1405"/>
      <c r="H55" s="660"/>
      <c r="I55" s="660"/>
      <c r="J55" s="1441">
        <f t="shared" si="1"/>
        <v>2022</v>
      </c>
      <c r="K55" s="1438"/>
      <c r="L55" s="1439"/>
      <c r="M55" s="1440"/>
      <c r="N55" s="1386"/>
      <c r="O55" s="1441">
        <f t="shared" si="0"/>
        <v>2022</v>
      </c>
      <c r="P55" s="1438"/>
      <c r="Q55" s="1439">
        <v>16.66986516207805</v>
      </c>
      <c r="R55" s="1440">
        <v>25.004797743117077</v>
      </c>
      <c r="S55" s="658"/>
      <c r="T55" s="658"/>
    </row>
    <row r="56" spans="3:20" ht="13.35" customHeight="1" outlineLevel="1" x14ac:dyDescent="0.45">
      <c r="C56" s="1405"/>
      <c r="D56" s="1405"/>
      <c r="E56" s="1405"/>
      <c r="F56" s="1405"/>
      <c r="G56" s="1405"/>
      <c r="H56" s="660"/>
      <c r="I56" s="660"/>
      <c r="J56" s="1441">
        <f t="shared" si="1"/>
        <v>2023</v>
      </c>
      <c r="K56" s="1438"/>
      <c r="L56" s="1439"/>
      <c r="M56" s="1440"/>
      <c r="N56" s="1386"/>
      <c r="O56" s="1441">
        <f t="shared" si="0"/>
        <v>2023</v>
      </c>
      <c r="P56" s="1438"/>
      <c r="Q56" s="1439">
        <v>16.876936632116081</v>
      </c>
      <c r="R56" s="1440">
        <v>25.315404948174116</v>
      </c>
      <c r="S56" s="658"/>
      <c r="T56" s="658"/>
    </row>
    <row r="57" spans="3:20" ht="13.35" customHeight="1" outlineLevel="1" x14ac:dyDescent="0.45">
      <c r="C57" s="1405"/>
      <c r="D57" s="1405"/>
      <c r="E57" s="1405"/>
      <c r="F57" s="1405"/>
      <c r="G57" s="1405"/>
      <c r="H57" s="660"/>
      <c r="I57" s="660"/>
      <c r="J57" s="1441">
        <f t="shared" si="1"/>
        <v>2024</v>
      </c>
      <c r="K57" s="1438"/>
      <c r="L57" s="1439"/>
      <c r="M57" s="1440"/>
      <c r="N57" s="1386"/>
      <c r="O57" s="1441">
        <f t="shared" si="0"/>
        <v>2024</v>
      </c>
      <c r="P57" s="1438"/>
      <c r="Q57" s="1439">
        <v>17.08658032414192</v>
      </c>
      <c r="R57" s="1440">
        <v>25.62987048621288</v>
      </c>
      <c r="S57" s="658"/>
      <c r="T57" s="658"/>
    </row>
    <row r="58" spans="3:20" ht="13.35" customHeight="1" outlineLevel="1" x14ac:dyDescent="0.45">
      <c r="C58" s="1405"/>
      <c r="D58" s="1405"/>
      <c r="E58" s="1405"/>
      <c r="F58" s="1405"/>
      <c r="G58" s="1405"/>
      <c r="H58" s="660"/>
      <c r="I58" s="660"/>
      <c r="J58" s="1441">
        <f t="shared" si="1"/>
        <v>2025</v>
      </c>
      <c r="K58" s="1438"/>
      <c r="L58" s="1439"/>
      <c r="M58" s="1440"/>
      <c r="N58" s="1386"/>
      <c r="O58" s="1441">
        <f t="shared" si="0"/>
        <v>2025</v>
      </c>
      <c r="P58" s="1438"/>
      <c r="Q58" s="1439">
        <v>17.298828190050987</v>
      </c>
      <c r="R58" s="1440">
        <v>25.948242285076478</v>
      </c>
      <c r="S58" s="658"/>
      <c r="T58" s="658"/>
    </row>
    <row r="59" spans="3:20" ht="13.35" customHeight="1" outlineLevel="1" x14ac:dyDescent="0.45">
      <c r="C59" s="1405"/>
      <c r="D59" s="1405"/>
      <c r="E59" s="1405"/>
      <c r="F59" s="1405"/>
      <c r="G59" s="1405"/>
      <c r="H59" s="660"/>
      <c r="I59" s="660"/>
      <c r="J59" s="1441">
        <f t="shared" si="1"/>
        <v>2026</v>
      </c>
      <c r="K59" s="1438"/>
      <c r="L59" s="1439"/>
      <c r="M59" s="1440"/>
      <c r="N59" s="1386"/>
      <c r="O59" s="1441">
        <f t="shared" si="0"/>
        <v>2026</v>
      </c>
      <c r="P59" s="1438"/>
      <c r="Q59" s="1439">
        <v>17.513712578642082</v>
      </c>
      <c r="R59" s="1440">
        <v>26.270568867963124</v>
      </c>
      <c r="S59" s="658"/>
      <c r="T59" s="658"/>
    </row>
    <row r="60" spans="3:20" ht="13.35" customHeight="1" outlineLevel="1" x14ac:dyDescent="0.45">
      <c r="C60" s="1405"/>
      <c r="D60" s="1405"/>
      <c r="E60" s="1405"/>
      <c r="F60" s="1405"/>
      <c r="G60" s="1405"/>
      <c r="H60" s="660"/>
      <c r="I60" s="660"/>
      <c r="J60" s="1441">
        <f t="shared" si="1"/>
        <v>2027</v>
      </c>
      <c r="K60" s="1438"/>
      <c r="L60" s="1439"/>
      <c r="M60" s="1440"/>
      <c r="N60" s="1386"/>
      <c r="O60" s="1441">
        <f t="shared" si="0"/>
        <v>2027</v>
      </c>
      <c r="P60" s="1438"/>
      <c r="Q60" s="1439">
        <v>17.731266240547701</v>
      </c>
      <c r="R60" s="1440">
        <v>26.596899360821549</v>
      </c>
      <c r="S60" s="658"/>
      <c r="T60" s="658"/>
    </row>
    <row r="61" spans="3:20" ht="13.35" customHeight="1" outlineLevel="1" x14ac:dyDescent="0.45">
      <c r="C61" s="1405"/>
      <c r="D61" s="1405"/>
      <c r="E61" s="1405"/>
      <c r="F61" s="1405"/>
      <c r="G61" s="1405"/>
      <c r="H61" s="660"/>
      <c r="I61" s="660"/>
      <c r="J61" s="1441">
        <f t="shared" si="1"/>
        <v>2028</v>
      </c>
      <c r="K61" s="1438"/>
      <c r="L61" s="1439"/>
      <c r="M61" s="1440"/>
      <c r="N61" s="1386"/>
      <c r="O61" s="1441">
        <f t="shared" si="0"/>
        <v>2028</v>
      </c>
      <c r="P61" s="1438"/>
      <c r="Q61" s="1439">
        <v>17.951522333225547</v>
      </c>
      <c r="R61" s="1440">
        <v>26.927283499838317</v>
      </c>
      <c r="S61" s="658"/>
      <c r="T61" s="658"/>
    </row>
    <row r="62" spans="3:20" ht="13.35" customHeight="1" outlineLevel="1" x14ac:dyDescent="0.45">
      <c r="C62" s="1405"/>
      <c r="D62" s="1405"/>
      <c r="E62" s="1405"/>
      <c r="F62" s="1405"/>
      <c r="G62" s="1405"/>
      <c r="H62" s="660"/>
      <c r="I62" s="660"/>
      <c r="J62" s="1441">
        <f t="shared" si="1"/>
        <v>2029</v>
      </c>
      <c r="K62" s="1438"/>
      <c r="L62" s="1439"/>
      <c r="M62" s="1440"/>
      <c r="N62" s="1386"/>
      <c r="O62" s="1441">
        <f t="shared" si="0"/>
        <v>2029</v>
      </c>
      <c r="P62" s="1438"/>
      <c r="Q62" s="1439">
        <v>18.174514426012106</v>
      </c>
      <c r="R62" s="1440">
        <v>27.261771639018161</v>
      </c>
      <c r="S62" s="658"/>
      <c r="T62" s="658"/>
    </row>
    <row r="63" spans="3:20" ht="13.35" customHeight="1" outlineLevel="1" x14ac:dyDescent="0.45">
      <c r="C63" s="1405"/>
      <c r="D63" s="1405"/>
      <c r="E63" s="1405"/>
      <c r="F63" s="1405"/>
      <c r="G63" s="1405"/>
      <c r="H63" s="660"/>
      <c r="I63" s="660"/>
      <c r="J63" s="1441">
        <f t="shared" si="1"/>
        <v>2030</v>
      </c>
      <c r="K63" s="1438"/>
      <c r="L63" s="1439"/>
      <c r="M63" s="1440"/>
      <c r="N63" s="1386"/>
      <c r="O63" s="1441">
        <f t="shared" si="0"/>
        <v>2030</v>
      </c>
      <c r="P63" s="1438"/>
      <c r="Q63" s="1439">
        <v>18.400276505238939</v>
      </c>
      <c r="R63" s="1440">
        <v>27.600414757858406</v>
      </c>
      <c r="S63" s="658"/>
      <c r="T63" s="658"/>
    </row>
    <row r="64" spans="3:20" ht="13.35" customHeight="1" outlineLevel="1" x14ac:dyDescent="0.45">
      <c r="C64" s="1405"/>
      <c r="D64" s="1405"/>
      <c r="E64" s="1405"/>
      <c r="F64" s="1405"/>
      <c r="G64" s="1405"/>
      <c r="H64" s="660"/>
      <c r="I64" s="660"/>
      <c r="J64" s="1441">
        <f t="shared" si="1"/>
        <v>2031</v>
      </c>
      <c r="K64" s="1438"/>
      <c r="L64" s="1439"/>
      <c r="M64" s="1440"/>
      <c r="N64" s="1386"/>
      <c r="O64" s="1441">
        <f t="shared" si="0"/>
        <v>2031</v>
      </c>
      <c r="P64" s="1438"/>
      <c r="Q64" s="1439">
        <v>18.628842979412571</v>
      </c>
      <c r="R64" s="1440">
        <v>27.943264469118855</v>
      </c>
      <c r="S64" s="658"/>
      <c r="T64" s="658"/>
    </row>
    <row r="65" spans="3:20" ht="13.35" customHeight="1" outlineLevel="1" x14ac:dyDescent="0.45">
      <c r="C65" s="1405"/>
      <c r="D65" s="1405"/>
      <c r="E65" s="1405"/>
      <c r="F65" s="1405"/>
      <c r="G65" s="1405"/>
      <c r="H65" s="660"/>
      <c r="I65" s="660"/>
      <c r="J65" s="1441">
        <f t="shared" si="1"/>
        <v>2032</v>
      </c>
      <c r="K65" s="1438"/>
      <c r="L65" s="1439"/>
      <c r="M65" s="1440"/>
      <c r="N65" s="1386"/>
      <c r="O65" s="1441">
        <f t="shared" si="0"/>
        <v>2032</v>
      </c>
      <c r="P65" s="1438"/>
      <c r="Q65" s="1439">
        <v>18.860248684458703</v>
      </c>
      <c r="R65" s="1440">
        <v>28.290373026688052</v>
      </c>
      <c r="S65" s="658"/>
      <c r="T65" s="658"/>
    </row>
    <row r="66" spans="3:20" ht="13.35" customHeight="1" outlineLevel="1" x14ac:dyDescent="0.45">
      <c r="C66" s="1405"/>
      <c r="D66" s="1405"/>
      <c r="E66" s="1405"/>
      <c r="F66" s="1405"/>
      <c r="G66" s="1405"/>
      <c r="H66" s="660"/>
      <c r="I66" s="660"/>
      <c r="J66" s="1441">
        <f t="shared" si="1"/>
        <v>2033</v>
      </c>
      <c r="K66" s="1438"/>
      <c r="L66" s="1439"/>
      <c r="M66" s="1440"/>
      <c r="N66" s="1386"/>
      <c r="O66" s="1441">
        <f t="shared" si="0"/>
        <v>2033</v>
      </c>
      <c r="P66" s="1438"/>
      <c r="Q66" s="1439">
        <v>19.094528889031562</v>
      </c>
      <c r="R66" s="1440">
        <v>28.641793333547344</v>
      </c>
      <c r="S66" s="658"/>
      <c r="T66" s="658"/>
    </row>
    <row r="67" spans="3:20" ht="13.35" customHeight="1" outlineLevel="1" x14ac:dyDescent="0.45">
      <c r="C67" s="1405"/>
      <c r="D67" s="1405"/>
      <c r="E67" s="1405"/>
      <c r="F67" s="1405"/>
      <c r="G67" s="1405"/>
      <c r="H67" s="660"/>
      <c r="I67" s="660"/>
      <c r="J67" s="1441">
        <f t="shared" si="1"/>
        <v>2034</v>
      </c>
      <c r="K67" s="1438"/>
      <c r="L67" s="1439"/>
      <c r="M67" s="1440"/>
      <c r="N67" s="1386"/>
      <c r="O67" s="1441">
        <f t="shared" si="0"/>
        <v>2034</v>
      </c>
      <c r="P67" s="1438"/>
      <c r="Q67" s="1439">
        <v>19.331719299889244</v>
      </c>
      <c r="R67" s="1440">
        <v>28.997578949833859</v>
      </c>
      <c r="S67" s="658"/>
      <c r="T67" s="658"/>
    </row>
    <row r="68" spans="3:20" ht="13.35" customHeight="1" outlineLevel="1" x14ac:dyDescent="0.45">
      <c r="C68" s="1405"/>
      <c r="D68" s="1405"/>
      <c r="E68" s="1405"/>
      <c r="F68" s="1405"/>
      <c r="G68" s="1405"/>
      <c r="H68" s="660"/>
      <c r="I68" s="660"/>
      <c r="J68" s="1441">
        <f t="shared" si="1"/>
        <v>2035</v>
      </c>
      <c r="K68" s="1438"/>
      <c r="L68" s="1439"/>
      <c r="M68" s="1440"/>
      <c r="N68" s="1386"/>
      <c r="O68" s="1441">
        <f t="shared" si="0"/>
        <v>2035</v>
      </c>
      <c r="P68" s="1438"/>
      <c r="Q68" s="1439">
        <v>19.571856067335752</v>
      </c>
      <c r="R68" s="1440">
        <v>29.357784101003624</v>
      </c>
      <c r="S68" s="658"/>
      <c r="T68" s="658"/>
    </row>
    <row r="69" spans="3:20" ht="13.35" customHeight="1" outlineLevel="1" x14ac:dyDescent="0.45">
      <c r="C69" s="1405"/>
      <c r="D69" s="1405"/>
      <c r="E69" s="1405"/>
      <c r="F69" s="1405"/>
      <c r="G69" s="1405"/>
      <c r="H69" s="660"/>
      <c r="I69" s="660"/>
      <c r="J69" s="1441">
        <f t="shared" si="1"/>
        <v>2036</v>
      </c>
      <c r="K69" s="1438"/>
      <c r="L69" s="1439"/>
      <c r="M69" s="1440"/>
      <c r="N69" s="1386"/>
      <c r="O69" s="1441">
        <f t="shared" si="0"/>
        <v>2036</v>
      </c>
      <c r="P69" s="1438"/>
      <c r="Q69" s="1439">
        <v>19.814975790730728</v>
      </c>
      <c r="R69" s="1440">
        <v>29.722463686096084</v>
      </c>
      <c r="S69" s="658"/>
      <c r="T69" s="658"/>
    </row>
    <row r="70" spans="3:20" ht="13.35" customHeight="1" outlineLevel="1" x14ac:dyDescent="0.45">
      <c r="C70" s="1405"/>
      <c r="D70" s="1405"/>
      <c r="E70" s="1405"/>
      <c r="F70" s="1405"/>
      <c r="G70" s="1405"/>
      <c r="H70" s="660"/>
      <c r="I70" s="660"/>
      <c r="J70" s="1441">
        <f t="shared" si="1"/>
        <v>2037</v>
      </c>
      <c r="K70" s="1438"/>
      <c r="L70" s="1439"/>
      <c r="M70" s="1440"/>
      <c r="N70" s="1386"/>
      <c r="O70" s="1441">
        <f t="shared" si="0"/>
        <v>2037</v>
      </c>
      <c r="P70" s="1438"/>
      <c r="Q70" s="1439">
        <v>20.061115524067542</v>
      </c>
      <c r="R70" s="1440">
        <v>30.091673286101308</v>
      </c>
      <c r="S70" s="658"/>
      <c r="T70" s="658"/>
    </row>
    <row r="71" spans="3:20" ht="13.35" customHeight="1" outlineLevel="1" x14ac:dyDescent="0.45">
      <c r="C71" s="1405"/>
      <c r="D71" s="1405"/>
      <c r="E71" s="1405"/>
      <c r="F71" s="1405"/>
      <c r="G71" s="1405"/>
      <c r="H71" s="660"/>
      <c r="I71" s="660"/>
      <c r="J71" s="1441">
        <f t="shared" si="1"/>
        <v>2038</v>
      </c>
      <c r="K71" s="1438"/>
      <c r="L71" s="1439"/>
      <c r="M71" s="1440"/>
      <c r="N71" s="1386"/>
      <c r="O71" s="1441">
        <f t="shared" si="0"/>
        <v>2038</v>
      </c>
      <c r="P71" s="1438"/>
      <c r="Q71" s="1439">
        <v>20.310312781620738</v>
      </c>
      <c r="R71" s="1440">
        <v>30.465469172431106</v>
      </c>
      <c r="S71" s="658"/>
      <c r="T71" s="658"/>
    </row>
    <row r="72" spans="3:20" ht="13.35" customHeight="1" outlineLevel="1" x14ac:dyDescent="0.45">
      <c r="C72" s="1405"/>
      <c r="D72" s="1405"/>
      <c r="E72" s="1405"/>
      <c r="F72" s="1405"/>
      <c r="G72" s="1405"/>
      <c r="H72" s="660"/>
      <c r="I72" s="660"/>
      <c r="J72" s="1441">
        <f t="shared" si="1"/>
        <v>2039</v>
      </c>
      <c r="K72" s="1438"/>
      <c r="L72" s="1439"/>
      <c r="M72" s="1440"/>
      <c r="N72" s="1386"/>
      <c r="O72" s="1441">
        <f t="shared" si="0"/>
        <v>2039</v>
      </c>
      <c r="P72" s="1438"/>
      <c r="Q72" s="1439">
        <v>20.56260554366358</v>
      </c>
      <c r="R72" s="1440">
        <v>30.843908315495362</v>
      </c>
      <c r="S72" s="658"/>
      <c r="T72" s="658"/>
    </row>
    <row r="73" spans="3:20" ht="13.35" customHeight="1" outlineLevel="1" x14ac:dyDescent="0.45">
      <c r="C73" s="1405"/>
      <c r="D73" s="1405"/>
      <c r="E73" s="1405"/>
      <c r="F73" s="1405"/>
      <c r="G73" s="1405"/>
      <c r="H73" s="660"/>
      <c r="I73" s="660"/>
      <c r="J73" s="1441">
        <f t="shared" si="1"/>
        <v>2040</v>
      </c>
      <c r="K73" s="1438"/>
      <c r="L73" s="1439"/>
      <c r="M73" s="1440"/>
      <c r="N73" s="1386"/>
      <c r="O73" s="1441">
        <f t="shared" si="0"/>
        <v>2040</v>
      </c>
      <c r="P73" s="1438"/>
      <c r="Q73" s="1439">
        <v>20.818032262256651</v>
      </c>
      <c r="R73" s="1440">
        <v>31.227048393384976</v>
      </c>
      <c r="S73" s="658"/>
      <c r="T73" s="658"/>
    </row>
    <row r="74" spans="3:20" ht="13.35" customHeight="1" outlineLevel="1" thickBot="1" x14ac:dyDescent="0.5">
      <c r="C74" s="1405"/>
      <c r="D74" s="1405"/>
      <c r="E74" s="1405"/>
      <c r="F74" s="1405"/>
      <c r="G74" s="1405"/>
      <c r="H74" s="660"/>
      <c r="I74" s="660"/>
      <c r="J74" s="1442">
        <f t="shared" si="1"/>
        <v>2041</v>
      </c>
      <c r="K74" s="1443"/>
      <c r="L74" s="1444"/>
      <c r="M74" s="1445"/>
      <c r="N74" s="1386"/>
      <c r="O74" s="1442">
        <f t="shared" si="0"/>
        <v>2041</v>
      </c>
      <c r="P74" s="1443"/>
      <c r="Q74" s="1444"/>
      <c r="R74" s="1445"/>
      <c r="S74" s="658"/>
      <c r="T74" s="658"/>
    </row>
    <row r="75" spans="3:20" ht="13.35" customHeight="1" outlineLevel="1" x14ac:dyDescent="0.45">
      <c r="C75" s="1405"/>
      <c r="D75" s="1405"/>
      <c r="E75" s="1405"/>
      <c r="F75" s="1405"/>
      <c r="G75" s="1405"/>
      <c r="H75" s="660"/>
      <c r="I75" s="660"/>
      <c r="J75" s="1386"/>
      <c r="K75" s="1386"/>
      <c r="L75" s="1386"/>
      <c r="M75" s="1386"/>
      <c r="N75" s="1386"/>
      <c r="O75" s="1386"/>
      <c r="P75" s="1387"/>
      <c r="Q75" s="658"/>
      <c r="R75" s="658"/>
      <c r="S75" s="658"/>
      <c r="T75" s="658"/>
    </row>
    <row r="76" spans="3:20" ht="13.35" customHeight="1" x14ac:dyDescent="0.45">
      <c r="C76" s="1405"/>
      <c r="D76" s="1405"/>
      <c r="E76" s="1405"/>
      <c r="F76" s="1405"/>
      <c r="G76" s="1405"/>
      <c r="H76" s="660"/>
      <c r="I76" s="660"/>
      <c r="J76" s="1386"/>
      <c r="K76" s="1386"/>
      <c r="L76" s="1386"/>
      <c r="M76" s="1386"/>
      <c r="N76" s="1386"/>
      <c r="O76" s="1386"/>
      <c r="P76" s="1387"/>
      <c r="Q76" s="658"/>
      <c r="R76" s="658"/>
      <c r="S76" s="658"/>
      <c r="T76" s="658"/>
    </row>
    <row r="77" spans="3:20" ht="13.15" x14ac:dyDescent="0.45">
      <c r="C77" s="1411" t="s">
        <v>698</v>
      </c>
      <c r="D77" s="1411"/>
      <c r="E77" s="1411"/>
      <c r="F77" s="1411"/>
      <c r="G77" s="1411"/>
      <c r="H77" s="1411"/>
      <c r="I77" s="1411"/>
      <c r="J77" s="1411"/>
      <c r="K77" s="1412"/>
      <c r="L77" s="1412"/>
      <c r="M77" s="1413"/>
      <c r="N77" s="1413"/>
      <c r="O77" s="1413"/>
      <c r="P77" s="1413"/>
      <c r="Q77" s="1413"/>
      <c r="R77" s="1413"/>
      <c r="S77" s="1413"/>
      <c r="T77" s="658"/>
    </row>
    <row r="78" spans="3:20" ht="13.35" customHeight="1" x14ac:dyDescent="0.45">
      <c r="C78" s="1405"/>
      <c r="D78" s="1405"/>
      <c r="E78" s="1405"/>
      <c r="F78" s="1405"/>
      <c r="G78" s="1405"/>
      <c r="H78" s="660"/>
      <c r="I78" s="660"/>
      <c r="J78" s="1386"/>
      <c r="K78" s="1386"/>
      <c r="L78" s="1386"/>
      <c r="M78" s="1386"/>
      <c r="N78" s="1386"/>
      <c r="O78" s="1386"/>
      <c r="P78" s="1387"/>
      <c r="Q78" s="658"/>
      <c r="R78" s="658"/>
      <c r="S78" s="658"/>
      <c r="T78" s="658"/>
    </row>
    <row r="79" spans="3:20" ht="13.35" customHeight="1" thickBot="1" x14ac:dyDescent="0.5">
      <c r="C79" s="1405"/>
      <c r="D79" s="1414" t="s">
        <v>641</v>
      </c>
      <c r="E79" s="1414"/>
      <c r="F79" s="1414"/>
      <c r="G79" s="1414"/>
      <c r="H79" s="1414"/>
      <c r="I79" s="1414"/>
      <c r="J79" s="1414"/>
      <c r="K79" s="1414"/>
      <c r="L79" s="1414"/>
      <c r="M79" s="1414"/>
      <c r="N79" s="1414"/>
      <c r="O79" s="1414"/>
      <c r="P79" s="1414"/>
      <c r="Q79" s="1414"/>
      <c r="R79" s="1414"/>
      <c r="S79" s="1414"/>
      <c r="T79" s="658"/>
    </row>
    <row r="80" spans="3:20" ht="13.35" customHeight="1" thickTop="1" thickBot="1" x14ac:dyDescent="0.5">
      <c r="C80" s="1405"/>
      <c r="D80" s="1405"/>
      <c r="E80" s="1405"/>
      <c r="F80" s="1405"/>
      <c r="G80" s="1405"/>
      <c r="H80" s="660"/>
      <c r="I80" s="660"/>
      <c r="J80" s="1386"/>
      <c r="K80" s="1386"/>
      <c r="L80" s="1386"/>
      <c r="M80" s="1386"/>
      <c r="N80" s="1386"/>
      <c r="O80" s="1386"/>
      <c r="P80" s="1387"/>
      <c r="Q80" s="658"/>
      <c r="R80" s="658"/>
      <c r="S80" s="658"/>
      <c r="T80" s="658"/>
    </row>
    <row r="81" spans="3:20" ht="26.1" customHeight="1" thickBot="1" x14ac:dyDescent="0.5">
      <c r="C81" s="1405"/>
      <c r="D81" s="1405"/>
      <c r="E81" s="1405"/>
      <c r="F81" s="1405"/>
      <c r="G81" s="1405"/>
      <c r="H81" s="660"/>
      <c r="I81" s="660"/>
      <c r="J81" s="1386"/>
      <c r="K81" s="1386"/>
      <c r="L81" s="2335" t="s">
        <v>492</v>
      </c>
      <c r="M81" s="2336"/>
      <c r="N81" s="2280" t="s">
        <v>730</v>
      </c>
      <c r="O81" s="2280" t="s">
        <v>731</v>
      </c>
      <c r="P81" s="2342"/>
      <c r="Q81" s="2343" t="s">
        <v>732</v>
      </c>
      <c r="R81" s="658"/>
      <c r="S81" s="658"/>
      <c r="T81" s="658"/>
    </row>
    <row r="82" spans="3:20" ht="13.5" thickBot="1" x14ac:dyDescent="0.5">
      <c r="C82" s="1405"/>
      <c r="D82" s="1405"/>
      <c r="E82" s="1405"/>
      <c r="F82" s="1405"/>
      <c r="G82" s="1405"/>
      <c r="H82" s="660"/>
      <c r="I82" s="660"/>
      <c r="J82" s="1386"/>
      <c r="K82" s="1386"/>
      <c r="L82" s="285" t="s">
        <v>493</v>
      </c>
      <c r="M82" s="286" t="s">
        <v>494</v>
      </c>
      <c r="N82" s="2281"/>
      <c r="O82" s="2281"/>
      <c r="P82" s="2281"/>
      <c r="Q82" s="2344"/>
      <c r="R82" s="658"/>
      <c r="S82" s="658"/>
      <c r="T82" s="658"/>
    </row>
    <row r="83" spans="3:20" ht="13.35" customHeight="1" x14ac:dyDescent="0.45">
      <c r="C83" s="1405"/>
      <c r="D83" s="1405"/>
      <c r="E83" s="1405"/>
      <c r="F83" s="1405"/>
      <c r="G83" s="1405"/>
      <c r="H83" s="660"/>
      <c r="I83" s="660"/>
      <c r="J83" s="1386"/>
      <c r="K83" s="1386"/>
      <c r="L83" s="2324">
        <f>'I. Summary Outputs'!N42</f>
        <v>0.12994976297665545</v>
      </c>
      <c r="M83" s="2327">
        <f>'I. Summary Outputs'!N47</f>
        <v>5.8339140534262486E-2</v>
      </c>
      <c r="N83" s="2329">
        <f>'I. Summary Outputs'!N61*100</f>
        <v>5.6192921390768573</v>
      </c>
      <c r="O83" s="382" t="s">
        <v>495</v>
      </c>
      <c r="P83" s="1708">
        <f>'I. Summary Outputs'!N108/10^6</f>
        <v>9.2642754338899209</v>
      </c>
      <c r="Q83" s="2277">
        <f>'I. Summary Outputs'!N140/10^6</f>
        <v>150.07252351921403</v>
      </c>
      <c r="R83" s="658"/>
      <c r="S83" s="658"/>
      <c r="T83" s="658"/>
    </row>
    <row r="84" spans="3:20" ht="13.35" customHeight="1" x14ac:dyDescent="0.45">
      <c r="C84" s="1405"/>
      <c r="D84" s="1405"/>
      <c r="E84" s="1405"/>
      <c r="F84" s="1405"/>
      <c r="G84" s="1405"/>
      <c r="H84" s="660"/>
      <c r="I84" s="660"/>
      <c r="J84" s="1386"/>
      <c r="K84" s="1386"/>
      <c r="L84" s="2325"/>
      <c r="M84" s="1934"/>
      <c r="N84" s="2330"/>
      <c r="O84" s="383" t="s">
        <v>496</v>
      </c>
      <c r="P84" s="1709">
        <f>'I. Summary Outputs'!N119/10^6</f>
        <v>45.46652891900068</v>
      </c>
      <c r="Q84" s="2278"/>
      <c r="R84" s="658"/>
      <c r="S84" s="658"/>
      <c r="T84" s="658"/>
    </row>
    <row r="85" spans="3:20" ht="13.35" customHeight="1" thickBot="1" x14ac:dyDescent="0.5">
      <c r="C85" s="1405"/>
      <c r="D85" s="1405"/>
      <c r="E85" s="1405"/>
      <c r="F85" s="1405"/>
      <c r="G85" s="1405"/>
      <c r="H85" s="660"/>
      <c r="I85" s="660"/>
      <c r="J85" s="1386"/>
      <c r="K85" s="1386"/>
      <c r="L85" s="2326"/>
      <c r="M85" s="2328"/>
      <c r="N85" s="2331"/>
      <c r="O85" s="384" t="s">
        <v>497</v>
      </c>
      <c r="P85" s="1710">
        <f>P83+P84</f>
        <v>54.730804352890601</v>
      </c>
      <c r="Q85" s="2279"/>
      <c r="R85" s="658"/>
      <c r="S85" s="658"/>
      <c r="T85" s="658"/>
    </row>
    <row r="86" spans="3:20" ht="13.35" customHeight="1" x14ac:dyDescent="0.45">
      <c r="C86" s="1405"/>
      <c r="D86" s="1405"/>
      <c r="E86" s="1405"/>
      <c r="F86" s="1405"/>
      <c r="G86" s="1405"/>
      <c r="H86" s="660"/>
      <c r="I86" s="660"/>
      <c r="J86" s="1386"/>
      <c r="K86" s="1386"/>
      <c r="L86" s="710"/>
      <c r="M86" s="710"/>
      <c r="N86" s="1391"/>
      <c r="O86" s="383"/>
      <c r="P86" s="1392"/>
      <c r="Q86" s="1392"/>
      <c r="R86" s="658"/>
      <c r="S86" s="658"/>
      <c r="T86" s="658"/>
    </row>
    <row r="87" spans="3:20" ht="13.35" customHeight="1" thickBot="1" x14ac:dyDescent="0.5">
      <c r="C87" s="1405"/>
      <c r="D87" s="1414" t="s">
        <v>640</v>
      </c>
      <c r="E87" s="1414"/>
      <c r="F87" s="1414"/>
      <c r="G87" s="1414"/>
      <c r="H87" s="1414"/>
      <c r="I87" s="1414"/>
      <c r="J87" s="1414"/>
      <c r="K87" s="1414"/>
      <c r="L87" s="1414"/>
      <c r="M87" s="1414"/>
      <c r="N87" s="1414"/>
      <c r="O87" s="1414"/>
      <c r="P87" s="1414"/>
      <c r="Q87" s="1414"/>
      <c r="R87" s="1414"/>
      <c r="S87" s="1414"/>
      <c r="T87" s="658"/>
    </row>
    <row r="88" spans="3:20" ht="14.1" customHeight="1" thickTop="1" x14ac:dyDescent="0.45">
      <c r="C88" s="461"/>
      <c r="D88" s="461"/>
      <c r="E88" s="461"/>
      <c r="F88" s="461"/>
      <c r="G88" s="461"/>
      <c r="H88" s="695"/>
      <c r="I88" s="695"/>
      <c r="J88" s="461"/>
      <c r="K88" s="419"/>
      <c r="L88" s="419"/>
      <c r="M88" s="419"/>
      <c r="N88" s="419"/>
      <c r="O88" s="419"/>
      <c r="P88" s="419"/>
      <c r="Q88" s="419"/>
      <c r="R88" s="709"/>
      <c r="S88" s="709"/>
      <c r="T88" s="709"/>
    </row>
    <row r="89" spans="3:20" x14ac:dyDescent="0.45">
      <c r="C89" s="695"/>
      <c r="D89" s="695"/>
      <c r="E89" s="695"/>
      <c r="F89" s="695"/>
      <c r="G89" s="695"/>
      <c r="H89" s="695"/>
      <c r="I89" s="1390" t="s">
        <v>516</v>
      </c>
      <c r="J89" s="695"/>
      <c r="K89" s="695"/>
      <c r="L89" s="695"/>
      <c r="M89" s="695"/>
      <c r="N89" s="695"/>
      <c r="O89" s="695"/>
      <c r="P89" s="695"/>
      <c r="Q89" s="695"/>
      <c r="R89" s="695"/>
      <c r="S89" s="695"/>
    </row>
    <row r="90" spans="3:20" ht="13.15" thickBot="1" x14ac:dyDescent="0.5">
      <c r="C90" s="695"/>
      <c r="D90" s="695"/>
      <c r="E90" s="695"/>
      <c r="F90" s="695"/>
      <c r="G90" s="695"/>
      <c r="H90" s="695"/>
      <c r="I90" s="695"/>
      <c r="J90" s="695"/>
      <c r="K90" s="695"/>
      <c r="L90" s="695"/>
      <c r="M90" s="695"/>
      <c r="N90" s="695"/>
      <c r="O90" s="695"/>
      <c r="P90" s="695"/>
      <c r="Q90" s="695"/>
      <c r="R90" s="695"/>
      <c r="S90" s="695"/>
    </row>
    <row r="91" spans="3:20" ht="32.450000000000003" customHeight="1" thickBot="1" x14ac:dyDescent="0.5">
      <c r="C91" s="695"/>
      <c r="D91" s="695"/>
      <c r="E91" s="695"/>
      <c r="F91" s="695"/>
      <c r="G91" s="695"/>
      <c r="H91" s="695"/>
      <c r="I91" s="695"/>
      <c r="J91" s="2292" t="s">
        <v>498</v>
      </c>
      <c r="K91" s="2294" t="s">
        <v>499</v>
      </c>
      <c r="L91" s="2296" t="s">
        <v>492</v>
      </c>
      <c r="M91" s="2297"/>
      <c r="N91" s="2294" t="s">
        <v>730</v>
      </c>
      <c r="O91" s="2294" t="s">
        <v>731</v>
      </c>
      <c r="P91" s="2345"/>
      <c r="Q91" s="2298" t="s">
        <v>732</v>
      </c>
      <c r="R91" s="695"/>
      <c r="S91" s="695"/>
    </row>
    <row r="92" spans="3:20" ht="13.5" thickBot="1" x14ac:dyDescent="0.5">
      <c r="C92" s="695"/>
      <c r="D92" s="695"/>
      <c r="E92" s="695"/>
      <c r="F92" s="695"/>
      <c r="G92" s="695"/>
      <c r="H92" s="695"/>
      <c r="I92" s="695"/>
      <c r="J92" s="2293"/>
      <c r="K92" s="2295"/>
      <c r="L92" s="287" t="s">
        <v>493</v>
      </c>
      <c r="M92" s="287" t="s">
        <v>494</v>
      </c>
      <c r="N92" s="2295"/>
      <c r="O92" s="2295"/>
      <c r="P92" s="2295"/>
      <c r="Q92" s="2299"/>
      <c r="R92" s="695"/>
      <c r="S92" s="695"/>
    </row>
    <row r="93" spans="3:20" x14ac:dyDescent="0.45">
      <c r="C93" s="695"/>
      <c r="D93" s="695"/>
      <c r="E93" s="695"/>
      <c r="F93" s="695"/>
      <c r="G93" s="695"/>
      <c r="H93" s="695"/>
      <c r="I93" s="695"/>
      <c r="J93" s="2300" t="s">
        <v>500</v>
      </c>
      <c r="K93" s="2303" t="s">
        <v>501</v>
      </c>
      <c r="L93" s="2305">
        <v>0</v>
      </c>
      <c r="M93" s="2305">
        <v>0</v>
      </c>
      <c r="N93" s="2308">
        <v>0</v>
      </c>
      <c r="O93" s="382" t="s">
        <v>495</v>
      </c>
      <c r="P93" s="1711">
        <v>0</v>
      </c>
      <c r="Q93" s="2274">
        <v>0</v>
      </c>
      <c r="R93" s="695"/>
      <c r="S93" s="695"/>
    </row>
    <row r="94" spans="3:20" x14ac:dyDescent="0.45">
      <c r="C94" s="695"/>
      <c r="D94" s="695"/>
      <c r="E94" s="695"/>
      <c r="F94" s="695"/>
      <c r="G94" s="695"/>
      <c r="H94" s="695"/>
      <c r="I94" s="695"/>
      <c r="J94" s="2301" t="s">
        <v>500</v>
      </c>
      <c r="K94" s="1870"/>
      <c r="L94" s="2306"/>
      <c r="M94" s="2306"/>
      <c r="N94" s="2309"/>
      <c r="O94" s="383" t="s">
        <v>496</v>
      </c>
      <c r="P94" s="1712">
        <v>0</v>
      </c>
      <c r="Q94" s="2275"/>
      <c r="R94" s="695"/>
      <c r="S94" s="695"/>
    </row>
    <row r="95" spans="3:20" ht="13.15" thickBot="1" x14ac:dyDescent="0.5">
      <c r="C95" s="695"/>
      <c r="D95" s="695"/>
      <c r="E95" s="695"/>
      <c r="F95" s="695"/>
      <c r="G95" s="695"/>
      <c r="H95" s="695"/>
      <c r="I95" s="695"/>
      <c r="J95" s="2302"/>
      <c r="K95" s="2304"/>
      <c r="L95" s="2307"/>
      <c r="M95" s="2307"/>
      <c r="N95" s="2310"/>
      <c r="O95" s="384" t="s">
        <v>497</v>
      </c>
      <c r="P95" s="1713">
        <v>0</v>
      </c>
      <c r="Q95" s="2276"/>
      <c r="R95" s="695"/>
      <c r="S95" s="695"/>
    </row>
    <row r="96" spans="3:20" x14ac:dyDescent="0.45">
      <c r="C96" s="695"/>
      <c r="D96" s="695"/>
      <c r="E96" s="695"/>
      <c r="F96" s="695"/>
      <c r="G96" s="695"/>
      <c r="H96" s="695"/>
      <c r="I96" s="695"/>
      <c r="J96" s="2286" t="s">
        <v>502</v>
      </c>
      <c r="K96" s="2322" t="s">
        <v>503</v>
      </c>
      <c r="L96" s="2316">
        <v>0</v>
      </c>
      <c r="M96" s="2316">
        <v>0</v>
      </c>
      <c r="N96" s="2319">
        <v>0</v>
      </c>
      <c r="O96" s="288" t="s">
        <v>495</v>
      </c>
      <c r="P96" s="1714">
        <v>0</v>
      </c>
      <c r="Q96" s="2271">
        <v>0</v>
      </c>
      <c r="R96" s="695"/>
      <c r="S96" s="695"/>
    </row>
    <row r="97" spans="3:20" x14ac:dyDescent="0.45">
      <c r="C97" s="695"/>
      <c r="D97" s="695"/>
      <c r="E97" s="695"/>
      <c r="F97" s="695"/>
      <c r="G97" s="695"/>
      <c r="H97" s="695"/>
      <c r="I97" s="695"/>
      <c r="J97" s="2311"/>
      <c r="K97" s="2323"/>
      <c r="L97" s="2317"/>
      <c r="M97" s="2317"/>
      <c r="N97" s="2320"/>
      <c r="O97" s="386" t="s">
        <v>496</v>
      </c>
      <c r="P97" s="387" t="s">
        <v>652</v>
      </c>
      <c r="Q97" s="2272"/>
      <c r="R97" s="695"/>
      <c r="S97" s="695"/>
    </row>
    <row r="98" spans="3:20" ht="13.15" thickBot="1" x14ac:dyDescent="0.5">
      <c r="C98" s="695"/>
      <c r="D98" s="695"/>
      <c r="E98" s="695"/>
      <c r="F98" s="695"/>
      <c r="G98" s="695"/>
      <c r="H98" s="695"/>
      <c r="I98" s="695"/>
      <c r="J98" s="2312"/>
      <c r="K98" s="2315"/>
      <c r="L98" s="2318"/>
      <c r="M98" s="2318"/>
      <c r="N98" s="2321"/>
      <c r="O98" s="289"/>
      <c r="P98" s="284"/>
      <c r="Q98" s="2273"/>
      <c r="R98" s="695"/>
      <c r="S98" s="695"/>
    </row>
    <row r="99" spans="3:20" x14ac:dyDescent="0.45">
      <c r="C99" s="695"/>
      <c r="D99" s="695"/>
      <c r="E99" s="695"/>
      <c r="F99" s="695"/>
      <c r="G99" s="695"/>
      <c r="H99" s="695"/>
      <c r="I99" s="695"/>
      <c r="J99" s="2300" t="s">
        <v>504</v>
      </c>
      <c r="K99" s="2303" t="s">
        <v>505</v>
      </c>
      <c r="L99" s="2305">
        <v>0</v>
      </c>
      <c r="M99" s="2305">
        <v>0</v>
      </c>
      <c r="N99" s="2308">
        <v>0</v>
      </c>
      <c r="O99" s="382" t="s">
        <v>495</v>
      </c>
      <c r="P99" s="388" t="s">
        <v>652</v>
      </c>
      <c r="Q99" s="2274">
        <v>0</v>
      </c>
      <c r="R99" s="695"/>
      <c r="S99" s="695"/>
    </row>
    <row r="100" spans="3:20" x14ac:dyDescent="0.45">
      <c r="C100" s="695"/>
      <c r="D100" s="695"/>
      <c r="E100" s="695"/>
      <c r="F100" s="695"/>
      <c r="G100" s="695"/>
      <c r="H100" s="695"/>
      <c r="I100" s="695"/>
      <c r="J100" s="2301"/>
      <c r="K100" s="1870"/>
      <c r="L100" s="2306"/>
      <c r="M100" s="2306"/>
      <c r="N100" s="2309"/>
      <c r="O100" s="383" t="s">
        <v>496</v>
      </c>
      <c r="P100" s="1712">
        <v>0</v>
      </c>
      <c r="Q100" s="2275"/>
      <c r="R100" s="695"/>
      <c r="S100" s="695"/>
    </row>
    <row r="101" spans="3:20" ht="13.15" thickBot="1" x14ac:dyDescent="0.5">
      <c r="C101" s="695"/>
      <c r="D101" s="695"/>
      <c r="E101" s="695"/>
      <c r="F101" s="695"/>
      <c r="G101" s="695"/>
      <c r="H101" s="695"/>
      <c r="I101" s="695"/>
      <c r="J101" s="2302"/>
      <c r="K101" s="2304"/>
      <c r="L101" s="2307"/>
      <c r="M101" s="2307"/>
      <c r="N101" s="2310"/>
      <c r="O101" s="384"/>
      <c r="P101" s="385"/>
      <c r="Q101" s="2276"/>
      <c r="R101" s="695"/>
      <c r="S101" s="695"/>
    </row>
    <row r="102" spans="3:20" x14ac:dyDescent="0.45">
      <c r="C102" s="695"/>
      <c r="D102" s="695"/>
      <c r="E102" s="695"/>
      <c r="F102" s="695"/>
      <c r="G102" s="695"/>
      <c r="H102" s="695"/>
      <c r="I102" s="695"/>
      <c r="J102" s="2286" t="s">
        <v>506</v>
      </c>
      <c r="K102" s="2313" t="s">
        <v>507</v>
      </c>
      <c r="L102" s="2316">
        <v>0</v>
      </c>
      <c r="M102" s="2316">
        <v>0</v>
      </c>
      <c r="N102" s="2319">
        <v>0</v>
      </c>
      <c r="O102" s="290" t="s">
        <v>495</v>
      </c>
      <c r="P102" s="1714">
        <v>0</v>
      </c>
      <c r="Q102" s="2271">
        <v>0</v>
      </c>
      <c r="R102" s="695"/>
      <c r="S102" s="695"/>
    </row>
    <row r="103" spans="3:20" x14ac:dyDescent="0.45">
      <c r="C103" s="695"/>
      <c r="D103" s="695"/>
      <c r="E103" s="695"/>
      <c r="F103" s="695"/>
      <c r="G103" s="695"/>
      <c r="H103" s="695"/>
      <c r="I103" s="695"/>
      <c r="J103" s="2311"/>
      <c r="K103" s="2314"/>
      <c r="L103" s="2317"/>
      <c r="M103" s="2317"/>
      <c r="N103" s="2320"/>
      <c r="O103" s="291" t="s">
        <v>496</v>
      </c>
      <c r="P103" s="1715">
        <v>0</v>
      </c>
      <c r="Q103" s="2272"/>
      <c r="R103" s="695"/>
      <c r="S103" s="695"/>
    </row>
    <row r="104" spans="3:20" ht="13.15" thickBot="1" x14ac:dyDescent="0.5">
      <c r="C104" s="695"/>
      <c r="D104" s="695"/>
      <c r="E104" s="695"/>
      <c r="F104" s="695"/>
      <c r="G104" s="695"/>
      <c r="H104" s="695"/>
      <c r="I104" s="695"/>
      <c r="J104" s="2312"/>
      <c r="K104" s="2315"/>
      <c r="L104" s="2318"/>
      <c r="M104" s="2318"/>
      <c r="N104" s="2321"/>
      <c r="O104" s="292" t="s">
        <v>497</v>
      </c>
      <c r="P104" s="1716">
        <v>0</v>
      </c>
      <c r="Q104" s="2273"/>
      <c r="R104" s="695"/>
      <c r="S104" s="695"/>
    </row>
    <row r="105" spans="3:20" x14ac:dyDescent="0.45">
      <c r="C105" s="695"/>
      <c r="D105" s="695"/>
      <c r="E105" s="695"/>
      <c r="F105" s="695"/>
      <c r="G105" s="695"/>
      <c r="H105" s="695"/>
      <c r="I105" s="695"/>
      <c r="J105" s="1386"/>
      <c r="K105" s="1386"/>
      <c r="L105" s="1393"/>
      <c r="M105" s="1393"/>
      <c r="N105" s="1393"/>
      <c r="O105" s="695"/>
      <c r="P105" s="695"/>
      <c r="Q105" s="1393"/>
      <c r="R105" s="695"/>
      <c r="S105" s="695"/>
    </row>
    <row r="106" spans="3:20" ht="13.15" x14ac:dyDescent="0.45">
      <c r="C106" s="1411" t="s">
        <v>700</v>
      </c>
      <c r="D106" s="1411"/>
      <c r="E106" s="1411"/>
      <c r="F106" s="1411"/>
      <c r="G106" s="1411"/>
      <c r="H106" s="1411"/>
      <c r="I106" s="1411"/>
      <c r="J106" s="1411"/>
      <c r="K106" s="1412"/>
      <c r="L106" s="1412"/>
      <c r="M106" s="1413"/>
      <c r="N106" s="1413"/>
      <c r="O106" s="1413"/>
      <c r="P106" s="1413"/>
      <c r="Q106" s="1413"/>
      <c r="R106" s="1413"/>
      <c r="S106" s="1413"/>
    </row>
    <row r="107" spans="3:20" x14ac:dyDescent="0.45">
      <c r="C107" s="695"/>
      <c r="D107" s="695"/>
      <c r="E107" s="695"/>
      <c r="F107" s="695"/>
      <c r="G107" s="695"/>
      <c r="H107" s="695"/>
      <c r="I107" s="695"/>
      <c r="J107" s="1386"/>
      <c r="K107" s="1386"/>
      <c r="L107" s="1393"/>
      <c r="M107" s="1393"/>
      <c r="N107" s="1393"/>
      <c r="O107" s="695"/>
      <c r="P107" s="695"/>
      <c r="Q107" s="1393"/>
      <c r="R107" s="695"/>
      <c r="S107" s="695"/>
    </row>
    <row r="108" spans="3:20" ht="13.5" thickBot="1" x14ac:dyDescent="0.5">
      <c r="C108" s="695"/>
      <c r="D108" s="1414" t="s">
        <v>641</v>
      </c>
      <c r="E108" s="1414"/>
      <c r="F108" s="1414"/>
      <c r="G108" s="1414"/>
      <c r="H108" s="1414"/>
      <c r="I108" s="1414"/>
      <c r="J108" s="1414"/>
      <c r="K108" s="1414"/>
      <c r="L108" s="1414"/>
      <c r="M108" s="1414"/>
      <c r="N108" s="1414"/>
      <c r="O108" s="1414"/>
      <c r="P108" s="1414"/>
      <c r="Q108" s="1414"/>
      <c r="R108" s="1414"/>
      <c r="S108" s="1414"/>
    </row>
    <row r="109" spans="3:20" ht="13.15" thickTop="1" x14ac:dyDescent="0.45">
      <c r="C109" s="695"/>
      <c r="D109" s="695"/>
      <c r="E109" s="695"/>
      <c r="F109" s="695"/>
      <c r="G109" s="695"/>
      <c r="H109" s="695"/>
      <c r="I109" s="695"/>
      <c r="J109" s="1386"/>
      <c r="K109" s="1386"/>
      <c r="L109" s="1393"/>
      <c r="M109" s="1393"/>
      <c r="N109" s="1393"/>
      <c r="O109" s="695"/>
      <c r="P109" s="695"/>
      <c r="Q109" s="1393"/>
      <c r="R109" s="695"/>
      <c r="S109" s="695"/>
    </row>
    <row r="110" spans="3:20" ht="13.15" x14ac:dyDescent="0.45">
      <c r="C110" s="695"/>
      <c r="D110" s="695"/>
      <c r="E110" s="695"/>
      <c r="F110" s="695"/>
      <c r="G110" s="695"/>
      <c r="H110" s="695"/>
      <c r="I110" s="695"/>
      <c r="J110" s="696" t="s">
        <v>566</v>
      </c>
      <c r="K110" s="696" t="s">
        <v>639</v>
      </c>
      <c r="L110" s="1394" t="s">
        <v>557</v>
      </c>
      <c r="M110" s="1394" t="s">
        <v>558</v>
      </c>
      <c r="N110" s="1395" t="s">
        <v>561</v>
      </c>
      <c r="O110" s="695"/>
      <c r="P110" s="695"/>
      <c r="Q110" s="1393"/>
      <c r="R110" s="695"/>
      <c r="S110" s="695"/>
    </row>
    <row r="111" spans="3:20" x14ac:dyDescent="0.45">
      <c r="C111" s="695"/>
      <c r="D111" s="695"/>
      <c r="E111" s="695"/>
      <c r="F111" s="695"/>
      <c r="G111" s="695"/>
      <c r="H111" s="695"/>
      <c r="I111" s="695"/>
      <c r="J111" s="461" t="s">
        <v>348</v>
      </c>
      <c r="K111" s="461" t="s">
        <v>553</v>
      </c>
      <c r="L111" s="1522">
        <f>IF('III. Inputs, Renewable Energy'!V124="N",0,IF('III. Inputs, Renewable Energy'!Q190="Lump Sum", 'III. Inputs, Renewable Energy'!V190, 'III. Inputs, Renewable Energy'!Y190))</f>
        <v>5811110.3046963457</v>
      </c>
      <c r="M111" s="1522">
        <f>L111</f>
        <v>5811110.3046963457</v>
      </c>
      <c r="N111" s="1717">
        <f>L111</f>
        <v>5811110.3046963457</v>
      </c>
      <c r="O111" s="695"/>
      <c r="P111" s="695"/>
      <c r="Q111" s="1393"/>
      <c r="R111" s="1548"/>
      <c r="S111" s="1548"/>
      <c r="T111" s="1548"/>
    </row>
    <row r="112" spans="3:20" x14ac:dyDescent="0.45">
      <c r="C112" s="695"/>
      <c r="D112" s="695"/>
      <c r="E112" s="695"/>
      <c r="F112" s="695"/>
      <c r="G112" s="695"/>
      <c r="H112" s="695"/>
      <c r="I112" s="695"/>
      <c r="J112" s="461" t="s">
        <v>463</v>
      </c>
      <c r="K112" s="461" t="s">
        <v>554</v>
      </c>
      <c r="L112" s="1522">
        <f>IF('III. Inputs, Renewable Energy'!V125="N",0,IF('III. Inputs, Renewable Energy'!Q191="Lump Sum", 'III. Inputs, Renewable Energy'!V191, 'III. Inputs, Renewable Energy'!Y191))</f>
        <v>6682776.850400799</v>
      </c>
      <c r="M112" s="1522">
        <f>'VII. Instrument Costing'!I52</f>
        <v>79739576.104153663</v>
      </c>
      <c r="N112" s="1718">
        <f>'I. Summary Outputs'!O88</f>
        <v>0</v>
      </c>
      <c r="O112" s="695"/>
      <c r="P112" s="695"/>
      <c r="Q112" s="1393"/>
      <c r="R112" s="1548"/>
      <c r="S112" s="1548"/>
      <c r="T112" s="1548"/>
    </row>
    <row r="113" spans="3:20" x14ac:dyDescent="0.45">
      <c r="C113" s="695"/>
      <c r="D113" s="695"/>
      <c r="E113" s="695"/>
      <c r="F113" s="695"/>
      <c r="G113" s="695"/>
      <c r="H113" s="695"/>
      <c r="I113" s="695"/>
      <c r="J113" s="461" t="s">
        <v>2</v>
      </c>
      <c r="K113" s="461" t="s">
        <v>186</v>
      </c>
      <c r="L113" s="1522">
        <f>IFERROR('I. Summary Outputs'!N89*'III. Inputs, Renewable Energy'!$U$241/'III. Inputs, Renewable Energy'!$U$249,"NA")</f>
        <v>28904864.550616089</v>
      </c>
      <c r="M113" s="1522">
        <f>'I. Summary Outputs'!N89</f>
        <v>115619458.20246436</v>
      </c>
      <c r="N113" s="1718">
        <f>'I. Summary Outputs'!O89</f>
        <v>0</v>
      </c>
      <c r="O113" s="695"/>
      <c r="P113" s="695"/>
      <c r="Q113" s="1393"/>
      <c r="R113" s="1548"/>
      <c r="S113" s="1548"/>
      <c r="T113" s="1548"/>
    </row>
    <row r="114" spans="3:20" x14ac:dyDescent="0.45">
      <c r="C114" s="695"/>
      <c r="D114" s="695"/>
      <c r="E114" s="695"/>
      <c r="F114" s="695"/>
      <c r="G114" s="695"/>
      <c r="H114" s="695"/>
      <c r="I114" s="695"/>
      <c r="J114" s="695"/>
      <c r="K114" s="461" t="s">
        <v>552</v>
      </c>
      <c r="L114" s="1522">
        <f>IFERROR(('I. Summary Outputs'!N90*'III. Inputs, Renewable Energy'!V222*'III. Inputs, Renewable Energy'!$U$243/'III. Inputs, Renewable Energy'!$U$249),"NA")</f>
        <v>0</v>
      </c>
      <c r="M114" s="1522">
        <f>'I. Summary Outputs'!N90</f>
        <v>0</v>
      </c>
      <c r="N114" s="1718">
        <f>'I. Summary Outputs'!O90</f>
        <v>0</v>
      </c>
      <c r="O114" s="695"/>
      <c r="P114" s="695"/>
      <c r="Q114" s="1393"/>
      <c r="R114" s="1548"/>
      <c r="S114" s="1548"/>
      <c r="T114" s="1548"/>
    </row>
    <row r="115" spans="3:20" x14ac:dyDescent="0.45">
      <c r="C115" s="695"/>
      <c r="D115" s="695"/>
      <c r="E115" s="695"/>
      <c r="F115" s="695"/>
      <c r="G115" s="695"/>
      <c r="H115" s="695"/>
      <c r="I115" s="695"/>
      <c r="J115" s="461" t="s">
        <v>556</v>
      </c>
      <c r="K115" s="461" t="s">
        <v>555</v>
      </c>
      <c r="L115" s="1522">
        <f>IF('III. Inputs, Renewable Energy'!V227&gt;0, 'III. Inputs, Renewable Energy'!$V$227*'III. Inputs, Renewable Energy'!$U$245*'I. Summary Outputs'!N85/'III. Inputs, Renewable Energy'!$U$249,0)</f>
        <v>0</v>
      </c>
      <c r="M115" s="1522">
        <f>L115</f>
        <v>0</v>
      </c>
      <c r="N115" s="1718">
        <f>L115</f>
        <v>0</v>
      </c>
      <c r="O115" s="695"/>
      <c r="P115" s="695"/>
      <c r="Q115" s="1393"/>
      <c r="R115" s="1548"/>
      <c r="S115" s="1548"/>
      <c r="T115" s="1548"/>
    </row>
    <row r="116" spans="3:20" x14ac:dyDescent="0.45">
      <c r="C116" s="695"/>
      <c r="D116" s="695"/>
      <c r="E116" s="695"/>
      <c r="F116" s="695"/>
      <c r="G116" s="695"/>
      <c r="H116" s="695"/>
      <c r="I116" s="695"/>
      <c r="J116" s="461" t="s">
        <v>345</v>
      </c>
      <c r="K116" s="461" t="s">
        <v>351</v>
      </c>
      <c r="L116" s="1522">
        <f>IF('III. Inputs, Renewable Energy'!V131="N",0,IF('III. Inputs, Renewable Energy'!Q192="Lump Sum", 'III. Inputs, Renewable Energy'!V192, 'III. Inputs, Renewable Energy'!Y192))</f>
        <v>4067777.2132874429</v>
      </c>
      <c r="M116" s="1522">
        <f>L116</f>
        <v>4067777.2132874429</v>
      </c>
      <c r="N116" s="1718">
        <f>L116</f>
        <v>4067777.2132874429</v>
      </c>
      <c r="O116" s="695"/>
      <c r="P116" s="695"/>
      <c r="Q116" s="1393"/>
      <c r="R116" s="1548"/>
      <c r="S116" s="1548"/>
      <c r="T116" s="1548"/>
    </row>
    <row r="117" spans="3:20" ht="13.15" x14ac:dyDescent="0.45">
      <c r="C117" s="695"/>
      <c r="D117" s="695"/>
      <c r="E117" s="695"/>
      <c r="F117" s="695"/>
      <c r="G117" s="695"/>
      <c r="H117" s="695"/>
      <c r="I117" s="695"/>
      <c r="J117" s="696" t="s">
        <v>302</v>
      </c>
      <c r="K117" s="695"/>
      <c r="L117" s="1517">
        <f>SUM(L111:L116)</f>
        <v>45466528.919000678</v>
      </c>
      <c r="M117" s="1517">
        <f>SUM(M111:M116)</f>
        <v>205237921.8246018</v>
      </c>
      <c r="N117" s="1719">
        <f>SUM(N111:N116)</f>
        <v>9878887.5179837886</v>
      </c>
      <c r="O117" s="695"/>
      <c r="P117" s="695"/>
      <c r="Q117" s="1393"/>
      <c r="R117" s="1548"/>
      <c r="S117" s="1548"/>
      <c r="T117" s="1548"/>
    </row>
    <row r="118" spans="3:20" x14ac:dyDescent="0.45">
      <c r="C118" s="695"/>
      <c r="D118" s="695"/>
      <c r="E118" s="695"/>
      <c r="F118" s="695"/>
      <c r="G118" s="695"/>
      <c r="H118" s="695"/>
      <c r="I118" s="695"/>
      <c r="J118" s="695"/>
      <c r="K118" s="1386" t="s">
        <v>549</v>
      </c>
      <c r="L118" s="1720">
        <f>L111+L116</f>
        <v>9878887.5179837886</v>
      </c>
      <c r="M118" s="1721">
        <f>M111+M116</f>
        <v>9878887.5179837886</v>
      </c>
      <c r="N118" s="1722">
        <f>N111+N116</f>
        <v>9878887.5179837886</v>
      </c>
      <c r="O118" s="695"/>
      <c r="P118" s="695"/>
      <c r="Q118" s="1393"/>
      <c r="R118" s="1548"/>
      <c r="S118" s="1548"/>
      <c r="T118" s="1548"/>
    </row>
    <row r="119" spans="3:20" x14ac:dyDescent="0.45">
      <c r="C119" s="695"/>
      <c r="D119" s="695"/>
      <c r="E119" s="695"/>
      <c r="F119" s="695"/>
      <c r="G119" s="695"/>
      <c r="H119" s="695"/>
      <c r="I119" s="695"/>
      <c r="J119" s="695"/>
      <c r="K119" s="1386" t="s">
        <v>550</v>
      </c>
      <c r="L119" s="1723">
        <f>L112</f>
        <v>6682776.850400799</v>
      </c>
      <c r="M119" s="1724">
        <v>0</v>
      </c>
      <c r="N119" s="1725">
        <v>0</v>
      </c>
      <c r="O119" s="695"/>
      <c r="P119" s="695"/>
      <c r="Q119" s="1393"/>
      <c r="R119" s="1548"/>
      <c r="S119" s="1548"/>
      <c r="T119" s="1548"/>
    </row>
    <row r="120" spans="3:20" x14ac:dyDescent="0.45">
      <c r="C120" s="695"/>
      <c r="D120" s="695"/>
      <c r="E120" s="695"/>
      <c r="F120" s="695"/>
      <c r="G120" s="695"/>
      <c r="H120" s="695"/>
      <c r="I120" s="695"/>
      <c r="J120" s="695"/>
      <c r="K120" s="1386" t="s">
        <v>548</v>
      </c>
      <c r="L120" s="1723">
        <f>SUM(L113:L115)</f>
        <v>28904864.550616089</v>
      </c>
      <c r="M120" s="1724">
        <f>M115</f>
        <v>0</v>
      </c>
      <c r="N120" s="1725">
        <f>N115</f>
        <v>0</v>
      </c>
      <c r="O120" s="695"/>
      <c r="P120" s="695"/>
      <c r="Q120" s="1393"/>
      <c r="R120" s="1548"/>
      <c r="S120" s="1548"/>
      <c r="T120" s="1548"/>
    </row>
    <row r="121" spans="3:20" x14ac:dyDescent="0.45">
      <c r="C121" s="695"/>
      <c r="D121" s="695"/>
      <c r="E121" s="695"/>
      <c r="F121" s="695"/>
      <c r="G121" s="695"/>
      <c r="H121" s="695"/>
      <c r="I121" s="695"/>
      <c r="J121" s="695"/>
      <c r="K121" s="1386" t="s">
        <v>551</v>
      </c>
      <c r="L121" s="1726">
        <f>0</f>
        <v>0</v>
      </c>
      <c r="M121" s="1727">
        <f>SUM(M112:M114)</f>
        <v>195359034.30661803</v>
      </c>
      <c r="N121" s="1728">
        <v>0</v>
      </c>
      <c r="O121" s="695"/>
      <c r="P121" s="695"/>
      <c r="Q121" s="1393"/>
      <c r="R121" s="695"/>
      <c r="S121" s="695"/>
    </row>
    <row r="122" spans="3:20" x14ac:dyDescent="0.45">
      <c r="C122" s="695"/>
      <c r="D122" s="695"/>
      <c r="E122" s="695"/>
      <c r="F122" s="695"/>
      <c r="G122" s="695"/>
      <c r="H122" s="695"/>
      <c r="I122" s="695"/>
      <c r="J122" s="695"/>
      <c r="K122" s="1386"/>
      <c r="L122" s="1729"/>
      <c r="M122" s="1729"/>
      <c r="N122" s="1729"/>
      <c r="O122" s="695"/>
      <c r="P122" s="695"/>
      <c r="Q122" s="1393"/>
      <c r="R122" s="695"/>
      <c r="S122" s="695"/>
    </row>
    <row r="123" spans="3:20" ht="13.15" x14ac:dyDescent="0.45">
      <c r="C123" s="695"/>
      <c r="D123" s="695"/>
      <c r="E123" s="695"/>
      <c r="F123" s="695"/>
      <c r="G123" s="695"/>
      <c r="H123" s="695"/>
      <c r="I123" s="704" t="s">
        <v>508</v>
      </c>
      <c r="J123" s="695"/>
      <c r="K123" s="1386"/>
      <c r="L123" s="1729"/>
      <c r="M123" s="1729"/>
      <c r="N123" s="1729"/>
      <c r="O123" s="695"/>
      <c r="P123" s="695"/>
      <c r="Q123" s="1393"/>
      <c r="R123" s="695"/>
      <c r="S123" s="695"/>
    </row>
    <row r="124" spans="3:20" ht="13.5" thickBot="1" x14ac:dyDescent="0.5">
      <c r="C124" s="695"/>
      <c r="D124" s="695"/>
      <c r="E124" s="695"/>
      <c r="F124" s="695"/>
      <c r="G124" s="695"/>
      <c r="H124" s="695"/>
      <c r="I124" s="704"/>
      <c r="J124" s="1446" t="str">
        <f>'I. Summary Outputs'!D136</f>
        <v>Multiple</v>
      </c>
      <c r="K124" s="1396"/>
      <c r="L124" s="1730"/>
      <c r="M124" s="1730"/>
      <c r="N124" s="1397">
        <f>IF(N125+N126=0, "NA", N128/(N125+N126))</f>
        <v>2.7420120221801194</v>
      </c>
      <c r="O124" s="695"/>
      <c r="P124" s="695"/>
      <c r="Q124" s="1393"/>
      <c r="R124" s="695"/>
      <c r="S124" s="695"/>
    </row>
    <row r="125" spans="3:20" ht="13.15" x14ac:dyDescent="0.45">
      <c r="C125" s="695"/>
      <c r="D125" s="695"/>
      <c r="E125" s="695"/>
      <c r="F125" s="695"/>
      <c r="G125" s="695"/>
      <c r="H125" s="695"/>
      <c r="I125" s="704"/>
      <c r="J125" s="695" t="str">
        <f>'I. Summary Outputs'!D137</f>
        <v xml:space="preserve">Financial Derisking Costs </v>
      </c>
      <c r="K125" s="1386"/>
      <c r="L125" s="1729"/>
      <c r="M125" s="1729"/>
      <c r="N125" s="1731">
        <f>L117</f>
        <v>45466528.919000678</v>
      </c>
      <c r="O125" s="695"/>
      <c r="P125" s="695"/>
      <c r="Q125" s="1393"/>
      <c r="R125" s="695"/>
      <c r="S125" s="695"/>
    </row>
    <row r="126" spans="3:20" ht="13.15" x14ac:dyDescent="0.45">
      <c r="C126" s="695"/>
      <c r="D126" s="695"/>
      <c r="E126" s="695"/>
      <c r="F126" s="695"/>
      <c r="G126" s="695"/>
      <c r="H126" s="695"/>
      <c r="I126" s="704"/>
      <c r="J126" s="695" t="str">
        <f>'I. Summary Outputs'!D138</f>
        <v>Policy Derisking Costs</v>
      </c>
      <c r="K126" s="1386"/>
      <c r="L126" s="1729"/>
      <c r="M126" s="1729"/>
      <c r="N126" s="1732">
        <f>'I. Summary Outputs'!N138</f>
        <v>9264275.4338899218</v>
      </c>
      <c r="O126" s="695"/>
      <c r="P126" s="695"/>
      <c r="Q126" s="1393"/>
      <c r="R126" s="695"/>
      <c r="S126" s="695"/>
    </row>
    <row r="127" spans="3:20" ht="13.15" x14ac:dyDescent="0.45">
      <c r="C127" s="695"/>
      <c r="D127" s="695"/>
      <c r="E127" s="695"/>
      <c r="F127" s="695"/>
      <c r="G127" s="695"/>
      <c r="H127" s="695"/>
      <c r="I127" s="704"/>
      <c r="J127" s="695" t="str">
        <f>'I. Summary Outputs'!D139</f>
        <v>Present Value of FIT/PPA Price Premium over lifetime of Renewable Energy Investment</v>
      </c>
      <c r="K127" s="1386"/>
      <c r="L127" s="1729"/>
      <c r="M127" s="1729"/>
      <c r="N127" s="1732">
        <f>'I. Summary Outputs'!N139</f>
        <v>50516099.410529718</v>
      </c>
      <c r="O127" s="695"/>
      <c r="P127" s="695"/>
      <c r="Q127" s="1393"/>
      <c r="R127" s="695"/>
      <c r="S127" s="695"/>
    </row>
    <row r="128" spans="3:20" ht="13.15" x14ac:dyDescent="0.45">
      <c r="C128" s="695"/>
      <c r="D128" s="695"/>
      <c r="E128" s="695"/>
      <c r="F128" s="695"/>
      <c r="G128" s="695"/>
      <c r="H128" s="695"/>
      <c r="I128" s="704"/>
      <c r="J128" s="695" t="str">
        <f>'I. Summary Outputs'!D140</f>
        <v>Present Value of Total Savings Due to Derisking over lifetime of Renewable Energy Investment</v>
      </c>
      <c r="K128" s="1386"/>
      <c r="L128" s="1729"/>
      <c r="M128" s="1729"/>
      <c r="N128" s="1732">
        <f>'I. Summary Outputs'!N140</f>
        <v>150072523.51921403</v>
      </c>
      <c r="O128" s="695"/>
      <c r="P128" s="695"/>
      <c r="Q128" s="1393"/>
      <c r="R128" s="695"/>
      <c r="S128" s="695"/>
    </row>
    <row r="129" spans="3:19" ht="13.15" x14ac:dyDescent="0.45">
      <c r="C129" s="695"/>
      <c r="D129" s="695"/>
      <c r="E129" s="695"/>
      <c r="F129" s="695"/>
      <c r="G129" s="695"/>
      <c r="H129" s="695"/>
      <c r="I129" s="704"/>
      <c r="J129" s="695"/>
      <c r="K129" s="1386"/>
      <c r="L129" s="1729"/>
      <c r="M129" s="1729"/>
      <c r="N129" s="1729"/>
      <c r="O129" s="695"/>
      <c r="P129" s="695"/>
      <c r="Q129" s="1393"/>
      <c r="R129" s="695"/>
      <c r="S129" s="695"/>
    </row>
    <row r="130" spans="3:19" ht="13.15" x14ac:dyDescent="0.45">
      <c r="C130" s="695"/>
      <c r="D130" s="695"/>
      <c r="E130" s="695"/>
      <c r="F130" s="695"/>
      <c r="G130" s="695"/>
      <c r="H130" s="695"/>
      <c r="I130" s="704" t="s">
        <v>642</v>
      </c>
      <c r="J130" s="695"/>
      <c r="K130" s="1386"/>
      <c r="L130" s="1729"/>
      <c r="M130" s="1729"/>
      <c r="N130" s="1729"/>
      <c r="O130" s="695"/>
      <c r="P130" s="695"/>
      <c r="Q130" s="1393"/>
      <c r="R130" s="695"/>
      <c r="S130" s="695"/>
    </row>
    <row r="131" spans="3:19" ht="13.5" thickBot="1" x14ac:dyDescent="0.5">
      <c r="C131" s="695"/>
      <c r="D131" s="695"/>
      <c r="E131" s="695"/>
      <c r="F131" s="695"/>
      <c r="G131" s="695"/>
      <c r="H131" s="695"/>
      <c r="I131" s="704"/>
      <c r="J131" s="1447" t="str">
        <f>'I. Summary Outputs'!D153</f>
        <v>% Change in Total Abatement Costs per t/CO2e</v>
      </c>
      <c r="K131" s="1396"/>
      <c r="L131" s="1730"/>
      <c r="M131" s="1730"/>
      <c r="N131" s="1398">
        <f>IF(OR(M132=0,M132="NA"),"NA",IF(OR(M132&lt;0,AND(N132&gt;0,M132&lt;0)),-((N132/M132)-1),(N132/M132)-1))</f>
        <v>-0.48803111882931416</v>
      </c>
      <c r="O131" s="695"/>
      <c r="P131" s="695"/>
      <c r="Q131" s="1393"/>
      <c r="R131" s="695"/>
      <c r="S131" s="695"/>
    </row>
    <row r="132" spans="3:19" ht="13.15" x14ac:dyDescent="0.45">
      <c r="C132" s="695"/>
      <c r="D132" s="695"/>
      <c r="E132" s="695"/>
      <c r="F132" s="695"/>
      <c r="G132" s="695"/>
      <c r="H132" s="695"/>
      <c r="I132" s="704"/>
      <c r="J132" s="695" t="str">
        <f>'I. Summary Outputs'!D152</f>
        <v>Total Carbon Abatement Costs per t/CO2e</v>
      </c>
      <c r="K132" s="1386"/>
      <c r="L132" s="1729"/>
      <c r="M132" s="1820">
        <f>SUM(M133:M135)</f>
        <v>19.367423741582634</v>
      </c>
      <c r="N132" s="1821">
        <f>SUM(N133:N135)</f>
        <v>9.9155182641366384</v>
      </c>
      <c r="O132" s="695"/>
      <c r="P132" s="695"/>
      <c r="Q132" s="1393"/>
      <c r="R132" s="695"/>
      <c r="S132" s="695"/>
    </row>
    <row r="133" spans="3:19" x14ac:dyDescent="0.45">
      <c r="C133" s="695"/>
      <c r="D133" s="695"/>
      <c r="E133" s="695"/>
      <c r="F133" s="695"/>
      <c r="G133" s="695"/>
      <c r="H133" s="695"/>
      <c r="I133" s="695"/>
      <c r="J133" s="695" t="str">
        <f>'I. Summary Outputs'!E149</f>
        <v>Abatement Costs due to Incremental Costs</v>
      </c>
      <c r="K133" s="1386"/>
      <c r="L133" s="1729"/>
      <c r="M133" s="1820">
        <f>'I. Summary Outputs'!L149</f>
        <v>18.89784956247966</v>
      </c>
      <c r="N133" s="1820">
        <f>'I. Summary Outputs'!N149</f>
        <v>4.7592213017875045</v>
      </c>
      <c r="O133" s="695"/>
      <c r="P133" s="695"/>
      <c r="Q133" s="1393"/>
      <c r="R133" s="695"/>
      <c r="S133" s="695"/>
    </row>
    <row r="134" spans="3:19" x14ac:dyDescent="0.45">
      <c r="C134" s="695"/>
      <c r="D134" s="695"/>
      <c r="E134" s="695"/>
      <c r="F134" s="695"/>
      <c r="G134" s="695"/>
      <c r="H134" s="695"/>
      <c r="I134" s="695"/>
      <c r="J134" s="695" t="str">
        <f>'I. Summary Outputs'!E150</f>
        <v>Abatement Costs due to Financial Derisking Costs</v>
      </c>
      <c r="K134" s="1386"/>
      <c r="L134" s="1729"/>
      <c r="M134" s="1820">
        <f>'I. Summary Outputs'!L150</f>
        <v>0</v>
      </c>
      <c r="N134" s="1820">
        <f>IF('I. Summary Outputs'!$N$154=0,0,N125/('I. Summary Outputs'!$N$154*1000000))</f>
        <v>4.2834913121685254</v>
      </c>
      <c r="O134" s="695"/>
      <c r="P134" s="695"/>
      <c r="Q134" s="1393"/>
      <c r="R134" s="695"/>
      <c r="S134" s="695"/>
    </row>
    <row r="135" spans="3:19" x14ac:dyDescent="0.45">
      <c r="C135" s="695"/>
      <c r="D135" s="695"/>
      <c r="E135" s="695"/>
      <c r="F135" s="695"/>
      <c r="G135" s="695"/>
      <c r="H135" s="695"/>
      <c r="I135" s="695"/>
      <c r="J135" s="695" t="str">
        <f>'I. Summary Outputs'!E151</f>
        <v>Abatement Costs due to Policy Derisking Costs</v>
      </c>
      <c r="K135" s="1386"/>
      <c r="L135" s="1729"/>
      <c r="M135" s="1820">
        <f>'I. Summary Outputs'!L151</f>
        <v>0.4695741791029745</v>
      </c>
      <c r="N135" s="1820">
        <f>'I. Summary Outputs'!N151</f>
        <v>0.87280565018060741</v>
      </c>
      <c r="O135" s="695"/>
      <c r="P135" s="695"/>
      <c r="Q135" s="1393"/>
      <c r="R135" s="695"/>
      <c r="S135" s="695"/>
    </row>
    <row r="136" spans="3:19" x14ac:dyDescent="0.45">
      <c r="C136" s="695"/>
      <c r="D136" s="695"/>
      <c r="E136" s="695"/>
      <c r="F136" s="695"/>
      <c r="G136" s="695"/>
      <c r="H136" s="695"/>
      <c r="I136" s="695"/>
      <c r="J136" s="695"/>
      <c r="K136" s="1386"/>
      <c r="L136" s="1729"/>
      <c r="M136" s="1729"/>
      <c r="N136" s="1729"/>
      <c r="O136" s="695"/>
      <c r="P136" s="695"/>
      <c r="Q136" s="1393"/>
      <c r="R136" s="695"/>
      <c r="S136" s="695"/>
    </row>
    <row r="137" spans="3:19" x14ac:dyDescent="0.45">
      <c r="C137" s="695"/>
      <c r="D137" s="695"/>
      <c r="E137" s="695"/>
      <c r="F137" s="695"/>
      <c r="G137" s="695"/>
      <c r="H137" s="663"/>
      <c r="I137" s="695"/>
      <c r="J137" s="1386"/>
      <c r="K137" s="1386"/>
      <c r="L137" s="1393"/>
      <c r="M137" s="1393"/>
      <c r="N137" s="1393"/>
      <c r="O137" s="695"/>
      <c r="P137" s="695"/>
      <c r="Q137" s="1393"/>
      <c r="R137" s="695"/>
      <c r="S137" s="695"/>
    </row>
    <row r="138" spans="3:19" ht="13.5" thickBot="1" x14ac:dyDescent="0.5">
      <c r="C138" s="695"/>
      <c r="D138" s="1414" t="s">
        <v>640</v>
      </c>
      <c r="E138" s="1414"/>
      <c r="F138" s="1414"/>
      <c r="G138" s="1414"/>
      <c r="H138" s="1414"/>
      <c r="I138" s="1414"/>
      <c r="J138" s="1414"/>
      <c r="K138" s="1414"/>
      <c r="L138" s="1414"/>
      <c r="M138" s="1414"/>
      <c r="N138" s="1414"/>
      <c r="O138" s="1414"/>
      <c r="P138" s="1414"/>
      <c r="Q138" s="1414"/>
      <c r="R138" s="1414"/>
      <c r="S138" s="1414"/>
    </row>
    <row r="139" spans="3:19" ht="13.15" thickTop="1" x14ac:dyDescent="0.45">
      <c r="C139" s="695"/>
      <c r="D139" s="695"/>
      <c r="E139" s="695"/>
      <c r="F139" s="695"/>
      <c r="G139" s="695"/>
      <c r="H139" s="695"/>
      <c r="I139" s="695"/>
      <c r="J139" s="695"/>
      <c r="K139" s="695"/>
      <c r="L139" s="695"/>
      <c r="M139" s="695"/>
      <c r="N139" s="695"/>
      <c r="O139" s="695"/>
      <c r="P139" s="695"/>
      <c r="Q139" s="695"/>
      <c r="R139" s="695"/>
      <c r="S139" s="695"/>
    </row>
    <row r="140" spans="3:19" x14ac:dyDescent="0.45">
      <c r="C140" s="695"/>
      <c r="D140" s="695"/>
      <c r="E140" s="695"/>
      <c r="F140" s="695"/>
      <c r="G140" s="695"/>
      <c r="H140" s="695"/>
      <c r="I140" s="1390"/>
      <c r="J140" s="1390" t="s">
        <v>513</v>
      </c>
      <c r="K140" s="695"/>
      <c r="L140" s="695"/>
      <c r="M140" s="695"/>
      <c r="N140" s="695"/>
      <c r="O140" s="695"/>
      <c r="P140" s="695"/>
      <c r="Q140" s="695"/>
      <c r="R140" s="695"/>
      <c r="S140" s="695"/>
    </row>
    <row r="141" spans="3:19" ht="13.15" thickBot="1" x14ac:dyDescent="0.5">
      <c r="C141" s="695"/>
      <c r="D141" s="695"/>
      <c r="E141" s="695"/>
      <c r="F141" s="695"/>
      <c r="G141" s="695"/>
      <c r="H141" s="695"/>
      <c r="I141" s="695"/>
      <c r="J141" s="695"/>
      <c r="K141" s="695"/>
      <c r="L141" s="695"/>
      <c r="M141" s="695"/>
      <c r="N141" s="695"/>
      <c r="O141" s="695"/>
      <c r="P141" s="695"/>
      <c r="Q141" s="695"/>
      <c r="R141" s="695"/>
      <c r="S141" s="695"/>
    </row>
    <row r="142" spans="3:19" ht="14.1" customHeight="1" thickBot="1" x14ac:dyDescent="0.5">
      <c r="C142" s="695"/>
      <c r="D142" s="695"/>
      <c r="E142" s="695"/>
      <c r="F142" s="695"/>
      <c r="G142" s="695"/>
      <c r="H142" s="695"/>
      <c r="I142" s="695"/>
      <c r="J142" s="2292" t="s">
        <v>498</v>
      </c>
      <c r="K142" s="2294" t="s">
        <v>499</v>
      </c>
      <c r="L142" s="2296" t="s">
        <v>733</v>
      </c>
      <c r="M142" s="2297"/>
      <c r="N142" s="2297"/>
      <c r="O142" s="2297"/>
      <c r="P142" s="2294" t="s">
        <v>508</v>
      </c>
      <c r="Q142" s="2298" t="s">
        <v>734</v>
      </c>
      <c r="R142" s="695"/>
      <c r="S142" s="695"/>
    </row>
    <row r="143" spans="3:19" ht="42" customHeight="1" thickBot="1" x14ac:dyDescent="0.5">
      <c r="C143" s="695"/>
      <c r="D143" s="695"/>
      <c r="E143" s="695"/>
      <c r="F143" s="695"/>
      <c r="G143" s="695"/>
      <c r="H143" s="695"/>
      <c r="I143" s="695"/>
      <c r="J143" s="2293"/>
      <c r="K143" s="2295"/>
      <c r="L143" s="287" t="s">
        <v>509</v>
      </c>
      <c r="M143" s="287" t="s">
        <v>510</v>
      </c>
      <c r="N143" s="287" t="s">
        <v>511</v>
      </c>
      <c r="O143" s="287" t="s">
        <v>512</v>
      </c>
      <c r="P143" s="2295"/>
      <c r="Q143" s="2299"/>
      <c r="R143" s="695"/>
      <c r="S143" s="695"/>
    </row>
    <row r="144" spans="3:19" ht="30.75" customHeight="1" x14ac:dyDescent="0.45">
      <c r="C144" s="695"/>
      <c r="D144" s="695"/>
      <c r="E144" s="695"/>
      <c r="F144" s="695"/>
      <c r="G144" s="695"/>
      <c r="H144" s="695"/>
      <c r="I144" s="695"/>
      <c r="J144" s="2290" t="s">
        <v>500</v>
      </c>
      <c r="K144" s="2284" t="s">
        <v>559</v>
      </c>
      <c r="L144" s="2264">
        <f>SUM(L118:L119)/10^6</f>
        <v>16.561664368384587</v>
      </c>
      <c r="M144" s="2264">
        <f>L120/10^6</f>
        <v>28.90486455061609</v>
      </c>
      <c r="N144" s="2264">
        <f>L121/10^6</f>
        <v>0</v>
      </c>
      <c r="O144" s="2264">
        <f>SUM(L144:N145)</f>
        <v>45.46652891900068</v>
      </c>
      <c r="P144" s="2262">
        <v>0</v>
      </c>
      <c r="Q144" s="1448">
        <f>0</f>
        <v>0</v>
      </c>
      <c r="R144" s="658"/>
      <c r="S144" s="695"/>
    </row>
    <row r="145" spans="3:19" ht="34.5" customHeight="1" thickBot="1" x14ac:dyDescent="0.5">
      <c r="C145" s="695"/>
      <c r="D145" s="695"/>
      <c r="E145" s="695"/>
      <c r="F145" s="695"/>
      <c r="G145" s="695"/>
      <c r="H145" s="695"/>
      <c r="I145" s="695"/>
      <c r="J145" s="2291"/>
      <c r="K145" s="2285"/>
      <c r="L145" s="2265"/>
      <c r="M145" s="2265"/>
      <c r="N145" s="2265"/>
      <c r="O145" s="2266"/>
      <c r="P145" s="2263"/>
      <c r="Q145" s="1449">
        <f>0</f>
        <v>0</v>
      </c>
      <c r="R145" s="695"/>
      <c r="S145" s="695"/>
    </row>
    <row r="146" spans="3:19" ht="30.75" customHeight="1" x14ac:dyDescent="0.45">
      <c r="C146" s="695"/>
      <c r="D146" s="695"/>
      <c r="E146" s="695"/>
      <c r="F146" s="695"/>
      <c r="G146" s="695"/>
      <c r="H146" s="695"/>
      <c r="I146" s="695"/>
      <c r="J146" s="2286" t="s">
        <v>514</v>
      </c>
      <c r="K146" s="2288" t="s">
        <v>546</v>
      </c>
      <c r="L146" s="2267">
        <f>SUM(M118:M119)/10^6</f>
        <v>9.8788875179837881</v>
      </c>
      <c r="M146" s="2267">
        <f>M120/10^6</f>
        <v>0</v>
      </c>
      <c r="N146" s="2267">
        <f>M121/10^6</f>
        <v>195.35903430661804</v>
      </c>
      <c r="O146" s="2267">
        <f>SUM(L146:N147)</f>
        <v>205.23792182460184</v>
      </c>
      <c r="P146" s="2269">
        <v>0</v>
      </c>
      <c r="Q146" s="1450">
        <f>0</f>
        <v>0</v>
      </c>
      <c r="R146" s="695"/>
      <c r="S146" s="695"/>
    </row>
    <row r="147" spans="3:19" ht="30.75" customHeight="1" thickBot="1" x14ac:dyDescent="0.5">
      <c r="C147" s="695"/>
      <c r="D147" s="695"/>
      <c r="E147" s="695"/>
      <c r="F147" s="695"/>
      <c r="G147" s="695"/>
      <c r="H147" s="695"/>
      <c r="I147" s="695"/>
      <c r="J147" s="2287"/>
      <c r="K147" s="2289"/>
      <c r="L147" s="2268"/>
      <c r="M147" s="2268"/>
      <c r="N147" s="2268"/>
      <c r="O147" s="2268"/>
      <c r="P147" s="2270"/>
      <c r="Q147" s="1451">
        <f>0</f>
        <v>0</v>
      </c>
      <c r="R147" s="695"/>
      <c r="S147" s="695"/>
    </row>
    <row r="148" spans="3:19" ht="30.75" customHeight="1" x14ac:dyDescent="0.45">
      <c r="C148" s="695"/>
      <c r="D148" s="695"/>
      <c r="E148" s="695"/>
      <c r="F148" s="695"/>
      <c r="G148" s="695"/>
      <c r="H148" s="695"/>
      <c r="I148" s="695"/>
      <c r="J148" s="2282" t="s">
        <v>515</v>
      </c>
      <c r="K148" s="2284" t="s">
        <v>560</v>
      </c>
      <c r="L148" s="2264">
        <f>SUM(N118:N119)/10^6</f>
        <v>9.8788875179837881</v>
      </c>
      <c r="M148" s="2264">
        <f>N120/10^6</f>
        <v>0</v>
      </c>
      <c r="N148" s="2264">
        <f>N121/10^6</f>
        <v>0</v>
      </c>
      <c r="O148" s="2264">
        <f>SUM(L148:N149)</f>
        <v>9.8788875179837881</v>
      </c>
      <c r="P148" s="2262">
        <v>0</v>
      </c>
      <c r="Q148" s="1448">
        <f>0</f>
        <v>0</v>
      </c>
      <c r="R148" s="695"/>
      <c r="S148" s="695"/>
    </row>
    <row r="149" spans="3:19" ht="30.75" customHeight="1" thickBot="1" x14ac:dyDescent="0.5">
      <c r="C149" s="695"/>
      <c r="D149" s="695"/>
      <c r="E149" s="695"/>
      <c r="F149" s="695"/>
      <c r="G149" s="695"/>
      <c r="H149" s="695"/>
      <c r="I149" s="695"/>
      <c r="J149" s="2283"/>
      <c r="K149" s="2285"/>
      <c r="L149" s="2265"/>
      <c r="M149" s="2265"/>
      <c r="N149" s="2265"/>
      <c r="O149" s="2265"/>
      <c r="P149" s="2263"/>
      <c r="Q149" s="1449">
        <f>0</f>
        <v>0</v>
      </c>
      <c r="R149" s="695"/>
      <c r="S149" s="695"/>
    </row>
    <row r="150" spans="3:19" x14ac:dyDescent="0.45">
      <c r="C150" s="695"/>
      <c r="D150" s="695"/>
      <c r="E150" s="695"/>
      <c r="F150" s="695"/>
      <c r="G150" s="695"/>
      <c r="H150" s="695"/>
      <c r="I150" s="695"/>
      <c r="J150" s="695"/>
      <c r="K150" s="695"/>
      <c r="L150" s="695"/>
      <c r="M150" s="695"/>
      <c r="N150" s="695"/>
      <c r="O150" s="695"/>
      <c r="P150" s="695"/>
      <c r="Q150" s="695"/>
      <c r="R150" s="695"/>
      <c r="S150" s="695"/>
    </row>
    <row r="151" spans="3:19" x14ac:dyDescent="0.45">
      <c r="C151" s="695"/>
      <c r="D151" s="695"/>
      <c r="E151" s="695"/>
      <c r="F151" s="695"/>
      <c r="G151" s="695"/>
      <c r="H151" s="695"/>
      <c r="I151" s="695"/>
      <c r="J151" s="695"/>
      <c r="K151" s="695"/>
      <c r="L151" s="695"/>
      <c r="M151" s="695"/>
      <c r="N151" s="695"/>
      <c r="O151" s="695"/>
      <c r="P151" s="695"/>
      <c r="Q151" s="695"/>
      <c r="R151" s="695"/>
      <c r="S151" s="695"/>
    </row>
    <row r="152" spans="3:19" ht="13.15" x14ac:dyDescent="0.45">
      <c r="C152" s="1411" t="s">
        <v>701</v>
      </c>
      <c r="D152" s="1411"/>
      <c r="E152" s="1411"/>
      <c r="F152" s="1411"/>
      <c r="G152" s="1411"/>
      <c r="H152" s="1411"/>
      <c r="I152" s="1411"/>
      <c r="J152" s="1411"/>
      <c r="K152" s="1412"/>
      <c r="L152" s="1412"/>
      <c r="M152" s="1413"/>
      <c r="N152" s="1413"/>
      <c r="O152" s="1413"/>
      <c r="P152" s="1413"/>
      <c r="Q152" s="1413"/>
      <c r="R152" s="1413"/>
      <c r="S152" s="1413"/>
    </row>
    <row r="153" spans="3:19" x14ac:dyDescent="0.45">
      <c r="C153" s="695"/>
      <c r="D153" s="695"/>
      <c r="E153" s="695"/>
      <c r="F153" s="695"/>
      <c r="G153" s="695"/>
      <c r="H153" s="695"/>
      <c r="I153" s="695"/>
      <c r="J153" s="695"/>
      <c r="K153" s="695"/>
      <c r="L153" s="695"/>
      <c r="M153" s="695"/>
      <c r="N153" s="695"/>
      <c r="O153" s="695"/>
      <c r="P153" s="695"/>
      <c r="Q153" s="695"/>
      <c r="R153" s="695"/>
      <c r="S153" s="695"/>
    </row>
    <row r="154" spans="3:19" ht="13.5" thickBot="1" x14ac:dyDescent="0.5">
      <c r="C154" s="695"/>
      <c r="D154" s="1414" t="s">
        <v>640</v>
      </c>
      <c r="E154" s="1414"/>
      <c r="F154" s="1414"/>
      <c r="G154" s="1414"/>
      <c r="H154" s="1414"/>
      <c r="I154" s="1414"/>
      <c r="J154" s="1414"/>
      <c r="K154" s="1414"/>
      <c r="L154" s="1414"/>
      <c r="M154" s="1414"/>
      <c r="N154" s="1414"/>
      <c r="O154" s="1414"/>
      <c r="P154" s="1414"/>
      <c r="Q154" s="1414"/>
      <c r="R154" s="1414"/>
      <c r="S154" s="1414"/>
    </row>
    <row r="155" spans="3:19" ht="13.15" thickTop="1" x14ac:dyDescent="0.45">
      <c r="C155" s="695"/>
      <c r="D155" s="695"/>
      <c r="E155" s="695"/>
      <c r="F155" s="695"/>
      <c r="G155" s="695"/>
      <c r="H155" s="695"/>
      <c r="I155" s="1390" t="s">
        <v>580</v>
      </c>
      <c r="J155" s="695"/>
      <c r="K155" s="695"/>
      <c r="L155" s="695"/>
      <c r="M155" s="695"/>
      <c r="N155" s="695"/>
      <c r="O155" s="695"/>
      <c r="P155" s="695"/>
      <c r="Q155" s="695"/>
      <c r="R155" s="695"/>
      <c r="S155" s="695"/>
    </row>
    <row r="156" spans="3:19" ht="13.15" thickBot="1" x14ac:dyDescent="0.5">
      <c r="C156" s="695"/>
      <c r="D156" s="695"/>
      <c r="E156" s="695"/>
      <c r="F156" s="695"/>
      <c r="G156" s="695"/>
      <c r="H156" s="695"/>
      <c r="I156" s="695"/>
      <c r="J156" s="695"/>
      <c r="K156" s="695"/>
      <c r="L156" s="695"/>
      <c r="M156" s="695"/>
      <c r="N156" s="695"/>
      <c r="O156" s="695"/>
      <c r="P156" s="695"/>
      <c r="Q156" s="695"/>
      <c r="R156" s="695"/>
      <c r="S156" s="695"/>
    </row>
    <row r="157" spans="3:19" ht="65.650000000000006" x14ac:dyDescent="0.45">
      <c r="C157" s="695"/>
      <c r="D157" s="695"/>
      <c r="E157" s="695"/>
      <c r="F157" s="695"/>
      <c r="G157" s="695"/>
      <c r="H157" s="695"/>
      <c r="I157" s="695"/>
      <c r="J157" s="294" t="s">
        <v>577</v>
      </c>
      <c r="K157" s="417"/>
      <c r="L157" s="417" t="s">
        <v>578</v>
      </c>
      <c r="M157" s="418" t="s">
        <v>735</v>
      </c>
      <c r="N157" s="695"/>
      <c r="O157" s="695"/>
      <c r="P157" s="695"/>
      <c r="Q157" s="695"/>
      <c r="R157" s="695"/>
      <c r="S157" s="695"/>
    </row>
    <row r="158" spans="3:19" ht="14.1" customHeight="1" thickBot="1" x14ac:dyDescent="0.5">
      <c r="C158" s="695"/>
      <c r="D158" s="695"/>
      <c r="E158" s="695"/>
      <c r="F158" s="695"/>
      <c r="G158" s="695"/>
      <c r="H158" s="695"/>
      <c r="I158" s="695"/>
      <c r="J158" s="297" t="s">
        <v>213</v>
      </c>
      <c r="K158" s="296"/>
      <c r="L158" s="296"/>
      <c r="M158" s="295"/>
      <c r="N158" s="695"/>
      <c r="O158" s="695"/>
      <c r="P158" s="695"/>
      <c r="Q158" s="695"/>
      <c r="R158" s="695"/>
      <c r="S158" s="695"/>
    </row>
    <row r="159" spans="3:19" ht="13.15" thickBot="1" x14ac:dyDescent="0.5">
      <c r="C159" s="695"/>
      <c r="D159" s="695"/>
      <c r="E159" s="695"/>
      <c r="F159" s="695"/>
      <c r="G159" s="695"/>
      <c r="H159" s="695"/>
      <c r="I159" s="695"/>
      <c r="J159" s="1452" t="str">
        <f>K179</f>
        <v>Power Market Risk</v>
      </c>
      <c r="K159" s="389"/>
      <c r="L159" s="390" t="s">
        <v>579</v>
      </c>
      <c r="M159" s="391" t="str">
        <f>S179</f>
        <v>NA</v>
      </c>
      <c r="N159" s="695"/>
      <c r="O159" s="695"/>
      <c r="P159" s="695"/>
      <c r="Q159" s="695"/>
      <c r="R159" s="695"/>
      <c r="S159" s="695"/>
    </row>
    <row r="160" spans="3:19" ht="13.15" thickBot="1" x14ac:dyDescent="0.5">
      <c r="C160" s="695"/>
      <c r="D160" s="695"/>
      <c r="E160" s="695"/>
      <c r="F160" s="695"/>
      <c r="G160" s="695"/>
      <c r="H160" s="695"/>
      <c r="I160" s="695"/>
      <c r="J160" s="1453" t="str">
        <f t="shared" ref="J160:J161" si="2">K180</f>
        <v>Permits Risk</v>
      </c>
      <c r="K160" s="296"/>
      <c r="L160" s="368" t="s">
        <v>579</v>
      </c>
      <c r="M160" s="293" t="str">
        <f t="shared" ref="M160:M161" si="3">S180</f>
        <v>NA</v>
      </c>
      <c r="N160" s="695"/>
      <c r="O160" s="695"/>
      <c r="P160" s="695"/>
      <c r="Q160" s="695"/>
      <c r="R160" s="695"/>
      <c r="S160" s="695"/>
    </row>
    <row r="161" spans="3:20" ht="13.15" thickBot="1" x14ac:dyDescent="0.5">
      <c r="C161" s="695"/>
      <c r="D161" s="695"/>
      <c r="E161" s="695"/>
      <c r="F161" s="695"/>
      <c r="G161" s="695"/>
      <c r="H161" s="695"/>
      <c r="I161" s="695"/>
      <c r="J161" s="1452" t="str">
        <f t="shared" si="2"/>
        <v>Social Acceptance Risk</v>
      </c>
      <c r="K161" s="389"/>
      <c r="L161" s="390" t="s">
        <v>579</v>
      </c>
      <c r="M161" s="392" t="str">
        <f t="shared" si="3"/>
        <v>NA</v>
      </c>
      <c r="N161" s="695"/>
      <c r="O161" s="695"/>
      <c r="P161" s="695"/>
      <c r="Q161" s="695"/>
      <c r="R161" s="695"/>
      <c r="S161" s="695"/>
    </row>
    <row r="162" spans="3:20" ht="13.15" thickBot="1" x14ac:dyDescent="0.5">
      <c r="C162" s="695"/>
      <c r="D162" s="695"/>
      <c r="E162" s="695"/>
      <c r="F162" s="695"/>
      <c r="G162" s="695"/>
      <c r="H162" s="695"/>
      <c r="I162" s="695"/>
      <c r="J162" s="1453" t="str">
        <f>K182</f>
        <v>Developer Risk</v>
      </c>
      <c r="K162" s="296"/>
      <c r="L162" s="368" t="s">
        <v>579</v>
      </c>
      <c r="M162" s="293" t="str">
        <f>S182</f>
        <v>NA</v>
      </c>
      <c r="N162" s="695"/>
      <c r="O162" s="695"/>
      <c r="P162" s="695"/>
      <c r="Q162" s="695"/>
      <c r="R162" s="695"/>
      <c r="S162" s="695"/>
    </row>
    <row r="163" spans="3:20" ht="13.15" thickBot="1" x14ac:dyDescent="0.5">
      <c r="C163" s="695"/>
      <c r="D163" s="695"/>
      <c r="E163" s="695"/>
      <c r="F163" s="695"/>
      <c r="G163" s="695"/>
      <c r="H163" s="695"/>
      <c r="I163" s="695"/>
      <c r="J163" s="1452" t="str">
        <f>K183</f>
        <v>Grid/Transmission Risk</v>
      </c>
      <c r="K163" s="389"/>
      <c r="L163" s="390" t="s">
        <v>579</v>
      </c>
      <c r="M163" s="392" t="str">
        <f>S183</f>
        <v>NA</v>
      </c>
      <c r="N163" s="695"/>
      <c r="O163" s="695"/>
      <c r="P163" s="695"/>
      <c r="Q163" s="695"/>
      <c r="R163" s="695"/>
      <c r="S163" s="695"/>
    </row>
    <row r="164" spans="3:20" ht="13.15" thickBot="1" x14ac:dyDescent="0.5">
      <c r="C164" s="695"/>
      <c r="D164" s="695"/>
      <c r="E164" s="695"/>
      <c r="F164" s="695"/>
      <c r="G164" s="695"/>
      <c r="H164" s="695"/>
      <c r="I164" s="695"/>
      <c r="J164" s="1453" t="str">
        <f>K184</f>
        <v>Counterparty Risk</v>
      </c>
      <c r="K164" s="296"/>
      <c r="L164" s="368" t="s">
        <v>579</v>
      </c>
      <c r="M164" s="293" t="str">
        <f>S184</f>
        <v>NA</v>
      </c>
      <c r="N164" s="695"/>
      <c r="O164" s="695"/>
      <c r="P164" s="695"/>
      <c r="Q164" s="695"/>
      <c r="R164" s="695"/>
      <c r="S164" s="695"/>
    </row>
    <row r="165" spans="3:20" ht="13.15" thickBot="1" x14ac:dyDescent="0.5">
      <c r="C165" s="695"/>
      <c r="D165" s="695"/>
      <c r="E165" s="695"/>
      <c r="F165" s="695"/>
      <c r="G165" s="695"/>
      <c r="H165" s="695"/>
      <c r="I165" s="695"/>
      <c r="J165" s="1452" t="str">
        <f>K185</f>
        <v>Financing Risk</v>
      </c>
      <c r="K165" s="389"/>
      <c r="L165" s="390" t="s">
        <v>579</v>
      </c>
      <c r="M165" s="392" t="str">
        <f>S185</f>
        <v>NA</v>
      </c>
      <c r="N165" s="695"/>
      <c r="O165" s="695"/>
      <c r="P165" s="695"/>
      <c r="Q165" s="695"/>
      <c r="R165" s="695"/>
      <c r="S165" s="695"/>
    </row>
    <row r="166" spans="3:20" ht="14.1" customHeight="1" thickBot="1" x14ac:dyDescent="0.5">
      <c r="C166" s="695"/>
      <c r="D166" s="695"/>
      <c r="E166" s="695"/>
      <c r="F166" s="695"/>
      <c r="G166" s="695"/>
      <c r="H166" s="695"/>
      <c r="I166" s="695"/>
      <c r="J166" s="297" t="s">
        <v>271</v>
      </c>
      <c r="K166" s="296"/>
      <c r="L166" s="369"/>
      <c r="M166" s="370"/>
      <c r="N166" s="695"/>
      <c r="O166" s="695"/>
      <c r="P166" s="695"/>
      <c r="Q166" s="695"/>
      <c r="R166" s="695"/>
      <c r="S166" s="695"/>
    </row>
    <row r="167" spans="3:20" ht="25.9" thickBot="1" x14ac:dyDescent="0.5">
      <c r="C167" s="695"/>
      <c r="D167" s="695"/>
      <c r="E167" s="695"/>
      <c r="F167" s="695"/>
      <c r="G167" s="695"/>
      <c r="H167" s="695"/>
      <c r="I167" s="695"/>
      <c r="J167" s="1452" t="str">
        <f>K190</f>
        <v>Grid/Transmission Risk</v>
      </c>
      <c r="K167" s="389"/>
      <c r="L167" s="390" t="str">
        <f>L190</f>
        <v>Take or Pay Clause in PPA</v>
      </c>
      <c r="M167" s="391" t="str">
        <f>S190</f>
        <v>NA</v>
      </c>
      <c r="N167" s="695"/>
      <c r="O167" s="695"/>
      <c r="P167" s="695"/>
      <c r="Q167" s="695"/>
      <c r="R167" s="695"/>
      <c r="S167" s="695"/>
    </row>
    <row r="168" spans="3:20" ht="25.9" thickBot="1" x14ac:dyDescent="0.5">
      <c r="C168" s="695"/>
      <c r="D168" s="695"/>
      <c r="E168" s="695"/>
      <c r="F168" s="695"/>
      <c r="G168" s="695"/>
      <c r="H168" s="695"/>
      <c r="I168" s="695"/>
      <c r="J168" s="1453" t="str">
        <f>K191</f>
        <v>Counterparty Risk</v>
      </c>
      <c r="K168" s="296"/>
      <c r="L168" s="368" t="str">
        <f t="shared" ref="L168:L169" si="4">L191</f>
        <v>Government Guarantee for PPA</v>
      </c>
      <c r="M168" s="293" t="str">
        <f t="shared" ref="M168" si="5">S191</f>
        <v>NA</v>
      </c>
      <c r="N168" s="695"/>
      <c r="O168" s="695"/>
      <c r="P168" s="695"/>
      <c r="Q168" s="695"/>
      <c r="R168" s="695"/>
      <c r="S168" s="695"/>
    </row>
    <row r="169" spans="3:20" ht="14.1" customHeight="1" thickBot="1" x14ac:dyDescent="0.5">
      <c r="C169" s="695"/>
      <c r="D169" s="695"/>
      <c r="E169" s="695"/>
      <c r="F169" s="695"/>
      <c r="G169" s="695"/>
      <c r="H169" s="695"/>
      <c r="I169" s="695"/>
      <c r="J169" s="1452" t="str">
        <f>K192&amp;" and "&amp;K193</f>
        <v>Counterparty Risk and Financing Risk</v>
      </c>
      <c r="K169" s="389"/>
      <c r="L169" s="390" t="str">
        <f t="shared" si="4"/>
        <v>Public Loans</v>
      </c>
      <c r="M169" s="392" t="str">
        <f>S192</f>
        <v>NA</v>
      </c>
      <c r="N169" s="695"/>
      <c r="O169" s="695"/>
      <c r="P169" s="695"/>
      <c r="Q169" s="695"/>
      <c r="R169" s="695"/>
      <c r="S169" s="695"/>
    </row>
    <row r="170" spans="3:20" ht="25.5" customHeight="1" thickBot="1" x14ac:dyDescent="0.5">
      <c r="C170" s="695"/>
      <c r="D170" s="695"/>
      <c r="E170" s="695"/>
      <c r="F170" s="695"/>
      <c r="G170" s="695"/>
      <c r="H170" s="695"/>
      <c r="I170" s="695"/>
      <c r="J170" s="1453" t="str">
        <f>K195</f>
        <v>Financing Risk</v>
      </c>
      <c r="K170" s="296"/>
      <c r="L170" s="368" t="str">
        <f>L195</f>
        <v>Public Guarantees to Commercial Loans</v>
      </c>
      <c r="M170" s="293" t="str">
        <f>S194</f>
        <v>NA</v>
      </c>
      <c r="N170" s="695"/>
      <c r="O170" s="695"/>
      <c r="P170" s="695"/>
      <c r="Q170" s="695"/>
      <c r="R170" s="695"/>
      <c r="S170" s="695"/>
    </row>
    <row r="171" spans="3:20" ht="38.65" thickBot="1" x14ac:dyDescent="0.5">
      <c r="C171" s="695"/>
      <c r="D171" s="695"/>
      <c r="E171" s="695"/>
      <c r="F171" s="695"/>
      <c r="G171" s="695"/>
      <c r="H171" s="695"/>
      <c r="I171" s="695"/>
      <c r="J171" s="1452" t="str">
        <f>K196</f>
        <v>Political Risk</v>
      </c>
      <c r="K171" s="389"/>
      <c r="L171" s="390" t="str">
        <f>L196</f>
        <v>Political Risk Insurance for Equity Investment</v>
      </c>
      <c r="M171" s="392" t="str">
        <f>S196</f>
        <v>NA</v>
      </c>
      <c r="N171" s="695"/>
      <c r="O171" s="695"/>
      <c r="P171" s="695"/>
      <c r="Q171" s="695"/>
      <c r="R171" s="695"/>
      <c r="S171" s="695"/>
    </row>
    <row r="172" spans="3:20" ht="13.15" thickBot="1" x14ac:dyDescent="0.5">
      <c r="C172" s="695"/>
      <c r="D172" s="695"/>
      <c r="E172" s="695"/>
      <c r="F172" s="695"/>
      <c r="G172" s="695"/>
      <c r="H172" s="695"/>
      <c r="I172" s="695"/>
      <c r="J172" s="1453" t="str">
        <f>K197</f>
        <v>Currency/Macro Risk</v>
      </c>
      <c r="K172" s="296"/>
      <c r="L172" s="368" t="str">
        <f>L197</f>
        <v>Partial Indexing</v>
      </c>
      <c r="M172" s="293" t="str">
        <f>S197</f>
        <v>NA</v>
      </c>
      <c r="N172" s="695"/>
      <c r="O172" s="695"/>
      <c r="P172" s="695"/>
      <c r="Q172" s="695"/>
      <c r="R172" s="695"/>
      <c r="S172" s="695"/>
    </row>
    <row r="173" spans="3:20" ht="13.15" x14ac:dyDescent="0.45">
      <c r="C173" s="695"/>
      <c r="D173" s="695"/>
      <c r="E173" s="695"/>
      <c r="F173" s="695"/>
      <c r="G173" s="695"/>
      <c r="H173" s="695"/>
      <c r="I173" s="695"/>
      <c r="J173" s="1176"/>
      <c r="K173" s="1393"/>
      <c r="L173" s="1464"/>
      <c r="M173" s="1465"/>
      <c r="N173" s="695"/>
      <c r="O173" s="695"/>
      <c r="P173" s="695"/>
      <c r="Q173" s="695"/>
      <c r="R173" s="695"/>
      <c r="S173" s="695"/>
    </row>
    <row r="174" spans="3:20" x14ac:dyDescent="0.45">
      <c r="C174" s="695"/>
      <c r="D174" s="695"/>
      <c r="E174" s="695"/>
      <c r="F174" s="695"/>
      <c r="G174" s="695"/>
      <c r="H174" s="663"/>
      <c r="I174" s="695"/>
      <c r="J174" s="695"/>
      <c r="K174" s="695"/>
      <c r="L174" s="695"/>
      <c r="M174" s="695"/>
      <c r="N174" s="695"/>
      <c r="O174" s="695"/>
      <c r="P174" s="695"/>
      <c r="Q174" s="695"/>
      <c r="R174" s="695"/>
      <c r="S174" s="695"/>
    </row>
    <row r="175" spans="3:20" ht="13.5" outlineLevel="1" thickBot="1" x14ac:dyDescent="0.5">
      <c r="C175" s="695"/>
      <c r="D175" s="1414" t="s">
        <v>632</v>
      </c>
      <c r="E175" s="1414"/>
      <c r="F175" s="1414"/>
      <c r="G175" s="1414"/>
      <c r="H175" s="1414"/>
      <c r="I175" s="1414"/>
      <c r="J175" s="1414"/>
      <c r="K175" s="1414"/>
      <c r="L175" s="1414"/>
      <c r="M175" s="1414"/>
      <c r="N175" s="1414"/>
      <c r="O175" s="1414"/>
      <c r="P175" s="1414"/>
      <c r="Q175" s="1414"/>
      <c r="R175" s="1414"/>
      <c r="S175" s="1414"/>
      <c r="T175" s="1414"/>
    </row>
    <row r="176" spans="3:20" ht="13.5" outlineLevel="1" thickTop="1" x14ac:dyDescent="0.45">
      <c r="C176" s="695"/>
      <c r="D176" s="695"/>
      <c r="E176" s="695"/>
      <c r="F176" s="695"/>
      <c r="G176" s="695"/>
      <c r="H176" s="696"/>
      <c r="I176" s="696"/>
      <c r="J176" s="696"/>
      <c r="K176" s="696"/>
      <c r="L176" s="696"/>
      <c r="M176" s="696"/>
      <c r="N176" s="696"/>
      <c r="O176" s="696"/>
      <c r="P176" s="696"/>
      <c r="Q176" s="696"/>
      <c r="R176" s="696"/>
      <c r="S176" s="696"/>
      <c r="T176" s="696"/>
    </row>
    <row r="177" spans="3:19" ht="13.5" outlineLevel="1" thickBot="1" x14ac:dyDescent="0.5">
      <c r="C177" s="695"/>
      <c r="D177" s="695"/>
      <c r="E177" s="695"/>
      <c r="F177" s="695"/>
      <c r="G177" s="695"/>
      <c r="H177" s="695"/>
      <c r="I177" s="695"/>
      <c r="J177" s="1466" t="s">
        <v>213</v>
      </c>
      <c r="K177" s="1431"/>
      <c r="L177" s="1431"/>
      <c r="M177" s="1431"/>
      <c r="N177" s="1431"/>
      <c r="O177" s="1431"/>
      <c r="P177" s="1431"/>
      <c r="Q177" s="1431"/>
      <c r="R177" s="1431"/>
      <c r="S177" s="1431"/>
    </row>
    <row r="178" spans="3:19" ht="39.4" outlineLevel="1" x14ac:dyDescent="0.45">
      <c r="C178" s="695"/>
      <c r="D178" s="695"/>
      <c r="E178" s="695"/>
      <c r="F178" s="695"/>
      <c r="G178" s="695"/>
      <c r="H178" s="695"/>
      <c r="I178" s="695"/>
      <c r="J178" s="695"/>
      <c r="K178" s="1467" t="s">
        <v>566</v>
      </c>
      <c r="L178" s="432"/>
      <c r="M178" s="1468" t="s">
        <v>565</v>
      </c>
      <c r="N178" s="1454" t="s">
        <v>637</v>
      </c>
      <c r="O178" s="1454" t="s">
        <v>633</v>
      </c>
      <c r="P178" s="1454" t="s">
        <v>638</v>
      </c>
      <c r="Q178" s="1454" t="s">
        <v>634</v>
      </c>
      <c r="R178" s="1454" t="s">
        <v>635</v>
      </c>
      <c r="S178" s="1454" t="s">
        <v>636</v>
      </c>
    </row>
    <row r="179" spans="3:19" outlineLevel="1" x14ac:dyDescent="0.45">
      <c r="C179" s="695"/>
      <c r="D179" s="695"/>
      <c r="E179" s="695"/>
      <c r="F179" s="695"/>
      <c r="G179" s="695"/>
      <c r="H179" s="695"/>
      <c r="I179" s="695"/>
      <c r="J179" s="1463"/>
      <c r="K179" s="1463" t="str">
        <f>'III. Inputs, Renewable Energy'!D139</f>
        <v>Power Market Risk</v>
      </c>
      <c r="L179" s="1463"/>
      <c r="M179" s="1733">
        <f>'I. Summary Outputs'!N101</f>
        <v>3968386.095983665</v>
      </c>
      <c r="N179" s="1455">
        <f>-'III. Inputs, Renewable Energy'!V139</f>
        <v>7.5635043677886767E-3</v>
      </c>
      <c r="O179" s="1456">
        <f t="shared" ref="O179:O185" si="6">$M$204*N179</f>
        <v>0</v>
      </c>
      <c r="P179" s="1455">
        <f>-'III. Inputs, Renewable Energy'!Y139</f>
        <v>4.603794642857143E-3</v>
      </c>
      <c r="Q179" s="1456">
        <f t="shared" ref="Q179:Q185" si="7">$M$209*P179</f>
        <v>0</v>
      </c>
      <c r="R179" s="1456">
        <f>Q179+O179</f>
        <v>0</v>
      </c>
      <c r="S179" s="1456" t="str">
        <f>IFERROR(ROUND(M179/R179/10^3,-3),"NA")</f>
        <v>NA</v>
      </c>
    </row>
    <row r="180" spans="3:19" outlineLevel="1" x14ac:dyDescent="0.45">
      <c r="C180" s="695"/>
      <c r="D180" s="695"/>
      <c r="E180" s="695"/>
      <c r="F180" s="695"/>
      <c r="G180" s="695"/>
      <c r="H180" s="695"/>
      <c r="I180" s="695"/>
      <c r="J180" s="1463"/>
      <c r="K180" s="1463" t="str">
        <f>'III. Inputs, Renewable Energy'!D140</f>
        <v>Permits Risk</v>
      </c>
      <c r="L180" s="1463"/>
      <c r="M180" s="1733">
        <f>'I. Summary Outputs'!N102</f>
        <v>1015844.3921582524</v>
      </c>
      <c r="N180" s="1455">
        <f>-'III. Inputs, Renewable Energy'!V140</f>
        <v>1.879416236844459E-3</v>
      </c>
      <c r="O180" s="1456">
        <f t="shared" si="6"/>
        <v>0</v>
      </c>
      <c r="P180" s="1455">
        <f>-'III. Inputs, Renewable Energy'!Y140</f>
        <v>0</v>
      </c>
      <c r="Q180" s="1456">
        <f t="shared" si="7"/>
        <v>0</v>
      </c>
      <c r="R180" s="1456">
        <f t="shared" ref="R180:R185" si="8">Q180+O180</f>
        <v>0</v>
      </c>
      <c r="S180" s="1456" t="str">
        <f t="shared" ref="S180:S185" si="9">IFERROR(ROUND(M180/R180/10^3,-3),"NA")</f>
        <v>NA</v>
      </c>
    </row>
    <row r="181" spans="3:19" outlineLevel="1" x14ac:dyDescent="0.45">
      <c r="C181" s="695"/>
      <c r="D181" s="695"/>
      <c r="E181" s="695"/>
      <c r="F181" s="695"/>
      <c r="G181" s="695"/>
      <c r="H181" s="695"/>
      <c r="I181" s="695"/>
      <c r="J181" s="1463"/>
      <c r="K181" s="1463" t="str">
        <f>'III. Inputs, Renewable Energy'!D141</f>
        <v>Social Acceptance Risk</v>
      </c>
      <c r="L181" s="1463"/>
      <c r="M181" s="1733">
        <f>'I. Summary Outputs'!N103</f>
        <v>571705.0226114149</v>
      </c>
      <c r="N181" s="1455">
        <f>-'III. Inputs, Renewable Energy'!V141</f>
        <v>1.6114606004591398E-3</v>
      </c>
      <c r="O181" s="1456">
        <f t="shared" si="6"/>
        <v>0</v>
      </c>
      <c r="P181" s="1455">
        <f>-'III. Inputs, Renewable Energy'!Y141</f>
        <v>9.8087253193960503E-4</v>
      </c>
      <c r="Q181" s="1456">
        <f t="shared" si="7"/>
        <v>0</v>
      </c>
      <c r="R181" s="1456">
        <f t="shared" si="8"/>
        <v>0</v>
      </c>
      <c r="S181" s="1456" t="str">
        <f t="shared" si="9"/>
        <v>NA</v>
      </c>
    </row>
    <row r="182" spans="3:19" outlineLevel="1" x14ac:dyDescent="0.45">
      <c r="C182" s="695"/>
      <c r="D182" s="695"/>
      <c r="E182" s="695"/>
      <c r="F182" s="695"/>
      <c r="G182" s="695"/>
      <c r="H182" s="695"/>
      <c r="I182" s="695"/>
      <c r="J182" s="1463"/>
      <c r="K182" s="1463" t="str">
        <f>'III. Inputs, Renewable Energy'!D142</f>
        <v>Developer Risk</v>
      </c>
      <c r="L182" s="1463"/>
      <c r="M182" s="1733">
        <f>'I. Summary Outputs'!N104</f>
        <v>1130747.1109255655</v>
      </c>
      <c r="N182" s="1455">
        <f>-'III. Inputs, Renewable Energy'!V142</f>
        <v>0</v>
      </c>
      <c r="O182" s="1456">
        <f t="shared" si="6"/>
        <v>0</v>
      </c>
      <c r="P182" s="1455">
        <f>-'III. Inputs, Renewable Energy'!Y142</f>
        <v>0</v>
      </c>
      <c r="Q182" s="1456">
        <f t="shared" si="7"/>
        <v>0</v>
      </c>
      <c r="R182" s="1456">
        <f t="shared" si="8"/>
        <v>0</v>
      </c>
      <c r="S182" s="1456" t="str">
        <f t="shared" si="9"/>
        <v>NA</v>
      </c>
    </row>
    <row r="183" spans="3:19" outlineLevel="1" x14ac:dyDescent="0.45">
      <c r="C183" s="695"/>
      <c r="D183" s="695"/>
      <c r="E183" s="695"/>
      <c r="F183" s="695"/>
      <c r="G183" s="695"/>
      <c r="H183" s="695"/>
      <c r="I183" s="695"/>
      <c r="J183" s="1463"/>
      <c r="K183" s="1463" t="str">
        <f>'III. Inputs, Renewable Energy'!D143</f>
        <v>Grid/Transmission Risk</v>
      </c>
      <c r="L183" s="1463"/>
      <c r="M183" s="1733">
        <f>'I. Summary Outputs'!N105</f>
        <v>981622.51056798222</v>
      </c>
      <c r="N183" s="1455">
        <f>-'III. Inputs, Renewable Energy'!V143</f>
        <v>1.4970483885393996E-3</v>
      </c>
      <c r="O183" s="1456">
        <f t="shared" si="6"/>
        <v>0</v>
      </c>
      <c r="P183" s="1455">
        <f>-'III. Inputs, Renewable Energy'!Y143</f>
        <v>9.1123148954703841E-4</v>
      </c>
      <c r="Q183" s="1456">
        <f t="shared" si="7"/>
        <v>0</v>
      </c>
      <c r="R183" s="1456">
        <f t="shared" si="8"/>
        <v>0</v>
      </c>
      <c r="S183" s="1456" t="str">
        <f t="shared" si="9"/>
        <v>NA</v>
      </c>
    </row>
    <row r="184" spans="3:19" outlineLevel="1" x14ac:dyDescent="0.45">
      <c r="C184" s="695"/>
      <c r="D184" s="695"/>
      <c r="E184" s="695"/>
      <c r="F184" s="695"/>
      <c r="G184" s="695"/>
      <c r="H184" s="695"/>
      <c r="I184" s="695"/>
      <c r="J184" s="1463"/>
      <c r="K184" s="1463" t="str">
        <f>'III. Inputs, Renewable Energy'!D144</f>
        <v>Counterparty Risk</v>
      </c>
      <c r="L184" s="1463"/>
      <c r="M184" s="1733">
        <f>'I. Summary Outputs'!N106</f>
        <v>936007.50956903212</v>
      </c>
      <c r="N184" s="1455">
        <f>-'III. Inputs, Renewable Energy'!V144</f>
        <v>3.7543603351122509E-3</v>
      </c>
      <c r="O184" s="1456">
        <f t="shared" si="6"/>
        <v>0</v>
      </c>
      <c r="P184" s="1455">
        <f>-'III. Inputs, Renewable Energy'!Y144</f>
        <v>2.2852243031358885E-3</v>
      </c>
      <c r="Q184" s="1456">
        <f t="shared" si="7"/>
        <v>0</v>
      </c>
      <c r="R184" s="1456">
        <f t="shared" si="8"/>
        <v>0</v>
      </c>
      <c r="S184" s="1456" t="str">
        <f t="shared" si="9"/>
        <v>NA</v>
      </c>
    </row>
    <row r="185" spans="3:19" outlineLevel="1" x14ac:dyDescent="0.45">
      <c r="C185" s="695"/>
      <c r="D185" s="695"/>
      <c r="E185" s="695"/>
      <c r="F185" s="695"/>
      <c r="G185" s="695"/>
      <c r="H185" s="695"/>
      <c r="I185" s="695"/>
      <c r="J185" s="1463"/>
      <c r="K185" s="1463" t="str">
        <f>'III. Inputs, Renewable Energy'!D145</f>
        <v>Financing Risk</v>
      </c>
      <c r="L185" s="1463"/>
      <c r="M185" s="1733">
        <f>'I. Summary Outputs'!N107</f>
        <v>659962.79207401024</v>
      </c>
      <c r="N185" s="1455">
        <f>-'III. Inputs, Renewable Energy'!V145</f>
        <v>2.5845234190990133E-3</v>
      </c>
      <c r="O185" s="1456">
        <f t="shared" si="6"/>
        <v>0</v>
      </c>
      <c r="P185" s="1455">
        <f>-'III. Inputs, Renewable Energy'!Y145</f>
        <v>0</v>
      </c>
      <c r="Q185" s="1456">
        <f t="shared" si="7"/>
        <v>0</v>
      </c>
      <c r="R185" s="1456">
        <f t="shared" si="8"/>
        <v>0</v>
      </c>
      <c r="S185" s="1456" t="str">
        <f t="shared" si="9"/>
        <v>NA</v>
      </c>
    </row>
    <row r="186" spans="3:19" ht="13.15" outlineLevel="1" x14ac:dyDescent="0.45">
      <c r="C186" s="695"/>
      <c r="D186" s="695"/>
      <c r="E186" s="695"/>
      <c r="F186" s="695"/>
      <c r="G186" s="695"/>
      <c r="H186" s="695"/>
      <c r="I186" s="695"/>
      <c r="J186" s="1463"/>
      <c r="K186" s="1463"/>
      <c r="L186" s="1469" t="s">
        <v>142</v>
      </c>
      <c r="M186" s="1734">
        <f>SUM(M179:M185)</f>
        <v>9264275.4338899218</v>
      </c>
      <c r="N186" s="1457"/>
      <c r="O186" s="1457"/>
      <c r="P186" s="1458"/>
      <c r="Q186" s="1459"/>
      <c r="R186" s="1459"/>
      <c r="S186" s="1460"/>
    </row>
    <row r="187" spans="3:19" ht="13.15" outlineLevel="1" x14ac:dyDescent="0.45">
      <c r="C187" s="695"/>
      <c r="D187" s="695"/>
      <c r="E187" s="695"/>
      <c r="F187" s="695"/>
      <c r="G187" s="695"/>
      <c r="H187" s="695"/>
      <c r="I187" s="695"/>
      <c r="J187" s="704"/>
      <c r="K187" s="1463"/>
      <c r="L187" s="1463"/>
      <c r="M187" s="1461"/>
      <c r="N187" s="1461"/>
      <c r="O187" s="1462"/>
      <c r="P187" s="1462"/>
      <c r="Q187" s="1461"/>
      <c r="R187" s="1461"/>
      <c r="S187" s="1461"/>
    </row>
    <row r="188" spans="3:19" ht="13.5" outlineLevel="1" thickBot="1" x14ac:dyDescent="0.5">
      <c r="C188" s="695"/>
      <c r="D188" s="695"/>
      <c r="E188" s="695"/>
      <c r="F188" s="695"/>
      <c r="G188" s="695"/>
      <c r="H188" s="695"/>
      <c r="I188" s="695"/>
      <c r="J188" s="1466" t="s">
        <v>271</v>
      </c>
      <c r="K188" s="1431"/>
      <c r="L188" s="1431"/>
      <c r="M188" s="1431"/>
      <c r="N188" s="1431"/>
      <c r="O188" s="1431"/>
      <c r="P188" s="1431"/>
      <c r="Q188" s="1431"/>
      <c r="R188" s="1431"/>
      <c r="S188" s="1431"/>
    </row>
    <row r="189" spans="3:19" ht="39.4" outlineLevel="1" x14ac:dyDescent="0.45">
      <c r="C189" s="695"/>
      <c r="D189" s="695"/>
      <c r="E189" s="695"/>
      <c r="F189" s="695"/>
      <c r="G189" s="695"/>
      <c r="H189" s="695"/>
      <c r="I189" s="695"/>
      <c r="J189" s="1463"/>
      <c r="K189" s="1467" t="s">
        <v>566</v>
      </c>
      <c r="L189" s="1467" t="s">
        <v>639</v>
      </c>
      <c r="M189" s="1468" t="s">
        <v>565</v>
      </c>
      <c r="N189" s="1454" t="s">
        <v>637</v>
      </c>
      <c r="O189" s="1454" t="s">
        <v>633</v>
      </c>
      <c r="P189" s="1454" t="s">
        <v>638</v>
      </c>
      <c r="Q189" s="1454" t="s">
        <v>634</v>
      </c>
      <c r="R189" s="1454" t="s">
        <v>635</v>
      </c>
      <c r="S189" s="1454" t="s">
        <v>636</v>
      </c>
    </row>
    <row r="190" spans="3:19" outlineLevel="1" x14ac:dyDescent="0.45">
      <c r="C190" s="695"/>
      <c r="D190" s="695"/>
      <c r="E190" s="695"/>
      <c r="F190" s="695"/>
      <c r="G190" s="695"/>
      <c r="H190" s="695"/>
      <c r="I190" s="695"/>
      <c r="J190" s="1463"/>
      <c r="K190" s="1463" t="str">
        <f>'III. Inputs, Renewable Energy'!D154</f>
        <v>Grid/Transmission Risk</v>
      </c>
      <c r="L190" s="1463" t="str">
        <f>'III. Inputs, Renewable Energy'!M154</f>
        <v>Take or Pay Clause in PPA</v>
      </c>
      <c r="M190" s="1733">
        <f>'I. Summary Outputs'!N112</f>
        <v>5811110.3046963457</v>
      </c>
      <c r="N190" s="1455">
        <f>-'III. Inputs, Renewable Energy'!V154</f>
        <v>8.9822903312363981E-3</v>
      </c>
      <c r="O190" s="1456">
        <f>$M$204*N190</f>
        <v>0</v>
      </c>
      <c r="P190" s="1455">
        <f>-'III. Inputs, Renewable Energy'!Y154</f>
        <v>5.4673889372822302E-3</v>
      </c>
      <c r="Q190" s="1456">
        <f>$M$209*P190</f>
        <v>0</v>
      </c>
      <c r="R190" s="1456">
        <f>Q190+O190</f>
        <v>0</v>
      </c>
      <c r="S190" s="1456" t="str">
        <f>IFERROR(ROUND(M190/R190/10^3,-3),"NA")</f>
        <v>NA</v>
      </c>
    </row>
    <row r="191" spans="3:19" outlineLevel="1" x14ac:dyDescent="0.45">
      <c r="C191" s="695"/>
      <c r="D191" s="695"/>
      <c r="E191" s="695"/>
      <c r="F191" s="695"/>
      <c r="G191" s="695"/>
      <c r="H191" s="695"/>
      <c r="I191" s="695"/>
      <c r="J191" s="1463"/>
      <c r="K191" s="1463" t="str">
        <f>'III. Inputs, Renewable Energy'!D155</f>
        <v>Counterparty Risk</v>
      </c>
      <c r="L191" s="1463" t="str">
        <f>'III. Inputs, Renewable Energy'!M155</f>
        <v>Government Guarantee for PPA</v>
      </c>
      <c r="M191" s="1733">
        <f>'I. Summary Outputs'!N113</f>
        <v>6682776.850400799</v>
      </c>
      <c r="N191" s="1455">
        <f>-'III. Inputs, Renewable Energy'!V155</f>
        <v>3.7543603351122509E-3</v>
      </c>
      <c r="O191" s="1456">
        <f>$M$204*N191</f>
        <v>0</v>
      </c>
      <c r="P191" s="1455">
        <f>-'III. Inputs, Renewable Energy'!Y155</f>
        <v>2.2852243031358885E-3</v>
      </c>
      <c r="Q191" s="1456">
        <f>$M$209*P191</f>
        <v>0</v>
      </c>
      <c r="R191" s="1456">
        <f t="shared" ref="R191:R197" si="10">Q191+O191</f>
        <v>0</v>
      </c>
      <c r="S191" s="1456" t="str">
        <f t="shared" ref="S191:S197" si="11">IFERROR(ROUND(M191/R191/10^3,-3),"NA")</f>
        <v>NA</v>
      </c>
    </row>
    <row r="192" spans="3:19" ht="15" customHeight="1" outlineLevel="1" x14ac:dyDescent="0.45">
      <c r="C192" s="695"/>
      <c r="D192" s="695"/>
      <c r="E192" s="695"/>
      <c r="F192" s="695"/>
      <c r="G192" s="695"/>
      <c r="H192" s="695"/>
      <c r="I192" s="695"/>
      <c r="J192" s="1463"/>
      <c r="K192" s="1463" t="str">
        <f>'III. Inputs, Renewable Energy'!D156</f>
        <v>Counterparty Risk</v>
      </c>
      <c r="L192" s="1463" t="str">
        <f>'III. Inputs, Renewable Energy'!M156</f>
        <v>Public Loans</v>
      </c>
      <c r="M192" s="2256">
        <f>'I. Summary Outputs'!N115</f>
        <v>28904864.550616089</v>
      </c>
      <c r="N192" s="1455">
        <f>-'III. Inputs, Renewable Energy'!V156</f>
        <v>3.7543603351122509E-3</v>
      </c>
      <c r="O192" s="1456">
        <f>$M$204*N192</f>
        <v>0</v>
      </c>
      <c r="P192" s="1455">
        <f>-'III. Inputs, Renewable Energy'!Y156</f>
        <v>2.2852243031358885E-3</v>
      </c>
      <c r="Q192" s="1456">
        <f>$M$209*P192</f>
        <v>0</v>
      </c>
      <c r="R192" s="2258">
        <f>Q192+O192+M214</f>
        <v>0</v>
      </c>
      <c r="S192" s="2258" t="str">
        <f>IFERROR(ROUND(M192/R192/10^3,-3),"NA")</f>
        <v>NA</v>
      </c>
    </row>
    <row r="193" spans="3:19" ht="15" customHeight="1" outlineLevel="1" x14ac:dyDescent="0.45">
      <c r="C193" s="695"/>
      <c r="D193" s="695"/>
      <c r="E193" s="695"/>
      <c r="F193" s="695"/>
      <c r="G193" s="695"/>
      <c r="H193" s="695"/>
      <c r="I193" s="695"/>
      <c r="J193" s="1463"/>
      <c r="K193" s="1463" t="str">
        <f>'III. Inputs, Renewable Energy'!D158</f>
        <v>Financing Risk</v>
      </c>
      <c r="L193" s="1463" t="str">
        <f>'III. Inputs, Renewable Energy'!M158</f>
        <v>Public Loans</v>
      </c>
      <c r="M193" s="2257"/>
      <c r="N193" s="2341" t="s">
        <v>645</v>
      </c>
      <c r="O193" s="2341"/>
      <c r="P193" s="2341"/>
      <c r="Q193" s="2341"/>
      <c r="R193" s="2258"/>
      <c r="S193" s="2258"/>
    </row>
    <row r="194" spans="3:19" ht="15" customHeight="1" outlineLevel="1" x14ac:dyDescent="0.45">
      <c r="C194" s="695"/>
      <c r="D194" s="695"/>
      <c r="E194" s="695"/>
      <c r="F194" s="695"/>
      <c r="G194" s="695"/>
      <c r="H194" s="695"/>
      <c r="I194" s="695"/>
      <c r="J194" s="1463"/>
      <c r="K194" s="1463" t="str">
        <f>'III. Inputs, Renewable Energy'!D157</f>
        <v>Counterparty Risk</v>
      </c>
      <c r="L194" s="1463" t="str">
        <f>'III. Inputs, Renewable Energy'!M157</f>
        <v>Public Guarantees to Commercial Loans</v>
      </c>
      <c r="M194" s="2256">
        <f>'I. Summary Outputs'!N116</f>
        <v>0</v>
      </c>
      <c r="N194" s="1455">
        <f>-'III. Inputs, Renewable Energy'!V157</f>
        <v>0</v>
      </c>
      <c r="O194" s="1456">
        <f>$M$204*N194</f>
        <v>0</v>
      </c>
      <c r="P194" s="1455">
        <f>-'III. Inputs, Renewable Energy'!X157</f>
        <v>0</v>
      </c>
      <c r="Q194" s="1456">
        <f>$M$209*P194</f>
        <v>0</v>
      </c>
      <c r="R194" s="2258">
        <f>Q194+O194+O195+Q195</f>
        <v>0</v>
      </c>
      <c r="S194" s="2258" t="str">
        <f>IFERROR(ROUND(M194/R194/10^3,-3),"NA")</f>
        <v>NA</v>
      </c>
    </row>
    <row r="195" spans="3:19" outlineLevel="1" x14ac:dyDescent="0.45">
      <c r="C195" s="695"/>
      <c r="D195" s="695"/>
      <c r="E195" s="695"/>
      <c r="F195" s="695"/>
      <c r="G195" s="695"/>
      <c r="H195" s="695"/>
      <c r="I195" s="695"/>
      <c r="J195" s="1463"/>
      <c r="K195" s="1463" t="str">
        <f>'III. Inputs, Renewable Energy'!D159</f>
        <v>Financing Risk</v>
      </c>
      <c r="L195" s="1463" t="str">
        <f>'III. Inputs, Renewable Energy'!M159</f>
        <v>Public Guarantees to Commercial Loans</v>
      </c>
      <c r="M195" s="2257"/>
      <c r="N195" s="1455">
        <f>-'III. Inputs, Renewable Energy'!V159</f>
        <v>0</v>
      </c>
      <c r="O195" s="1456">
        <f>$M$204*N195</f>
        <v>0</v>
      </c>
      <c r="P195" s="1455">
        <f>-'III. Inputs, Renewable Energy'!Y159</f>
        <v>0</v>
      </c>
      <c r="Q195" s="1456">
        <f>$M$209*P195</f>
        <v>0</v>
      </c>
      <c r="R195" s="2258"/>
      <c r="S195" s="2258"/>
    </row>
    <row r="196" spans="3:19" outlineLevel="1" x14ac:dyDescent="0.45">
      <c r="C196" s="695"/>
      <c r="D196" s="695"/>
      <c r="E196" s="695"/>
      <c r="F196" s="695"/>
      <c r="G196" s="695"/>
      <c r="H196" s="695"/>
      <c r="I196" s="695"/>
      <c r="J196" s="1463"/>
      <c r="K196" s="1463" t="str">
        <f>'III. Inputs, Renewable Energy'!D160</f>
        <v>Political Risk</v>
      </c>
      <c r="L196" s="1463" t="str">
        <f>'III. Inputs, Renewable Energy'!M160</f>
        <v>Political Risk Insurance for Equity Investment</v>
      </c>
      <c r="M196" s="1733">
        <f>'I. Summary Outputs'!N117</f>
        <v>0</v>
      </c>
      <c r="N196" s="1455">
        <f>-'III. Inputs, Renewable Energy'!V160</f>
        <v>0</v>
      </c>
      <c r="O196" s="1456">
        <f>$M$204*N196</f>
        <v>0</v>
      </c>
      <c r="P196" s="1455">
        <f>-'III. Inputs, Renewable Energy'!Y160</f>
        <v>0</v>
      </c>
      <c r="Q196" s="1456">
        <f>$M$209*P196</f>
        <v>0</v>
      </c>
      <c r="R196" s="1456">
        <f t="shared" si="10"/>
        <v>0</v>
      </c>
      <c r="S196" s="1456" t="str">
        <f t="shared" si="11"/>
        <v>NA</v>
      </c>
    </row>
    <row r="197" spans="3:19" outlineLevel="1" x14ac:dyDescent="0.45">
      <c r="C197" s="695"/>
      <c r="D197" s="695"/>
      <c r="E197" s="695"/>
      <c r="F197" s="695"/>
      <c r="G197" s="695"/>
      <c r="H197" s="695"/>
      <c r="I197" s="695"/>
      <c r="J197" s="1463"/>
      <c r="K197" s="1463" t="str">
        <f>'III. Inputs, Renewable Energy'!D161</f>
        <v>Currency/Macro Risk</v>
      </c>
      <c r="L197" s="1463" t="str">
        <f>'III. Inputs, Renewable Energy'!M161</f>
        <v>Partial Indexing</v>
      </c>
      <c r="M197" s="1733">
        <f>'I. Summary Outputs'!N118</f>
        <v>4067777.2132874429</v>
      </c>
      <c r="N197" s="1455">
        <f>-'III. Inputs, Renewable Energy'!V161</f>
        <v>4.6689126740407259E-3</v>
      </c>
      <c r="O197" s="1456">
        <f>$M$204*N197</f>
        <v>0</v>
      </c>
      <c r="P197" s="1455">
        <f>-'III. Inputs, Renewable Energy'!Y161</f>
        <v>2.8418989547038327E-3</v>
      </c>
      <c r="Q197" s="1456">
        <f>$M$209*P197</f>
        <v>0</v>
      </c>
      <c r="R197" s="1456">
        <f t="shared" si="10"/>
        <v>0</v>
      </c>
      <c r="S197" s="1456" t="str">
        <f t="shared" si="11"/>
        <v>NA</v>
      </c>
    </row>
    <row r="198" spans="3:19" ht="13.15" outlineLevel="1" x14ac:dyDescent="0.45">
      <c r="C198" s="695"/>
      <c r="D198" s="695"/>
      <c r="E198" s="695"/>
      <c r="F198" s="695"/>
      <c r="G198" s="695"/>
      <c r="H198" s="695"/>
      <c r="I198" s="695"/>
      <c r="J198" s="1463"/>
      <c r="K198" s="1463"/>
      <c r="L198" s="1469" t="s">
        <v>142</v>
      </c>
      <c r="M198" s="1734">
        <f>SUM(M190:M197)</f>
        <v>45466528.919000678</v>
      </c>
      <c r="N198" s="1457"/>
      <c r="O198" s="1457"/>
      <c r="P198" s="1458"/>
      <c r="Q198" s="1459"/>
      <c r="R198" s="1459"/>
      <c r="S198" s="1460"/>
    </row>
    <row r="199" spans="3:19" outlineLevel="1" x14ac:dyDescent="0.45">
      <c r="C199" s="695"/>
      <c r="D199" s="695"/>
      <c r="E199" s="695"/>
      <c r="F199" s="695"/>
      <c r="G199" s="695"/>
      <c r="H199" s="695"/>
      <c r="I199" s="695"/>
      <c r="J199" s="1463"/>
      <c r="K199" s="1463"/>
      <c r="L199" s="1463"/>
      <c r="M199" s="1463"/>
      <c r="N199" s="1463"/>
      <c r="O199" s="1463"/>
      <c r="P199" s="1463"/>
      <c r="Q199" s="1463"/>
      <c r="R199" s="1463"/>
      <c r="S199" s="1463"/>
    </row>
    <row r="200" spans="3:19" ht="13.5" outlineLevel="1" thickBot="1" x14ac:dyDescent="0.5">
      <c r="C200" s="695"/>
      <c r="D200" s="695"/>
      <c r="E200" s="695"/>
      <c r="F200" s="695"/>
      <c r="G200" s="695"/>
      <c r="H200" s="695"/>
      <c r="I200" s="695"/>
      <c r="J200" s="1466" t="s">
        <v>567</v>
      </c>
      <c r="K200" s="1431"/>
      <c r="L200" s="1431"/>
      <c r="M200" s="1431"/>
      <c r="N200" s="1431"/>
      <c r="O200" s="1431"/>
      <c r="P200" s="1431"/>
      <c r="Q200" s="1431"/>
      <c r="R200" s="1431"/>
      <c r="S200" s="1431"/>
    </row>
    <row r="201" spans="3:19" outlineLevel="1" x14ac:dyDescent="0.45">
      <c r="C201" s="695"/>
      <c r="D201" s="695"/>
      <c r="E201" s="695"/>
      <c r="F201" s="695"/>
      <c r="G201" s="695"/>
      <c r="H201" s="695"/>
      <c r="I201" s="695"/>
      <c r="J201" s="1463"/>
      <c r="K201" s="1463"/>
      <c r="L201" s="1463"/>
      <c r="M201" s="1463"/>
      <c r="N201" s="1463"/>
      <c r="O201" s="1463"/>
      <c r="P201" s="1463"/>
      <c r="Q201" s="1463"/>
      <c r="R201" s="1463"/>
      <c r="S201" s="1463"/>
    </row>
    <row r="202" spans="3:19" ht="13.15" outlineLevel="1" x14ac:dyDescent="0.45">
      <c r="C202" s="695"/>
      <c r="D202" s="695"/>
      <c r="E202" s="695"/>
      <c r="F202" s="695"/>
      <c r="G202" s="695"/>
      <c r="H202" s="695"/>
      <c r="I202" s="695"/>
      <c r="J202" s="1463"/>
      <c r="K202" s="1468" t="s">
        <v>4</v>
      </c>
      <c r="L202" s="1468" t="s">
        <v>568</v>
      </c>
      <c r="M202" s="1468" t="s">
        <v>569</v>
      </c>
      <c r="N202" s="1463"/>
      <c r="O202" s="1463"/>
      <c r="P202" s="1463"/>
      <c r="Q202" s="1463"/>
      <c r="R202" s="1463"/>
      <c r="S202" s="1463"/>
    </row>
    <row r="203" spans="3:19" outlineLevel="1" x14ac:dyDescent="0.45">
      <c r="C203" s="695"/>
      <c r="D203" s="695"/>
      <c r="E203" s="695"/>
      <c r="F203" s="695"/>
      <c r="G203" s="695"/>
      <c r="H203" s="695"/>
      <c r="I203" s="695"/>
      <c r="J203" s="1463"/>
      <c r="K203" s="1470">
        <f>K204-1%</f>
        <v>0.115</v>
      </c>
      <c r="L203" s="1733">
        <v>0</v>
      </c>
      <c r="M203" s="1471"/>
      <c r="N203" s="1463"/>
      <c r="O203" s="1463"/>
      <c r="P203" s="1463"/>
      <c r="Q203" s="1463"/>
      <c r="R203" s="1463"/>
      <c r="S203" s="1463"/>
    </row>
    <row r="204" spans="3:19" ht="13.15" outlineLevel="1" x14ac:dyDescent="0.45">
      <c r="C204" s="695"/>
      <c r="D204" s="695"/>
      <c r="E204" s="695"/>
      <c r="F204" s="695"/>
      <c r="G204" s="695"/>
      <c r="H204" s="695"/>
      <c r="I204" s="695"/>
      <c r="J204" s="1463"/>
      <c r="K204" s="1472">
        <v>0.125</v>
      </c>
      <c r="L204" s="1733">
        <v>0</v>
      </c>
      <c r="M204" s="1471">
        <f>AVERAGE(L204-L203,L205-L204)</f>
        <v>0</v>
      </c>
      <c r="N204" s="1463"/>
      <c r="O204" s="1463"/>
      <c r="P204" s="1463"/>
      <c r="Q204" s="1463"/>
      <c r="R204" s="1463"/>
      <c r="S204" s="1463"/>
    </row>
    <row r="205" spans="3:19" outlineLevel="1" x14ac:dyDescent="0.45">
      <c r="C205" s="695"/>
      <c r="D205" s="695"/>
      <c r="E205" s="695"/>
      <c r="F205" s="695"/>
      <c r="G205" s="695"/>
      <c r="H205" s="695"/>
      <c r="I205" s="695"/>
      <c r="J205" s="1463"/>
      <c r="K205" s="1470">
        <f>K204+1%</f>
        <v>0.13500000000000001</v>
      </c>
      <c r="L205" s="1733">
        <v>0</v>
      </c>
      <c r="M205" s="1471"/>
      <c r="N205" s="1463"/>
      <c r="O205" s="1463"/>
      <c r="P205" s="1463"/>
      <c r="Q205" s="1463"/>
      <c r="R205" s="1463"/>
      <c r="S205" s="1463"/>
    </row>
    <row r="206" spans="3:19" outlineLevel="1" x14ac:dyDescent="0.45">
      <c r="C206" s="695"/>
      <c r="D206" s="695"/>
      <c r="E206" s="695"/>
      <c r="F206" s="695"/>
      <c r="G206" s="695"/>
      <c r="H206" s="695"/>
      <c r="I206" s="695"/>
      <c r="J206" s="1463"/>
      <c r="K206" s="1463"/>
      <c r="L206" s="1463"/>
      <c r="M206" s="1463"/>
      <c r="N206" s="1463"/>
      <c r="O206" s="1463"/>
      <c r="P206" s="1463"/>
      <c r="Q206" s="1463"/>
      <c r="R206" s="1463"/>
      <c r="S206" s="1463"/>
    </row>
    <row r="207" spans="3:19" ht="13.15" outlineLevel="1" x14ac:dyDescent="0.45">
      <c r="C207" s="695"/>
      <c r="D207" s="695"/>
      <c r="E207" s="695"/>
      <c r="F207" s="695"/>
      <c r="G207" s="695"/>
      <c r="H207" s="695"/>
      <c r="I207" s="695"/>
      <c r="J207" s="1463"/>
      <c r="K207" s="1468" t="s">
        <v>570</v>
      </c>
      <c r="L207" s="1468" t="s">
        <v>568</v>
      </c>
      <c r="M207" s="1468" t="s">
        <v>569</v>
      </c>
      <c r="N207" s="1463"/>
      <c r="O207" s="1463"/>
      <c r="P207" s="1463"/>
      <c r="Q207" s="1463"/>
      <c r="R207" s="1463"/>
      <c r="S207" s="1463"/>
    </row>
    <row r="208" spans="3:19" outlineLevel="1" x14ac:dyDescent="0.45">
      <c r="C208" s="695"/>
      <c r="D208" s="695"/>
      <c r="E208" s="695"/>
      <c r="F208" s="695"/>
      <c r="G208" s="695"/>
      <c r="H208" s="695"/>
      <c r="I208" s="695"/>
      <c r="J208" s="1463"/>
      <c r="K208" s="1470">
        <f>K209-1%</f>
        <v>4.1999999999999996E-2</v>
      </c>
      <c r="L208" s="1733">
        <v>0</v>
      </c>
      <c r="M208" s="1471"/>
      <c r="N208" s="1463"/>
      <c r="O208" s="1463"/>
      <c r="P208" s="1463"/>
      <c r="Q208" s="1463"/>
      <c r="R208" s="1463"/>
      <c r="S208" s="1463"/>
    </row>
    <row r="209" spans="3:19" ht="13.15" outlineLevel="1" x14ac:dyDescent="0.45">
      <c r="C209" s="695"/>
      <c r="D209" s="695"/>
      <c r="E209" s="695"/>
      <c r="F209" s="695"/>
      <c r="G209" s="695"/>
      <c r="H209" s="695"/>
      <c r="I209" s="695"/>
      <c r="J209" s="1463"/>
      <c r="K209" s="1472">
        <v>5.1999999999999998E-2</v>
      </c>
      <c r="L209" s="1733">
        <v>0</v>
      </c>
      <c r="M209" s="1471">
        <f>AVERAGE(L209-L208,L210-L209)</f>
        <v>0</v>
      </c>
      <c r="N209" s="1463"/>
      <c r="O209" s="1463"/>
      <c r="P209" s="1463"/>
      <c r="Q209" s="1463"/>
      <c r="R209" s="1463"/>
      <c r="S209" s="1463"/>
    </row>
    <row r="210" spans="3:19" outlineLevel="1" x14ac:dyDescent="0.45">
      <c r="C210" s="695"/>
      <c r="D210" s="695"/>
      <c r="E210" s="695"/>
      <c r="F210" s="695"/>
      <c r="G210" s="695"/>
      <c r="H210" s="695"/>
      <c r="I210" s="695"/>
      <c r="J210" s="1463"/>
      <c r="K210" s="1470">
        <f>K209+1%</f>
        <v>6.2E-2</v>
      </c>
      <c r="L210" s="1733">
        <v>0</v>
      </c>
      <c r="M210" s="1471"/>
      <c r="N210" s="1463"/>
      <c r="O210" s="1463"/>
      <c r="P210" s="1463"/>
      <c r="Q210" s="1463"/>
      <c r="R210" s="1463"/>
      <c r="S210" s="1463"/>
    </row>
    <row r="211" spans="3:19" outlineLevel="1" x14ac:dyDescent="0.45">
      <c r="C211" s="695"/>
      <c r="D211" s="695"/>
      <c r="E211" s="695"/>
      <c r="F211" s="695"/>
      <c r="G211" s="695"/>
      <c r="H211" s="695"/>
      <c r="I211" s="695"/>
      <c r="J211" s="1463"/>
      <c r="K211" s="1463"/>
      <c r="L211" s="1463"/>
      <c r="M211" s="1463"/>
      <c r="N211" s="1463"/>
      <c r="O211" s="1463"/>
      <c r="P211" s="1463"/>
      <c r="Q211" s="1463"/>
      <c r="R211" s="1463"/>
      <c r="S211" s="1463"/>
    </row>
    <row r="212" spans="3:19" ht="13.15" outlineLevel="1" x14ac:dyDescent="0.45">
      <c r="C212" s="695"/>
      <c r="D212" s="695"/>
      <c r="E212" s="695"/>
      <c r="F212" s="695"/>
      <c r="G212" s="695"/>
      <c r="H212" s="695"/>
      <c r="I212" s="695"/>
      <c r="J212" s="1463"/>
      <c r="K212" s="1468" t="s">
        <v>571</v>
      </c>
      <c r="L212" s="1468" t="s">
        <v>568</v>
      </c>
      <c r="M212" s="432"/>
      <c r="N212" s="1463"/>
      <c r="O212" s="1463"/>
      <c r="P212" s="1463"/>
      <c r="Q212" s="1463"/>
      <c r="R212" s="1463"/>
      <c r="S212" s="1463"/>
    </row>
    <row r="213" spans="3:19" outlineLevel="1" x14ac:dyDescent="0.45">
      <c r="C213" s="695"/>
      <c r="D213" s="695"/>
      <c r="E213" s="695"/>
      <c r="F213" s="695"/>
      <c r="G213" s="695"/>
      <c r="H213" s="695"/>
      <c r="I213" s="695"/>
      <c r="J213" s="1463"/>
      <c r="K213" s="1463" t="s">
        <v>572</v>
      </c>
      <c r="L213" s="1733">
        <v>0</v>
      </c>
      <c r="M213" s="1463"/>
      <c r="N213" s="1463"/>
      <c r="O213" s="1463"/>
      <c r="P213" s="1463"/>
      <c r="Q213" s="1463"/>
      <c r="R213" s="1463"/>
      <c r="S213" s="1463"/>
    </row>
    <row r="214" spans="3:19" outlineLevel="1" x14ac:dyDescent="0.45">
      <c r="C214" s="695"/>
      <c r="D214" s="695"/>
      <c r="E214" s="695"/>
      <c r="F214" s="695"/>
      <c r="G214" s="695"/>
      <c r="H214" s="695"/>
      <c r="I214" s="695"/>
      <c r="J214" s="1463"/>
      <c r="K214" s="1463" t="s">
        <v>573</v>
      </c>
      <c r="L214" s="1733">
        <v>0</v>
      </c>
      <c r="M214" s="1471">
        <f>L214-L213</f>
        <v>0</v>
      </c>
      <c r="N214" s="1463"/>
      <c r="O214" s="1463"/>
      <c r="P214" s="1463"/>
      <c r="Q214" s="1463"/>
      <c r="R214" s="1463"/>
      <c r="S214" s="1463"/>
    </row>
    <row r="215" spans="3:19" outlineLevel="1" x14ac:dyDescent="0.45">
      <c r="C215" s="695"/>
      <c r="D215" s="695"/>
      <c r="E215" s="695"/>
      <c r="F215" s="695"/>
      <c r="G215" s="695"/>
      <c r="H215" s="695"/>
      <c r="I215" s="695"/>
      <c r="J215" s="1463"/>
      <c r="K215" s="1473"/>
      <c r="L215" s="1735"/>
      <c r="M215" s="1473"/>
      <c r="N215" s="1463"/>
      <c r="O215" s="1463"/>
      <c r="P215" s="1463"/>
      <c r="Q215" s="1463"/>
      <c r="R215" s="1463"/>
      <c r="S215" s="1463"/>
    </row>
    <row r="216" spans="3:19" x14ac:dyDescent="0.45">
      <c r="C216" s="695"/>
      <c r="D216" s="695"/>
      <c r="E216" s="695"/>
      <c r="F216" s="695"/>
      <c r="G216" s="695"/>
      <c r="H216" s="695"/>
      <c r="I216" s="695"/>
      <c r="J216" s="1463"/>
      <c r="K216" s="1473"/>
      <c r="L216" s="1735"/>
      <c r="M216" s="1474"/>
      <c r="N216" s="1463"/>
      <c r="O216" s="1463"/>
      <c r="P216" s="1463"/>
      <c r="Q216" s="1463"/>
      <c r="R216" s="1463"/>
      <c r="S216" s="1463"/>
    </row>
    <row r="217" spans="3:19" x14ac:dyDescent="0.45">
      <c r="C217" s="695"/>
      <c r="D217" s="695"/>
      <c r="E217" s="695"/>
      <c r="F217" s="695"/>
      <c r="G217" s="695"/>
      <c r="H217" s="695"/>
      <c r="I217" s="695"/>
      <c r="J217" s="695"/>
      <c r="K217" s="695"/>
      <c r="L217" s="695"/>
      <c r="M217" s="695"/>
      <c r="N217" s="695"/>
      <c r="O217" s="695"/>
      <c r="P217" s="695"/>
      <c r="Q217" s="695"/>
      <c r="R217" s="695"/>
      <c r="S217" s="695"/>
    </row>
    <row r="218" spans="3:19" hidden="1" x14ac:dyDescent="0.45">
      <c r="J218" s="466"/>
      <c r="K218" s="466"/>
      <c r="L218" s="466"/>
      <c r="M218" s="466"/>
    </row>
  </sheetData>
  <mergeCells count="79">
    <mergeCell ref="N29:N30"/>
    <mergeCell ref="M29:M30"/>
    <mergeCell ref="R192:R193"/>
    <mergeCell ref="S192:S193"/>
    <mergeCell ref="N193:Q193"/>
    <mergeCell ref="M192:M193"/>
    <mergeCell ref="Q91:Q92"/>
    <mergeCell ref="O81:P82"/>
    <mergeCell ref="Q81:Q82"/>
    <mergeCell ref="O91:P92"/>
    <mergeCell ref="J29:J30"/>
    <mergeCell ref="J31:J32"/>
    <mergeCell ref="J33:J34"/>
    <mergeCell ref="J35:J37"/>
    <mergeCell ref="L81:M81"/>
    <mergeCell ref="J49:M49"/>
    <mergeCell ref="L83:L85"/>
    <mergeCell ref="M83:M85"/>
    <mergeCell ref="N83:N85"/>
    <mergeCell ref="J91:J92"/>
    <mergeCell ref="K91:K92"/>
    <mergeCell ref="L91:M91"/>
    <mergeCell ref="N91:N92"/>
    <mergeCell ref="J96:J98"/>
    <mergeCell ref="K96:K98"/>
    <mergeCell ref="L96:L98"/>
    <mergeCell ref="M96:M98"/>
    <mergeCell ref="N96:N98"/>
    <mergeCell ref="J93:J95"/>
    <mergeCell ref="K93:K95"/>
    <mergeCell ref="L93:L95"/>
    <mergeCell ref="M93:M95"/>
    <mergeCell ref="N93:N95"/>
    <mergeCell ref="J102:J104"/>
    <mergeCell ref="K102:K104"/>
    <mergeCell ref="L102:L104"/>
    <mergeCell ref="M102:M104"/>
    <mergeCell ref="N102:N104"/>
    <mergeCell ref="J99:J101"/>
    <mergeCell ref="K99:K101"/>
    <mergeCell ref="L99:L101"/>
    <mergeCell ref="M99:M101"/>
    <mergeCell ref="N99:N101"/>
    <mergeCell ref="J142:J143"/>
    <mergeCell ref="K142:K143"/>
    <mergeCell ref="L142:O142"/>
    <mergeCell ref="P142:P143"/>
    <mergeCell ref="Q142:Q143"/>
    <mergeCell ref="J144:J145"/>
    <mergeCell ref="K144:K145"/>
    <mergeCell ref="L144:L145"/>
    <mergeCell ref="M144:M145"/>
    <mergeCell ref="N144:N145"/>
    <mergeCell ref="J146:J147"/>
    <mergeCell ref="K146:K147"/>
    <mergeCell ref="L146:L147"/>
    <mergeCell ref="M146:M147"/>
    <mergeCell ref="N146:N147"/>
    <mergeCell ref="J148:J149"/>
    <mergeCell ref="K148:K149"/>
    <mergeCell ref="L148:L149"/>
    <mergeCell ref="M148:M149"/>
    <mergeCell ref="N148:N149"/>
    <mergeCell ref="M194:M195"/>
    <mergeCell ref="R194:R195"/>
    <mergeCell ref="S194:S195"/>
    <mergeCell ref="O49:R49"/>
    <mergeCell ref="P148:P149"/>
    <mergeCell ref="O148:O149"/>
    <mergeCell ref="O144:O145"/>
    <mergeCell ref="P144:P145"/>
    <mergeCell ref="O146:O147"/>
    <mergeCell ref="P146:P147"/>
    <mergeCell ref="Q102:Q104"/>
    <mergeCell ref="Q99:Q101"/>
    <mergeCell ref="Q96:Q98"/>
    <mergeCell ref="Q93:Q95"/>
    <mergeCell ref="Q83:Q85"/>
    <mergeCell ref="N81:N82"/>
  </mergeCells>
  <pageMargins left="0.7" right="0.7" top="0.75" bottom="0.75" header="0.3" footer="0.3"/>
  <pageSetup paperSize="9" scale="57" fitToHeight="0" orientation="portrait" r:id="rId1"/>
  <colBreaks count="1" manualBreakCount="1">
    <brk id="17" max="1048575"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5186D85CDD9BD46B5CAC602201BB996" ma:contentTypeVersion="4" ma:contentTypeDescription="Ein neues Dokument erstellen." ma:contentTypeScope="" ma:versionID="ad05b1a3bf627f3102502dc2abd34400">
  <xsd:schema xmlns:xsd="http://www.w3.org/2001/XMLSchema" xmlns:xs="http://www.w3.org/2001/XMLSchema" xmlns:p="http://schemas.microsoft.com/office/2006/metadata/properties" xmlns:ns2="aa76bd91-2c4e-4caf-a959-876821feecfe" xmlns:ns3="8564d382-9eee-415f-b809-48e3a5988b12" targetNamespace="http://schemas.microsoft.com/office/2006/metadata/properties" ma:root="true" ma:fieldsID="263b7bd170ba09096e6934ef46ed76b2" ns2:_="" ns3:_="">
    <xsd:import namespace="aa76bd91-2c4e-4caf-a959-876821feecfe"/>
    <xsd:import namespace="8564d382-9eee-415f-b809-48e3a5988b1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76bd91-2c4e-4caf-a959-876821feecfe" elementFormDefault="qualified">
    <xsd:import namespace="http://schemas.microsoft.com/office/2006/documentManagement/types"/>
    <xsd:import namespace="http://schemas.microsoft.com/office/infopath/2007/PartnerControls"/>
    <xsd:element name="SharedWithUsers" ma:index="8"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564d382-9eee-415f-b809-48e3a5988b12"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6C855FA-C4C1-4575-B2D1-7BABFBB924AA}">
  <ds:schemaRefs>
    <ds:schemaRef ds:uri="http://schemas.microsoft.com/sharepoint/v3/contenttype/forms"/>
  </ds:schemaRefs>
</ds:datastoreItem>
</file>

<file path=customXml/itemProps2.xml><?xml version="1.0" encoding="utf-8"?>
<ds:datastoreItem xmlns:ds="http://schemas.openxmlformats.org/officeDocument/2006/customXml" ds:itemID="{18D69F1B-4086-457A-AF74-1C69624C56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76bd91-2c4e-4caf-a959-876821feecfe"/>
    <ds:schemaRef ds:uri="8564d382-9eee-415f-b809-48e3a5988b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9A704E6-6553-4F46-BF29-CBC5806C4B7E}">
  <ds:schemaRefs>
    <ds:schemaRef ds:uri="http://purl.org/dc/elements/1.1/"/>
    <ds:schemaRef ds:uri="8564d382-9eee-415f-b809-48e3a5988b12"/>
    <ds:schemaRef ds:uri="http://schemas.microsoft.com/office/2006/documentManagement/types"/>
    <ds:schemaRef ds:uri="http://purl.org/dc/terms/"/>
    <ds:schemaRef ds:uri="http://schemas.microsoft.com/office/infopath/2007/PartnerControls"/>
    <ds:schemaRef ds:uri="http://schemas.microsoft.com/office/2006/metadata/properties"/>
    <ds:schemaRef ds:uri="http://www.w3.org/XML/1998/namespace"/>
    <ds:schemaRef ds:uri="http://schemas.openxmlformats.org/package/2006/metadata/core-properties"/>
    <ds:schemaRef ds:uri="aa76bd91-2c4e-4caf-a959-876821feecf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19</vt:i4>
      </vt:variant>
    </vt:vector>
  </HeadingPairs>
  <TitlesOfParts>
    <vt:vector size="32" baseType="lpstr">
      <vt:lpstr>Introduction</vt:lpstr>
      <vt:lpstr>I. Summary Outputs</vt:lpstr>
      <vt:lpstr>II. Inputs, Baseline Energy Mix</vt:lpstr>
      <vt:lpstr>III. Inputs, Renewable Energy</vt:lpstr>
      <vt:lpstr>IV. LCOE, Baseline Energy Mix</vt:lpstr>
      <vt:lpstr>V. LCOE, RE Generation</vt:lpstr>
      <vt:lpstr>VI. LCOE, RE Grid Intercon</vt:lpstr>
      <vt:lpstr>VII. Instrument Costing</vt:lpstr>
      <vt:lpstr>VIII. Sensitivity Outputs</vt:lpstr>
      <vt:lpstr>IX. Charts</vt:lpstr>
      <vt:lpstr>X. Report Summary Table</vt:lpstr>
      <vt:lpstr>XI. Notes</vt:lpstr>
      <vt:lpstr>Backup</vt:lpstr>
      <vt:lpstr>BAUselection</vt:lpstr>
      <vt:lpstr>EffectivenessDebt</vt:lpstr>
      <vt:lpstr>EffectivenessEquity</vt:lpstr>
      <vt:lpstr>fuelcostmb</vt:lpstr>
      <vt:lpstr>InputMethod</vt:lpstr>
      <vt:lpstr>InstrumentSelectionMB</vt:lpstr>
      <vt:lpstr>Multiplier</vt:lpstr>
      <vt:lpstr>OperationsandMaint</vt:lpstr>
      <vt:lpstr>POLICYCOSTING</vt:lpstr>
      <vt:lpstr>Prederiskingselection</vt:lpstr>
      <vt:lpstr>'III. Inputs, Renewable Energy'!Print_Area</vt:lpstr>
      <vt:lpstr>Introduction!Print_Area</vt:lpstr>
      <vt:lpstr>'IV. LCOE, Baseline Energy Mix'!Print_Area</vt:lpstr>
      <vt:lpstr>'VII. Instrument Costing'!Print_Area</vt:lpstr>
      <vt:lpstr>'VIII. Sensitivity Outputs'!Print_Area</vt:lpstr>
      <vt:lpstr>'X. Report Summary Table'!Print_Area</vt:lpstr>
      <vt:lpstr>'XI. Notes'!Print_Area</vt:lpstr>
      <vt:lpstr>SELECTION</vt:lpstr>
      <vt:lpstr>TIME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dc:creator>
  <cp:lastModifiedBy>Oliver Waissbein</cp:lastModifiedBy>
  <cp:lastPrinted>2017-08-10T15:02:56Z</cp:lastPrinted>
  <dcterms:created xsi:type="dcterms:W3CDTF">2012-12-25T17:19:10Z</dcterms:created>
  <dcterms:modified xsi:type="dcterms:W3CDTF">2018-06-07T21:04:11Z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0x01010065186D85CDD9BD46B5CAC602201BB996</vt:lpwstr>
  </property>
</Properties>
</file>